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20" yWindow="500" windowWidth="24080" windowHeight="14340" firstSheet="1" activeTab="1"/>
  </bookViews>
  <sheets>
    <sheet name="Parameters" sheetId="9" r:id="rId1"/>
    <sheet name="GlobalFactors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0" l="1"/>
  <c r="C52" i="15"/>
  <c r="D58" i="15"/>
  <c r="E18" i="10"/>
  <c r="D18" i="10"/>
  <c r="D30" i="10"/>
  <c r="G32" i="10"/>
  <c r="G58" i="15"/>
  <c r="D57" i="15"/>
  <c r="D54" i="15"/>
  <c r="F11" i="15"/>
  <c r="D53" i="15"/>
  <c r="D55" i="15"/>
  <c r="D56" i="15"/>
  <c r="F50" i="15"/>
  <c r="F51" i="15"/>
  <c r="D52" i="15"/>
  <c r="D13" i="15"/>
  <c r="E8" i="1"/>
  <c r="G39" i="15"/>
  <c r="C10" i="1"/>
  <c r="D42" i="15"/>
  <c r="F32" i="15"/>
  <c r="D43" i="15"/>
  <c r="D44" i="15"/>
  <c r="E46" i="15"/>
  <c r="D46" i="15"/>
  <c r="D47" i="15"/>
  <c r="C48" i="15"/>
  <c r="I23" i="19"/>
  <c r="D28" i="17"/>
  <c r="E24" i="10"/>
  <c r="D25" i="10"/>
  <c r="C26" i="10"/>
  <c r="E38" i="10"/>
  <c r="F23" i="10"/>
  <c r="D37" i="10"/>
  <c r="F17" i="10"/>
  <c r="F31" i="10"/>
  <c r="D31" i="10"/>
  <c r="N7" i="19"/>
  <c r="G5" i="19"/>
  <c r="N8" i="19"/>
  <c r="F5" i="19"/>
  <c r="L4" i="19"/>
  <c r="N4" i="19"/>
  <c r="E5" i="19"/>
  <c r="G22" i="15"/>
  <c r="G45" i="10"/>
  <c r="F27" i="1"/>
  <c r="C33" i="10"/>
  <c r="G31" i="10"/>
  <c r="C4" i="11"/>
  <c r="C24" i="17"/>
  <c r="E30" i="19"/>
  <c r="G30" i="19"/>
  <c r="F30" i="19"/>
  <c r="G26" i="19"/>
  <c r="F26" i="19"/>
  <c r="G18" i="15"/>
  <c r="F18" i="15"/>
  <c r="N5" i="19"/>
  <c r="A22" i="19"/>
  <c r="H29" i="17"/>
  <c r="F25" i="17"/>
  <c r="F26" i="17"/>
  <c r="F27" i="9"/>
  <c r="F13" i="17"/>
  <c r="C17" i="17"/>
  <c r="E3" i="17"/>
  <c r="G5" i="17"/>
  <c r="G4" i="17"/>
  <c r="D20" i="17"/>
  <c r="F36" i="10"/>
  <c r="I24" i="10"/>
  <c r="E19" i="10"/>
  <c r="I18" i="10"/>
  <c r="I13" i="10"/>
  <c r="E13" i="10"/>
  <c r="B40" i="19"/>
  <c r="B42" i="19"/>
  <c r="B46" i="19"/>
  <c r="B3" i="19"/>
  <c r="A3" i="19"/>
  <c r="I44" i="19"/>
  <c r="A42" i="19"/>
  <c r="E35" i="19"/>
  <c r="B36" i="19"/>
  <c r="E36" i="19"/>
  <c r="H36" i="19"/>
  <c r="B37" i="19"/>
  <c r="E37" i="19"/>
  <c r="H37" i="19"/>
  <c r="B38" i="19"/>
  <c r="A38" i="19"/>
  <c r="A36" i="19"/>
  <c r="A35" i="19"/>
  <c r="B30" i="19"/>
  <c r="H30" i="19"/>
  <c r="I30" i="19"/>
  <c r="B31" i="19"/>
  <c r="E31" i="19"/>
  <c r="H31" i="19"/>
  <c r="I31" i="19"/>
  <c r="B32" i="19"/>
  <c r="E35" i="15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D17" i="15"/>
  <c r="C17" i="15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G65" i="9"/>
  <c r="J65" i="9"/>
  <c r="C3" i="9"/>
  <c r="G67" i="9"/>
  <c r="J67" i="9"/>
  <c r="C4" i="9"/>
  <c r="G66" i="9"/>
  <c r="J66" i="9"/>
  <c r="C2" i="9"/>
  <c r="J27" i="9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9"/>
  <c r="C16" i="10"/>
  <c r="C27" i="10"/>
  <c r="D39" i="10"/>
  <c r="C39" i="10"/>
  <c r="C36" i="10"/>
  <c r="C34" i="10"/>
  <c r="C41" i="10"/>
  <c r="D44" i="10"/>
  <c r="F29" i="1"/>
  <c r="G46" i="10"/>
  <c r="C46" i="10"/>
  <c r="C45" i="10"/>
  <c r="G34" i="9"/>
  <c r="F11" i="1"/>
  <c r="D26" i="1"/>
  <c r="D27" i="1"/>
  <c r="D28" i="1"/>
  <c r="D29" i="1"/>
  <c r="C24" i="1"/>
  <c r="F19" i="1"/>
  <c r="F21" i="1"/>
  <c r="D22" i="1"/>
  <c r="C17" i="9"/>
  <c r="C22" i="1"/>
  <c r="D14" i="1"/>
  <c r="D17" i="1"/>
  <c r="C12" i="1"/>
  <c r="C7" i="1"/>
  <c r="C23" i="1"/>
  <c r="C32" i="1"/>
  <c r="D62" i="15"/>
  <c r="D63" i="15"/>
  <c r="C6" i="1"/>
  <c r="C2" i="1"/>
  <c r="D30" i="1"/>
  <c r="I21" i="1"/>
  <c r="D15" i="15"/>
  <c r="C15" i="15"/>
  <c r="D19" i="15"/>
  <c r="D21" i="15"/>
  <c r="D22" i="15"/>
  <c r="C23" i="15"/>
  <c r="D27" i="9"/>
  <c r="F25" i="15"/>
  <c r="D27" i="15"/>
  <c r="D29" i="15"/>
  <c r="D30" i="15"/>
  <c r="D33" i="15"/>
  <c r="D36" i="15"/>
  <c r="D31" i="15"/>
  <c r="C37" i="15"/>
  <c r="C60" i="15"/>
  <c r="I51" i="15"/>
  <c r="D64" i="15"/>
  <c r="D65" i="15"/>
  <c r="C66" i="15"/>
  <c r="C67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3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H5" i="11"/>
  <c r="H6" i="11"/>
  <c r="H4" i="11"/>
  <c r="C5" i="11"/>
  <c r="C6" i="11"/>
  <c r="C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<sst xmlns="http://schemas.openxmlformats.org/spreadsheetml/2006/main" count="1434" uniqueCount="941">
  <si>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</si>
  <si>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</si>
  <si>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</si>
  <si>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</si>
  <si>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</si>
  <si>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</si>
  <si>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</si>
  <si>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</si>
  <si>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</si>
  <si>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</si>
  <si>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</si>
  <si>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</si>
  <si>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</si>
  <si>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</si>
  <si>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</si>
  <si>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</si>
  <si>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</si>
  <si>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</si>
  <si>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</si>
  <si>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</si>
  <si>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</si>
  <si>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</si>
  <si>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</si>
  <si>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</si>
  <si>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</si>
  <si>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</si>
  <si>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</si>
  <si>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</si>
  <si>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</si>
  <si>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</si>
  <si>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</si>
  <si>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</si>
  <si>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</si>
  <si>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</si>
  <si>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</si>
  <si>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</si>
  <si>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</si>
  <si>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</si>
  <si>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</si>
  <si>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</si>
  <si>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</si>
  <si>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</si>
  <si>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</si>
  <si>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</si>
  <si>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</si>
  <si>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</si>
  <si>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</si>
  <si>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</si>
  <si>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</si>
  <si>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</si>
  <si>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</si>
  <si>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</si>
  <si>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</si>
  <si>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</si>
  <si>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</si>
  <si>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</si>
  <si>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</si>
  <si>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</si>
  <si>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</si>
  <si>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</si>
  <si>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</si>
  <si>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</si>
  <si>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</si>
  <si>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</si>
  <si>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</si>
  <si>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</si>
  <si>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</si>
  <si>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</si>
  <si>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</si>
  <si>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</si>
  <si>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</si>
  <si>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</si>
  <si>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</si>
  <si>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</si>
  <si>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</si>
  <si>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</si>
  <si>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</si>
  <si>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</si>
  <si>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</si>
  <si>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</si>
  <si>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</si>
  <si>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</si>
  <si>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</si>
  <si>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</si>
  <si>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</si>
  <si>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</si>
  <si>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</si>
  <si>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</si>
  <si>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</si>
  <si>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</si>
  <si>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</si>
  <si>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</si>
  <si>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</si>
  <si>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</si>
  <si>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</si>
  <si>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</si>
  <si>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</si>
  <si>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</si>
  <si>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</si>
  <si>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</si>
  <si>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</si>
  <si>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</si>
  <si>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</si>
  <si>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</si>
  <si>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</si>
  <si>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</si>
  <si>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</si>
  <si>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</si>
  <si>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</si>
  <si>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</si>
  <si>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</si>
  <si>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</si>
  <si>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</si>
  <si>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</si>
  <si>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</si>
  <si>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</si>
  <si>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</si>
  <si>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</si>
  <si>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</si>
  <si>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</si>
  <si>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</si>
  <si>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</si>
  <si>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</si>
  <si>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</si>
  <si>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</si>
  <si>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</si>
  <si>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</si>
  <si>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</si>
  <si>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</si>
  <si>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</si>
  <si>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</si>
  <si>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</si>
  <si>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</si>
  <si>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</si>
  <si>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</si>
  <si>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</si>
  <si>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</si>
  <si>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</si>
  <si>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</si>
  <si>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</si>
  <si>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</si>
  <si>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</si>
  <si>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</si>
  <si>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</si>
  <si>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</si>
  <si>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Boldrin low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</si>
  <si>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</si>
  <si>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</si>
  <si>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</si>
  <si>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</si>
  <si>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</si>
  <si>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</si>
  <si>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</si>
  <si>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</si>
  <si>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</si>
  <si>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</si>
  <si>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</si>
  <si>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</si>
  <si>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</si>
  <si>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</si>
  <si>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</si>
  <si>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</si>
  <si>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</si>
  <si>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</si>
  <si>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</si>
  <si>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</si>
  <si>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</si>
  <si>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</si>
  <si>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</si>
  <si>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</si>
  <si>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</si>
  <si>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</si>
  <si>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</si>
  <si>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</si>
  <si>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</si>
  <si>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</si>
  <si>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</si>
  <si>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</si>
  <si>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</si>
  <si>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</si>
  <si>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</si>
  <si>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</si>
  <si>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</si>
  <si>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</si>
  <si>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</si>
  <si>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</si>
  <si>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</si>
  <si>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</si>
  <si>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</si>
  <si>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</si>
  <si>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</si>
  <si>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</si>
  <si>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</si>
  <si>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</si>
  <si>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</si>
  <si>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</si>
  <si>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</si>
  <si>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</si>
  <si>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</si>
  <si>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</si>
  <si>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</si>
  <si>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</si>
  <si>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</si>
  <si>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</si>
  <si>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</si>
  <si>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</si>
  <si>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</si>
  <si>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</si>
  <si>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</si>
  <si>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</si>
  <si>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</si>
  <si>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</si>
  <si>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</si>
  <si>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</si>
  <si>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</si>
  <si>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</si>
  <si>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</si>
  <si>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</si>
  <si>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</si>
  <si>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</si>
  <si>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</si>
  <si>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</si>
  <si>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</si>
  <si>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</si>
  <si>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</si>
  <si>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</si>
  <si>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</si>
  <si>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</si>
  <si>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</si>
  <si>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</si>
  <si>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</si>
  <si>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</si>
  <si>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</si>
  <si>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</si>
  <si>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</si>
  <si>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</si>
  <si>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</si>
  <si>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</si>
  <si>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</si>
  <si>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</si>
  <si>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</si>
  <si>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</si>
  <si>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</si>
  <si>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</si>
  <si>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</si>
  <si>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</si>
  <si>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</si>
  <si>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</si>
  <si>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</si>
  <si>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</si>
  <si>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</si>
  <si>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</si>
  <si>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</si>
  <si>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</si>
  <si>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</si>
  <si>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</si>
  <si>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</si>
  <si>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</si>
  <si>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</si>
  <si>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</si>
  <si>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</si>
  <si>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</si>
  <si>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</si>
  <si>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</si>
  <si>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</si>
  <si>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</si>
  <si>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</si>
  <si>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</si>
  <si>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</si>
  <si>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</si>
  <si>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</si>
  <si>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</si>
  <si>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</si>
  <si>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</si>
  <si>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</si>
  <si>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</si>
  <si>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</si>
  <si>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</si>
  <si>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</si>
  <si>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</si>
  <si>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</si>
  <si>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</si>
  <si>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</si>
  <si>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</si>
  <si>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</si>
  <si>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</si>
  <si>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</si>
  <si>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</si>
  <si>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</si>
  <si>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</si>
  <si>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</si>
  <si>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</si>
  <si>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</si>
  <si>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</si>
  <si>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</si>
  <si>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</si>
  <si>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</si>
  <si>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</si>
  <si>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</si>
  <si>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</si>
  <si>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</si>
  <si>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</si>
  <si>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</si>
  <si>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</si>
  <si>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</si>
  <si>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</si>
  <si>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</si>
  <si>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</si>
  <si>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</si>
  <si>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</si>
  <si>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</si>
  <si>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</si>
  <si>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</si>
  <si>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</si>
  <si>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</si>
  <si>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</si>
  <si>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</si>
  <si>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</si>
  <si>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</si>
  <si>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</si>
  <si>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</si>
  <si>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</si>
  <si>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</si>
  <si>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</si>
  <si>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</si>
  <si>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</si>
  <si>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</si>
  <si>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</si>
  <si>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</si>
  <si>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</si>
  <si>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</si>
  <si>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</si>
  <si>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</si>
  <si>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</si>
  <si>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</si>
  <si>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</si>
  <si>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</si>
  <si>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</si>
  <si>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</si>
  <si>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</si>
  <si>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</si>
  <si>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</si>
  <si>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</si>
  <si>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</si>
  <si>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</si>
  <si>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</si>
  <si>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</si>
  <si>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</si>
  <si>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</si>
  <si>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</si>
  <si>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</si>
  <si>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</si>
  <si>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</si>
  <si>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</si>
  <si>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</si>
  <si>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</si>
  <si>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</si>
  <si>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</si>
  <si>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</si>
  <si>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</si>
  <si>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</si>
  <si>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</si>
  <si>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</si>
  <si>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</si>
  <si>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</si>
  <si>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</si>
  <si>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</si>
  <si>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</si>
  <si>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</si>
  <si>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</si>
  <si>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</si>
  <si>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</si>
  <si>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</si>
  <si>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</si>
  <si>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</si>
  <si>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</si>
  <si>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</si>
  <si>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</si>
  <si>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</si>
  <si>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</si>
  <si>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</si>
  <si>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</si>
  <si>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</si>
  <si>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</si>
  <si>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</si>
  <si>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</si>
  <si>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</si>
  <si>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</si>
  <si>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</si>
  <si>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</si>
  <si>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</si>
  <si>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</si>
  <si>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</si>
  <si>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</si>
  <si>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</si>
  <si>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</si>
  <si>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</si>
  <si>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</si>
  <si>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</si>
  <si>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</si>
  <si>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</si>
  <si>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</si>
  <si>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</si>
  <si>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</si>
  <si>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</si>
  <si>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</si>
  <si>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</si>
  <si>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</si>
  <si>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</si>
  <si>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</si>
  <si>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</si>
  <si>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</si>
  <si>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</si>
  <si>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</si>
  <si>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</si>
  <si>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</si>
  <si>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</si>
  <si>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</si>
  <si>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</si>
  <si>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</si>
  <si>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</si>
  <si>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</si>
  <si>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</si>
  <si>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</si>
  <si>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</si>
  <si>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</si>
  <si>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</si>
  <si>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</si>
  <si>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</si>
  <si>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</si>
  <si>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</si>
  <si>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</si>
  <si>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</si>
  <si>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</si>
  <si>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</si>
  <si>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</si>
  <si>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</si>
  <si>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</si>
  <si>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</si>
  <si>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</si>
  <si>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</si>
  <si>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</si>
  <si>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</si>
  <si>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</si>
  <si>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</si>
  <si>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</si>
  <si>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</si>
  <si>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</si>
  <si>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</si>
  <si>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</si>
  <si>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</si>
  <si>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</si>
  <si>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</si>
  <si>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</si>
  <si>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</si>
  <si>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</si>
  <si>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</si>
  <si>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</si>
  <si>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</si>
  <si>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</si>
  <si>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</si>
  <si>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</si>
  <si>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</si>
  <si>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</si>
  <si>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</si>
  <si>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</si>
  <si>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</si>
  <si>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</si>
  <si>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</si>
  <si>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</si>
  <si>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</si>
  <si>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</si>
  <si>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</si>
  <si>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</si>
  <si>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</si>
  <si>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</si>
  <si>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</si>
  <si>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</si>
  <si>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</si>
  <si>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</si>
  <si>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</si>
  <si>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</si>
  <si>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</si>
  <si>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</si>
  <si>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</si>
  <si>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</si>
  <si>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</si>
  <si>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</si>
  <si>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</si>
  <si>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</si>
  <si>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</si>
  <si>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</si>
  <si>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</si>
  <si>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</si>
  <si>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</si>
  <si>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</si>
  <si>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</si>
  <si>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</si>
  <si>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</si>
  <si>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</si>
  <si>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</si>
  <si>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</si>
  <si>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</si>
  <si>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</si>
  <si>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</si>
  <si>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</si>
  <si>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</si>
  <si>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</si>
  <si>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</si>
  <si>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</si>
  <si>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</si>
  <si>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</si>
  <si>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</si>
  <si>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</si>
  <si>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</si>
  <si>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</si>
  <si>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</si>
  <si>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</si>
  <si>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</si>
  <si>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</si>
  <si>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</si>
  <si>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</si>
  <si>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</si>
  <si>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</si>
  <si>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</si>
  <si>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</si>
  <si>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</si>
  <si>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</si>
  <si>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</si>
  <si>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</si>
  <si>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</si>
  <si>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</si>
  <si>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</si>
  <si>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</si>
  <si>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</si>
  <si>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</si>
  <si>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</si>
  <si>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</si>
  <si>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</si>
  <si>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</si>
  <si>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</si>
  <si>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</si>
  <si>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</si>
  <si>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</si>
  <si>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</si>
  <si>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</si>
  <si>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</si>
  <si>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</si>
  <si>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</si>
  <si>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</si>
  <si>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</si>
  <si>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</si>
  <si>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</si>
  <si>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</si>
  <si>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</si>
  <si>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</si>
  <si>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</si>
  <si>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</si>
  <si>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</si>
  <si>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</si>
  <si>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</si>
  <si>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</si>
  <si>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</si>
  <si>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</si>
  <si>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</si>
  <si>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</si>
  <si>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</si>
  <si>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</si>
  <si>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</si>
  <si>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</si>
  <si>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</si>
  <si>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</si>
  <si>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</si>
  <si>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</si>
  <si>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</si>
  <si>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</si>
  <si>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</si>
  <si>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</si>
  <si>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</si>
  <si>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</si>
  <si>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</si>
  <si>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</si>
  <si>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</si>
  <si>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</si>
  <si>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</si>
  <si>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</si>
  <si>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</si>
  <si>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</si>
  <si>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</si>
  <si>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</si>
  <si>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</si>
  <si>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</si>
  <si>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</si>
  <si>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</si>
  <si>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</si>
  <si>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</si>
  <si>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</si>
  <si>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</si>
  <si>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</si>
  <si>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</si>
  <si>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</si>
  <si>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</si>
  <si>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</si>
  <si>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</si>
  <si>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</si>
  <si>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</si>
  <si>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</si>
  <si>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</si>
  <si>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</si>
  <si>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</si>
  <si>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</si>
  <si>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</si>
  <si>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</si>
  <si>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</si>
  <si>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</si>
  <si>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</si>
  <si>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Substitution ratio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</si>
  <si>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</si>
  <si>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</si>
  <si>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</si>
  <si>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</si>
  <si>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</si>
  <si>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</si>
  <si>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</si>
  <si>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</si>
  <si>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</si>
  <si>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</si>
  <si>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</si>
  <si>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</si>
  <si>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</si>
  <si>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</si>
  <si>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</si>
  <si>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</si>
  <si>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</si>
  <si>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</si>
  <si>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</si>
  <si>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</si>
  <si>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</si>
  <si>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</si>
  <si>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</si>
  <si>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</si>
  <si>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</si>
  <si>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</si>
  <si>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</si>
  <si>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</si>
  <si>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</si>
  <si>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</si>
  <si>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</si>
  <si>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</si>
  <si>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</si>
  <si>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</si>
  <si>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</si>
  <si>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</si>
  <si>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</si>
  <si>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</si>
  <si>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</si>
  <si>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</si>
  <si>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</si>
  <si>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</si>
  <si>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</si>
  <si>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</si>
  <si>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</si>
  <si>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</si>
  <si>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</si>
  <si>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</si>
  <si>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</si>
  <si>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</si>
  <si>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</si>
  <si>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</si>
  <si>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</si>
  <si>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</si>
  <si>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</si>
  <si>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</si>
  <si>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</si>
  <si>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</si>
  <si>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</si>
  <si>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</si>
  <si>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</si>
  <si>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</si>
  <si>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</si>
  <si>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</si>
  <si>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</si>
  <si>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</si>
  <si>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</si>
  <si>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</si>
  <si>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</si>
  <si>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</si>
  <si>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</si>
  <si>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</si>
  <si>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</si>
  <si>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</si>
  <si>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</si>
  <si>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</si>
  <si>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</si>
  <si>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</si>
  <si>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</si>
  <si>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</si>
  <si>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</si>
  <si>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</si>
  <si>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</si>
  <si>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</si>
  <si>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</si>
  <si>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</si>
  <si>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</si>
  <si>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</si>
  <si>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</si>
  <si>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</si>
  <si>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</si>
  <si>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</si>
  <si>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</si>
  <si>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</si>
  <si>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</si>
  <si>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</si>
  <si>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</si>
  <si>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</si>
  <si>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</si>
  <si>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</si>
  <si>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</si>
  <si>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</si>
  <si>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</si>
  <si>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</si>
  <si>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</si>
  <si>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</si>
  <si>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</si>
  <si>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</si>
  <si>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</si>
  <si>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</si>
  <si>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</si>
  <si>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</si>
  <si>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</si>
  <si>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</si>
  <si>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</si>
  <si>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</si>
  <si>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</si>
  <si>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</si>
  <si>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</si>
  <si>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</si>
  <si>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</si>
  <si>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</si>
  <si>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</si>
  <si>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</si>
  <si>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</si>
  <si>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</si>
  <si>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</si>
  <si>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</si>
  <si>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</si>
  <si>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</si>
  <si>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</si>
  <si>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</si>
  <si>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</si>
  <si>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</si>
  <si>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</si>
  <si>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</si>
  <si>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</si>
  <si>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</si>
  <si>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</si>
  <si>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</si>
  <si>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</si>
  <si>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</si>
  <si>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</si>
  <si>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</si>
  <si>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</si>
  <si>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</si>
  <si>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</si>
  <si>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</si>
  <si>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</si>
  <si>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</si>
  <si>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</si>
  <si>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</si>
  <si>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</si>
  <si>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</si>
  <si>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</si>
  <si>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</si>
  <si>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</si>
  <si>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</si>
  <si>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</si>
  <si>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</si>
  <si>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</si>
  <si>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</si>
  <si>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</si>
  <si>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</si>
  <si>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</si>
  <si>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</si>
  <si>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</si>
  <si>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</si>
  <si>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</si>
  <si>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</si>
  <si>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</si>
  <si>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</si>
  <si>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</si>
  <si>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</si>
  <si>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</si>
  <si>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</si>
  <si>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</si>
  <si>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</si>
  <si>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</si>
  <si>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</si>
  <si>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</si>
  <si>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</si>
  <si>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</si>
  <si>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</si>
  <si>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</si>
  <si>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</si>
  <si>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</si>
  <si>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</si>
  <si>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</si>
  <si>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</si>
  <si>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</si>
  <si>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</si>
  <si>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</si>
  <si>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</si>
  <si>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</si>
  <si>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</si>
  <si>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</si>
  <si>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</si>
  <si>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</si>
  <si>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</si>
  <si>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</si>
  <si>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</si>
  <si>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</si>
  <si>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</si>
  <si>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</si>
  <si>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</si>
  <si>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</si>
  <si>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</si>
  <si>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</si>
  <si>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</si>
  <si>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</si>
  <si>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</si>
  <si>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</si>
  <si>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</si>
  <si>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</si>
  <si>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</si>
  <si>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</si>
  <si>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</si>
  <si>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xportToField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</si>
  <si>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</si>
  <si>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</si>
  <si>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</si>
  <si>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</si>
  <si>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</si>
  <si>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</si>
  <si>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</si>
  <si>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</si>
  <si>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</si>
  <si>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Compost_N_remaining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</si>
  <si>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</si>
  <si>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</si>
  <si>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</si>
  <si>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</si>
  <si>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</si>
  <si>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</si>
  <si>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</si>
  <si>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</si>
  <si>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</si>
  <si>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</si>
  <si>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</si>
  <si>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</si>
  <si>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</si>
  <si>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</si>
  <si>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</si>
  <si>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</si>
  <si>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</si>
  <si>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</si>
  <si>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</si>
  <si>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</si>
  <si>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</si>
  <si>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</si>
  <si>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</si>
  <si>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</si>
  <si>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</si>
  <si>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</si>
  <si>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</si>
  <si>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</si>
  <si>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</si>
  <si>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</si>
  <si>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</si>
  <si>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2-14% of C in compost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</si>
  <si>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</si>
  <si>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</si>
  <si>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</si>
  <si>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</si>
  <si>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</si>
  <si>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N_effective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</si>
  <si>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</si>
  <si>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</si>
  <si>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</si>
  <si>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</si>
  <si>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</si>
  <si>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</si>
  <si>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</si>
  <si>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</si>
  <si>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</si>
  <si>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</si>
  <si>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</si>
  <si>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</si>
  <si>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</si>
  <si>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</si>
  <si>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</si>
  <si>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</si>
  <si>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</si>
  <si>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</si>
  <si>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</si>
  <si>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</si>
  <si>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</si>
  <si>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</si>
  <si>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</si>
  <si>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</si>
  <si>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</si>
  <si>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</si>
  <si>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</si>
  <si>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</si>
  <si>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</si>
  <si>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</si>
  <si>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</si>
  <si>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</si>
  <si>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</si>
  <si>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low</t>
  </si>
  <si>
    <t>high</t>
  </si>
  <si>
    <t>% of C applied</t>
  </si>
  <si>
    <t>Bruun et al, 2006</t>
  </si>
  <si>
    <t>Calculated by subracting CO2-C factor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</si>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</sst>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5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1" fontId="0" fillId="6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0" fontId="28" fillId="0" borderId="0" xfId="0" applyFont="1"/>
    <xf numFmtId="43" fontId="20" fillId="3" borderId="0" xfId="1" applyFont="1" applyFill="1"/>
  </cellXfs>
  <cellStyles count="435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4242728"/>
        <c:axId val="-2127516120"/>
      </c:barChart>
      <c:catAx>
        <c:axId val="-214424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7516120"/>
        <c:crosses val="autoZero"/>
        <c:auto val="1"/>
        <c:lblAlgn val="ctr"/>
        <c:lblOffset val="100"/>
        <c:noMultiLvlLbl val="0"/>
      </c:catAx>
      <c:valAx>
        <c:axId val="-2127516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4242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6540440"/>
        <c:axId val="2121279016"/>
      </c:barChart>
      <c:catAx>
        <c:axId val="-212654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279016"/>
        <c:crosses val="autoZero"/>
        <c:auto val="1"/>
        <c:lblAlgn val="ctr"/>
        <c:lblOffset val="100"/>
        <c:noMultiLvlLbl val="0"/>
      </c:catAx>
      <c:valAx>
        <c:axId val="212127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6540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109343640"/>
        <c:axId val="-2127552312"/>
      </c:barChart>
      <c:catAx>
        <c:axId val="-210934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27552312"/>
        <c:crosses val="autoZero"/>
        <c:auto val="1"/>
        <c:lblAlgn val="ctr"/>
        <c:lblOffset val="100"/>
        <c:noMultiLvlLbl val="1"/>
      </c:catAx>
      <c:valAx>
        <c:axId val="-212755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34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</cols>
  <sheetData>
    <row r="1" spans="1:18" s="44" customFormat="1" ht="13" customHeight="1">
      <c r="A1" s="41" t="s">
        <v>661</v>
      </c>
      <c r="B1" s="41" t="s">
        <v>14</v>
      </c>
      <c r="C1" s="41" t="s">
        <v>116</v>
      </c>
      <c r="D1" s="200" t="s">
        <v>643</v>
      </c>
      <c r="E1" s="41" t="s">
        <v>2</v>
      </c>
      <c r="F1" s="41" t="s">
        <v>5</v>
      </c>
    </row>
    <row r="2" spans="1:18">
      <c r="A2" t="s">
        <v>664</v>
      </c>
      <c r="B2" t="s">
        <v>667</v>
      </c>
      <c r="C2" s="197">
        <f>J66</f>
        <v>0.44445499769952745</v>
      </c>
      <c r="F2" t="s">
        <v>686</v>
      </c>
    </row>
    <row r="3" spans="1:18">
      <c r="A3" t="s">
        <v>666</v>
      </c>
      <c r="B3" t="s">
        <v>667</v>
      </c>
      <c r="C3" s="197">
        <f>J65</f>
        <v>0.53090857076072773</v>
      </c>
      <c r="F3" t="s">
        <v>686</v>
      </c>
    </row>
    <row r="4" spans="1:18">
      <c r="A4" t="s">
        <v>665</v>
      </c>
      <c r="B4" t="s">
        <v>667</v>
      </c>
      <c r="C4" s="197">
        <f>J67</f>
        <v>0.77143668844394409</v>
      </c>
      <c r="F4" t="s">
        <v>686</v>
      </c>
    </row>
    <row r="5" spans="1:18">
      <c r="A5" s="1" t="s">
        <v>39</v>
      </c>
      <c r="B5" s="1" t="s">
        <v>118</v>
      </c>
      <c r="C5" s="198">
        <v>265</v>
      </c>
      <c r="D5" s="1"/>
      <c r="E5" s="1" t="s">
        <v>769</v>
      </c>
      <c r="H5" s="30"/>
      <c r="I5" s="30"/>
      <c r="J5" s="30"/>
      <c r="K5" s="27"/>
      <c r="L5" s="27"/>
      <c r="M5" s="27"/>
    </row>
    <row r="6" spans="1:18">
      <c r="A6" s="1" t="s">
        <v>27</v>
      </c>
      <c r="B6" s="1" t="s">
        <v>29</v>
      </c>
      <c r="C6" s="198">
        <v>28</v>
      </c>
      <c r="D6" s="1"/>
      <c r="E6" s="23" t="s">
        <v>769</v>
      </c>
      <c r="H6" s="29"/>
      <c r="I6" s="29"/>
      <c r="J6" s="29"/>
      <c r="K6" s="28"/>
      <c r="L6" s="27"/>
      <c r="M6" s="27"/>
    </row>
    <row r="7" spans="1:18">
      <c r="A7" t="s">
        <v>644</v>
      </c>
      <c r="B7" t="s">
        <v>646</v>
      </c>
      <c r="C7" s="195">
        <v>0.45</v>
      </c>
      <c r="D7" t="s">
        <v>552</v>
      </c>
      <c r="E7" t="s">
        <v>647</v>
      </c>
    </row>
    <row r="8" spans="1:18" s="47" customFormat="1">
      <c r="A8" s="117" t="s">
        <v>652</v>
      </c>
      <c r="B8" s="106" t="s">
        <v>650</v>
      </c>
      <c r="C8" s="199" t="s">
        <v>466</v>
      </c>
      <c r="F8" s="121">
        <f>34003/1000000</f>
        <v>3.4002999999999999E-2</v>
      </c>
      <c r="G8" s="106" t="s">
        <v>468</v>
      </c>
      <c r="H8" s="106"/>
      <c r="I8" s="106"/>
      <c r="J8" s="106"/>
    </row>
    <row r="9" spans="1:18" s="47" customFormat="1">
      <c r="A9" s="117" t="s">
        <v>785</v>
      </c>
      <c r="B9" s="106"/>
      <c r="C9" s="199"/>
      <c r="F9" s="121"/>
      <c r="G9" s="106"/>
      <c r="H9" s="106"/>
      <c r="I9" s="106"/>
      <c r="J9" s="106"/>
    </row>
    <row r="10" spans="1:18" s="106" customFormat="1" ht="14">
      <c r="A10" s="106" t="s">
        <v>460</v>
      </c>
      <c r="B10" s="112" t="s">
        <v>651</v>
      </c>
      <c r="C10" s="199"/>
      <c r="D10" s="122">
        <f>F10/1000*F8</f>
        <v>2.6982740619999999</v>
      </c>
      <c r="F10" s="118">
        <v>79354</v>
      </c>
      <c r="G10" s="112" t="s">
        <v>590</v>
      </c>
      <c r="H10" s="112"/>
      <c r="I10" s="112"/>
      <c r="J10" s="112"/>
      <c r="K10" s="106" t="s">
        <v>591</v>
      </c>
    </row>
    <row r="11" spans="1:18" s="106" customFormat="1" ht="14">
      <c r="A11" s="106" t="s">
        <v>462</v>
      </c>
      <c r="B11" s="112" t="s">
        <v>651</v>
      </c>
      <c r="C11" s="199"/>
      <c r="D11" s="122">
        <f>F11/1000*F8*Parameters!C5</f>
        <v>1.8021590000000001E-2</v>
      </c>
      <c r="F11" s="118">
        <v>2</v>
      </c>
      <c r="G11" s="112" t="s">
        <v>467</v>
      </c>
      <c r="H11" s="112"/>
      <c r="I11" s="112"/>
      <c r="J11" s="112"/>
      <c r="K11" s="106" t="s">
        <v>459</v>
      </c>
    </row>
    <row r="12" spans="1:18" s="27" customFormat="1" ht="14">
      <c r="A12" s="112" t="s">
        <v>461</v>
      </c>
      <c r="B12" s="112" t="s">
        <v>651</v>
      </c>
      <c r="C12" s="196"/>
      <c r="D12" s="123">
        <f>F12*Parameters!C6/1000*F8</f>
        <v>4.1986904399999997E-3</v>
      </c>
      <c r="F12" s="27">
        <v>4.41</v>
      </c>
      <c r="G12" s="112" t="s">
        <v>467</v>
      </c>
      <c r="H12" s="112"/>
      <c r="I12" s="112"/>
      <c r="J12" s="112"/>
      <c r="K12" s="106" t="s">
        <v>459</v>
      </c>
      <c r="N12" s="112"/>
      <c r="R12" s="120"/>
    </row>
    <row r="13" spans="1:18">
      <c r="A13" s="1" t="s">
        <v>645</v>
      </c>
      <c r="C13" s="272">
        <f>SUM(D10:D12)</f>
        <v>2.7204943424399999</v>
      </c>
      <c r="E13" t="s">
        <v>649</v>
      </c>
      <c r="N13" s="1"/>
      <c r="O13" s="1"/>
      <c r="P13" s="1"/>
    </row>
    <row r="14" spans="1:18">
      <c r="A14" s="1" t="s">
        <v>425</v>
      </c>
      <c r="B14" s="1" t="s">
        <v>126</v>
      </c>
      <c r="C14" s="198">
        <v>533.66</v>
      </c>
      <c r="E14" t="s">
        <v>141</v>
      </c>
      <c r="F14" s="27" t="s">
        <v>142</v>
      </c>
    </row>
    <row r="15" spans="1:18">
      <c r="A15" s="43" t="s">
        <v>783</v>
      </c>
      <c r="B15" s="1"/>
      <c r="C15" s="198"/>
      <c r="F15" s="27"/>
    </row>
    <row r="16" spans="1:18">
      <c r="A16" s="1" t="s">
        <v>599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7">
      <c r="A17" s="1" t="s">
        <v>708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7">
      <c r="A18" s="1" t="s">
        <v>726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7">
      <c r="A19" s="1" t="s">
        <v>424</v>
      </c>
      <c r="B19" s="1" t="s">
        <v>28</v>
      </c>
      <c r="C19" s="198">
        <v>0.67</v>
      </c>
      <c r="D19" s="1"/>
      <c r="E19" s="23"/>
      <c r="H19" s="27"/>
      <c r="I19" s="27"/>
      <c r="J19" s="27"/>
      <c r="K19" s="27"/>
      <c r="L19" s="27"/>
      <c r="M19" s="27"/>
    </row>
    <row r="20" spans="1:17" s="45" customFormat="1">
      <c r="A20" s="27" t="s">
        <v>134</v>
      </c>
      <c r="B20" s="46" t="s">
        <v>135</v>
      </c>
      <c r="C20" s="196">
        <v>35315</v>
      </c>
      <c r="E20" s="27"/>
      <c r="F20"/>
    </row>
    <row r="21" spans="1:17">
      <c r="A21" s="1"/>
      <c r="P21" s="69"/>
    </row>
    <row r="22" spans="1:17">
      <c r="A22" s="1"/>
      <c r="P22" s="69"/>
    </row>
    <row r="23" spans="1:17">
      <c r="A23" s="1"/>
      <c r="P23" s="69" t="s">
        <v>768</v>
      </c>
      <c r="Q23" t="s">
        <v>672</v>
      </c>
    </row>
    <row r="24" spans="1:17" s="44" customFormat="1">
      <c r="A24" s="45" t="s">
        <v>662</v>
      </c>
    </row>
    <row r="25" spans="1:17" ht="37" thickBot="1">
      <c r="A25" s="159" t="s">
        <v>663</v>
      </c>
      <c r="B25" s="159" t="s">
        <v>407</v>
      </c>
      <c r="C25" s="159" t="s">
        <v>528</v>
      </c>
      <c r="D25" s="159" t="s">
        <v>451</v>
      </c>
      <c r="E25" s="159" t="s">
        <v>49</v>
      </c>
      <c r="F25" s="159" t="s">
        <v>50</v>
      </c>
      <c r="G25" s="159" t="s">
        <v>408</v>
      </c>
      <c r="H25" s="159" t="s">
        <v>481</v>
      </c>
      <c r="I25" s="159" t="s">
        <v>473</v>
      </c>
      <c r="J25" s="159" t="s">
        <v>635</v>
      </c>
      <c r="K25" s="159" t="s">
        <v>530</v>
      </c>
      <c r="L25" s="159" t="s">
        <v>531</v>
      </c>
      <c r="M25" s="159" t="s">
        <v>532</v>
      </c>
      <c r="N25" s="162" t="s">
        <v>533</v>
      </c>
      <c r="O25" s="159" t="s">
        <v>534</v>
      </c>
      <c r="P25" s="168" t="s">
        <v>767</v>
      </c>
    </row>
    <row r="26" spans="1:17" ht="17" thickTop="1" thickBot="1">
      <c r="A26" s="149" t="s">
        <v>733</v>
      </c>
      <c r="B26" s="152"/>
      <c r="C26" s="155"/>
      <c r="D26" s="149"/>
      <c r="E26" s="258"/>
      <c r="F26" s="155"/>
      <c r="G26" s="149"/>
      <c r="H26" s="152"/>
      <c r="I26" s="155"/>
      <c r="J26" s="149"/>
      <c r="K26" s="152"/>
      <c r="L26" s="155"/>
      <c r="M26" s="149"/>
      <c r="N26" s="152"/>
      <c r="O26" s="155"/>
    </row>
    <row r="27" spans="1:17" ht="16" thickBot="1">
      <c r="A27" s="149" t="s">
        <v>734</v>
      </c>
      <c r="B27" s="152">
        <v>0.3</v>
      </c>
      <c r="C27" s="155">
        <v>0.9</v>
      </c>
      <c r="D27" s="149">
        <f>C27*B27</f>
        <v>0.27</v>
      </c>
      <c r="E27" s="258">
        <f>F27/D27</f>
        <v>334.11111111111109</v>
      </c>
      <c r="F27" s="252">
        <f>H27*B27</f>
        <v>90.21</v>
      </c>
      <c r="G27" s="275">
        <v>9000</v>
      </c>
      <c r="H27" s="258">
        <v>300.7</v>
      </c>
      <c r="I27" s="252">
        <v>0.14399999999999999</v>
      </c>
      <c r="J27" s="257">
        <f>(Parameters!C3*Parameters!M27+Parameters!L27*Parameters!C4+Parameters!N27*Parameters!C2)*1000*B27</f>
        <v>145.73955722402675</v>
      </c>
      <c r="K27" s="152"/>
      <c r="L27" s="155">
        <v>0.1</v>
      </c>
      <c r="M27" s="189">
        <v>0.1</v>
      </c>
      <c r="N27" s="152">
        <v>0.8</v>
      </c>
      <c r="O27" s="155">
        <v>0.84099999999999997</v>
      </c>
      <c r="P27" t="s">
        <v>472</v>
      </c>
    </row>
    <row r="28" spans="1:17" ht="16" thickBot="1">
      <c r="A28" s="149" t="s">
        <v>643</v>
      </c>
      <c r="B28" s="152" t="s">
        <v>672</v>
      </c>
      <c r="C28" s="155"/>
      <c r="D28" s="149" t="s">
        <v>673</v>
      </c>
      <c r="E28" s="258"/>
      <c r="F28" s="252"/>
      <c r="G28" s="149" t="s">
        <v>541</v>
      </c>
      <c r="H28" s="152" t="s">
        <v>672</v>
      </c>
      <c r="I28" s="155"/>
      <c r="J28" s="149" t="s">
        <v>18</v>
      </c>
      <c r="K28" s="152"/>
      <c r="L28" s="155"/>
      <c r="M28" s="160"/>
      <c r="N28" s="152"/>
      <c r="O28" s="155" t="s">
        <v>823</v>
      </c>
    </row>
    <row r="29" spans="1:17" ht="16" thickBot="1">
      <c r="A29" s="149" t="s">
        <v>2</v>
      </c>
      <c r="B29" s="152"/>
      <c r="C29" s="155"/>
      <c r="D29" s="149"/>
      <c r="E29" s="258"/>
      <c r="F29" s="252"/>
      <c r="G29" s="149"/>
      <c r="H29" s="152"/>
      <c r="I29" s="155"/>
      <c r="J29" s="149" t="s">
        <v>674</v>
      </c>
      <c r="K29" s="152"/>
      <c r="L29" s="155" t="s">
        <v>669</v>
      </c>
      <c r="M29" s="160" t="s">
        <v>669</v>
      </c>
      <c r="N29" s="152" t="s">
        <v>669</v>
      </c>
      <c r="O29" s="155" t="s">
        <v>669</v>
      </c>
    </row>
    <row r="30" spans="1:17" ht="16" thickBot="1">
      <c r="A30" s="149"/>
      <c r="B30" s="152"/>
      <c r="C30" s="155"/>
      <c r="D30" s="149"/>
      <c r="E30" s="258"/>
      <c r="F30" s="252"/>
      <c r="G30" s="149"/>
      <c r="H30" s="152"/>
      <c r="I30" s="155"/>
      <c r="J30" s="149" t="s">
        <v>541</v>
      </c>
      <c r="K30" s="152"/>
      <c r="L30" s="155"/>
      <c r="M30" s="189"/>
      <c r="N30" s="152"/>
      <c r="O30" s="155"/>
    </row>
    <row r="31" spans="1:17" ht="16" thickBot="1">
      <c r="A31" s="149"/>
      <c r="B31" s="152"/>
      <c r="C31" s="155"/>
      <c r="D31" s="149"/>
      <c r="E31" s="258"/>
      <c r="F31" s="252"/>
      <c r="G31" s="149"/>
      <c r="H31" s="152"/>
      <c r="I31" s="155"/>
      <c r="J31" s="149">
        <f>E27*D27</f>
        <v>90.21</v>
      </c>
      <c r="K31" s="152"/>
      <c r="L31" s="155"/>
      <c r="M31" s="160"/>
      <c r="N31" s="152"/>
      <c r="O31" s="155"/>
    </row>
    <row r="32" spans="1:17" ht="16" thickBot="1">
      <c r="A32" s="149"/>
      <c r="B32" s="152"/>
      <c r="C32" s="155"/>
      <c r="D32" s="149"/>
      <c r="E32" s="258"/>
      <c r="F32" s="252"/>
      <c r="G32" s="149"/>
      <c r="H32" s="152"/>
      <c r="I32" s="155"/>
      <c r="J32" s="149" t="s">
        <v>672</v>
      </c>
      <c r="K32" s="152"/>
      <c r="L32" s="155"/>
      <c r="M32" s="160"/>
      <c r="N32" s="152"/>
      <c r="O32" s="155"/>
    </row>
    <row r="33" spans="1:20" ht="16" thickBot="1">
      <c r="A33" s="149" t="s">
        <v>736</v>
      </c>
      <c r="B33" s="152"/>
      <c r="C33" s="155"/>
      <c r="D33" s="149"/>
      <c r="E33" s="258"/>
      <c r="F33" s="252"/>
      <c r="G33" s="149"/>
      <c r="H33" s="152"/>
      <c r="I33" s="155"/>
      <c r="J33" s="149"/>
      <c r="K33" s="152"/>
      <c r="L33" s="155"/>
      <c r="M33" s="189"/>
      <c r="N33" s="152"/>
      <c r="O33" s="155"/>
    </row>
    <row r="34" spans="1:20" ht="16" thickBot="1">
      <c r="A34" s="149" t="s">
        <v>11</v>
      </c>
      <c r="B34" s="152">
        <v>0.18</v>
      </c>
      <c r="C34" s="155">
        <f>D34/B34</f>
        <v>0.94444444444444453</v>
      </c>
      <c r="D34" s="149">
        <v>0.17</v>
      </c>
      <c r="E34" s="258">
        <v>887</v>
      </c>
      <c r="F34" s="252">
        <v>150.79</v>
      </c>
      <c r="G34" s="149">
        <f>0.0056*1000000</f>
        <v>5600</v>
      </c>
      <c r="H34" s="152"/>
      <c r="I34" s="155"/>
      <c r="J34" s="149"/>
      <c r="K34" s="152"/>
      <c r="L34" s="155"/>
      <c r="M34" s="160"/>
      <c r="N34" s="152"/>
      <c r="O34" s="155"/>
      <c r="P34" s="101" t="s">
        <v>157</v>
      </c>
    </row>
    <row r="35" spans="1:20" ht="16" thickBot="1">
      <c r="A35" s="150" t="s">
        <v>51</v>
      </c>
      <c r="B35" s="153">
        <f>(1-0.927)</f>
        <v>7.2999999999999954E-2</v>
      </c>
      <c r="C35" s="156">
        <f t="shared" ref="C35" si="0">D35/B35</f>
        <v>0.68493150684931559</v>
      </c>
      <c r="D35" s="150">
        <v>0.05</v>
      </c>
      <c r="E35" s="276">
        <v>300</v>
      </c>
      <c r="F35" s="253">
        <v>15</v>
      </c>
      <c r="G35" s="150">
        <v>580</v>
      </c>
      <c r="H35" s="153"/>
      <c r="I35" s="156"/>
      <c r="J35" s="150"/>
      <c r="K35" s="153"/>
      <c r="L35" s="156">
        <f>0.009/0.073</f>
        <v>0.12328767123287671</v>
      </c>
      <c r="M35" s="160">
        <f>0.009/0.073</f>
        <v>0.12328767123287671</v>
      </c>
      <c r="N35" s="153">
        <f>0.049/0.073</f>
        <v>0.67123287671232879</v>
      </c>
      <c r="O35" s="156"/>
      <c r="P35" s="24" t="s">
        <v>52</v>
      </c>
      <c r="T35" t="s">
        <v>737</v>
      </c>
    </row>
    <row r="36" spans="1:20" ht="17" thickTop="1" thickBot="1">
      <c r="A36" s="149" t="s">
        <v>739</v>
      </c>
      <c r="B36" s="152"/>
      <c r="C36" s="155"/>
      <c r="D36" s="149"/>
      <c r="E36" s="258"/>
      <c r="F36" s="252"/>
      <c r="G36" s="149"/>
      <c r="H36" s="152"/>
      <c r="I36" s="155"/>
      <c r="J36" s="149"/>
      <c r="K36" s="152"/>
      <c r="L36" s="155"/>
      <c r="M36" s="189"/>
      <c r="N36" s="152"/>
      <c r="O36" s="155"/>
      <c r="P36" s="24"/>
    </row>
    <row r="37" spans="1:20" ht="16" thickBot="1">
      <c r="A37" s="149" t="s">
        <v>740</v>
      </c>
      <c r="B37" s="152"/>
      <c r="C37" s="155"/>
      <c r="D37" s="149"/>
      <c r="E37" s="258"/>
      <c r="F37" s="252"/>
      <c r="G37" s="149"/>
      <c r="H37" s="152"/>
      <c r="I37" s="155"/>
      <c r="J37" s="149"/>
      <c r="K37" s="152"/>
      <c r="L37" s="155"/>
      <c r="M37" s="160"/>
      <c r="N37" s="152"/>
      <c r="O37" s="155"/>
      <c r="P37" s="24"/>
    </row>
    <row r="38" spans="1:20" ht="16" thickBot="1">
      <c r="A38" s="149" t="s">
        <v>103</v>
      </c>
      <c r="B38" s="152">
        <f>(1-7%)</f>
        <v>0.92999999999999994</v>
      </c>
      <c r="C38" s="155">
        <v>0.8</v>
      </c>
      <c r="D38" s="149">
        <f>B38*C38</f>
        <v>0.74399999999999999</v>
      </c>
      <c r="E38" s="258"/>
      <c r="F38" s="155"/>
      <c r="G38" s="149">
        <v>1100</v>
      </c>
      <c r="H38" s="152"/>
      <c r="I38" s="155"/>
      <c r="J38" s="149"/>
      <c r="K38" s="152"/>
      <c r="L38" s="155">
        <f>0.029/D38</f>
        <v>3.8978494623655914E-2</v>
      </c>
      <c r="M38" s="160">
        <f>0.05/D38</f>
        <v>6.7204301075268827E-2</v>
      </c>
      <c r="N38" s="152">
        <f>0.56/D38</f>
        <v>0.75268817204301086</v>
      </c>
      <c r="O38" s="155"/>
      <c r="P38" t="s">
        <v>422</v>
      </c>
      <c r="Q38" t="s">
        <v>738</v>
      </c>
    </row>
    <row r="39" spans="1:20" ht="16" thickBot="1">
      <c r="A39" s="248" t="s">
        <v>735</v>
      </c>
      <c r="B39" s="249"/>
      <c r="C39" s="249"/>
      <c r="D39" s="249"/>
      <c r="H39" s="250"/>
      <c r="I39" s="250"/>
      <c r="J39" s="250"/>
      <c r="K39" s="59"/>
      <c r="L39" s="59"/>
      <c r="M39" s="59"/>
      <c r="N39" s="59"/>
      <c r="O39" s="59"/>
      <c r="P39" s="24"/>
    </row>
    <row r="40" spans="1:20" ht="16" thickBot="1">
      <c r="A40" s="149" t="s">
        <v>516</v>
      </c>
      <c r="B40" s="152">
        <v>0.91600000000000004</v>
      </c>
      <c r="C40" s="155">
        <v>0.97899999999999998</v>
      </c>
      <c r="D40" s="158">
        <v>0.88900000000000001</v>
      </c>
      <c r="E40" s="251">
        <v>465.3046875</v>
      </c>
      <c r="F40" s="251"/>
      <c r="G40" s="254">
        <v>14656.000000000002</v>
      </c>
      <c r="K40" s="160">
        <v>0.03</v>
      </c>
      <c r="L40" s="189">
        <v>0.11</v>
      </c>
      <c r="M40" s="189">
        <v>0.1</v>
      </c>
      <c r="N40" s="261">
        <v>0.76</v>
      </c>
      <c r="O40" s="264">
        <v>0.94</v>
      </c>
    </row>
    <row r="41" spans="1:20" ht="16" thickBot="1">
      <c r="A41" s="149" t="s">
        <v>517</v>
      </c>
      <c r="B41" s="152">
        <v>0.105</v>
      </c>
      <c r="C41" s="155">
        <v>0.90700000000000003</v>
      </c>
      <c r="D41" s="155">
        <v>0.14299999999999999</v>
      </c>
      <c r="E41" s="252">
        <v>435.97247406272294</v>
      </c>
      <c r="F41" s="252"/>
      <c r="G41" s="255">
        <v>2520</v>
      </c>
      <c r="K41" s="160">
        <v>0.09</v>
      </c>
      <c r="L41" s="160">
        <v>0.02</v>
      </c>
      <c r="M41" s="160">
        <v>0.15</v>
      </c>
      <c r="N41" s="262">
        <v>0.74</v>
      </c>
      <c r="O41" s="265">
        <v>0.98179823692937196</v>
      </c>
    </row>
    <row r="42" spans="1:20" ht="16" thickBot="1">
      <c r="A42" s="149" t="s">
        <v>518</v>
      </c>
      <c r="B42" s="152">
        <v>0.29299999999999998</v>
      </c>
      <c r="C42" s="155">
        <v>0.99299999999999999</v>
      </c>
      <c r="D42" s="155">
        <v>0.30299999999999999</v>
      </c>
      <c r="E42" s="252">
        <v>365.25479597205384</v>
      </c>
      <c r="F42" s="252"/>
      <c r="G42" s="255">
        <v>7969.6</v>
      </c>
      <c r="K42" s="160">
        <v>0.01</v>
      </c>
      <c r="L42" s="160">
        <v>0.04</v>
      </c>
      <c r="M42" s="160">
        <v>0.17</v>
      </c>
      <c r="N42" s="262">
        <v>0.79</v>
      </c>
      <c r="O42" s="265">
        <v>0.79927679923149053</v>
      </c>
    </row>
    <row r="43" spans="1:20" ht="16" thickBot="1">
      <c r="A43" s="149" t="s">
        <v>519</v>
      </c>
      <c r="B43" s="152">
        <v>7.6999999999999999E-2</v>
      </c>
      <c r="C43" s="155">
        <v>0.93300000000000005</v>
      </c>
      <c r="D43" s="155">
        <v>0.91100000000000003</v>
      </c>
      <c r="E43" s="252">
        <v>418.04822619567631</v>
      </c>
      <c r="F43" s="252"/>
      <c r="G43" s="255">
        <v>1232</v>
      </c>
      <c r="K43" s="160">
        <v>7.0000000000000007E-2</v>
      </c>
      <c r="L43" s="160">
        <v>0</v>
      </c>
      <c r="M43" s="160">
        <v>0.1</v>
      </c>
      <c r="N43" s="262">
        <v>0.82</v>
      </c>
      <c r="O43" s="265">
        <v>0.97735385922437001</v>
      </c>
    </row>
    <row r="44" spans="1:20" ht="16" thickBot="1">
      <c r="A44" s="149" t="s">
        <v>520</v>
      </c>
      <c r="B44" s="152">
        <v>0.46600000000000003</v>
      </c>
      <c r="C44" s="155">
        <v>0.97099999999999997</v>
      </c>
      <c r="D44" s="155">
        <v>7.0999999999999994E-2</v>
      </c>
      <c r="E44" s="252">
        <v>483.41632472315138</v>
      </c>
      <c r="F44" s="252"/>
      <c r="G44" s="255">
        <v>13420.8</v>
      </c>
      <c r="K44" s="160">
        <v>0.03</v>
      </c>
      <c r="L44" s="160">
        <v>0.19</v>
      </c>
      <c r="M44" s="160">
        <v>0.18</v>
      </c>
      <c r="N44" s="262">
        <v>0.61</v>
      </c>
      <c r="O44" s="265">
        <v>0.877478471550592</v>
      </c>
    </row>
    <row r="45" spans="1:20" ht="16" thickBot="1">
      <c r="A45" s="149" t="s">
        <v>671</v>
      </c>
      <c r="B45" s="152">
        <v>0.14299999999999999</v>
      </c>
      <c r="C45" s="155">
        <v>1</v>
      </c>
      <c r="D45" s="155">
        <v>3.4000000000000002E-2</v>
      </c>
      <c r="E45" s="252">
        <v>252.28816838661476</v>
      </c>
      <c r="F45" s="252"/>
      <c r="G45" s="255">
        <v>457.59999999999997</v>
      </c>
      <c r="K45" s="160">
        <v>0</v>
      </c>
      <c r="L45" s="160">
        <v>0.03</v>
      </c>
      <c r="M45" s="160">
        <v>0.02</v>
      </c>
      <c r="N45" s="262">
        <v>0.82</v>
      </c>
      <c r="O45" s="265">
        <v>0.56096498593100275</v>
      </c>
    </row>
    <row r="46" spans="1:20" ht="16" thickBot="1">
      <c r="A46" s="149" t="s">
        <v>522</v>
      </c>
      <c r="B46" s="152">
        <v>0.92700000000000005</v>
      </c>
      <c r="C46" s="155">
        <v>0.95</v>
      </c>
      <c r="D46" s="155">
        <v>0.29099999999999998</v>
      </c>
      <c r="E46" s="252">
        <v>361.81791351010088</v>
      </c>
      <c r="F46" s="252"/>
      <c r="G46" s="255">
        <v>16315.200000000003</v>
      </c>
      <c r="K46" s="160">
        <v>0.05</v>
      </c>
      <c r="L46" s="160">
        <v>0.02</v>
      </c>
      <c r="M46" s="160">
        <v>0.11</v>
      </c>
      <c r="N46" s="262">
        <v>0.82</v>
      </c>
      <c r="O46" s="265">
        <v>0.82380040804253563</v>
      </c>
    </row>
    <row r="47" spans="1:20" ht="16" thickBot="1">
      <c r="A47" s="149" t="s">
        <v>523</v>
      </c>
      <c r="B47" s="152">
        <v>3.7999999999999999E-2</v>
      </c>
      <c r="C47" s="155">
        <v>0.90600000000000003</v>
      </c>
      <c r="D47" s="155">
        <v>0.45200000000000001</v>
      </c>
      <c r="E47" s="252">
        <v>375.37065018315019</v>
      </c>
      <c r="F47" s="252"/>
      <c r="G47" s="255">
        <v>1398.3999999999999</v>
      </c>
      <c r="K47" s="160">
        <v>0.11</v>
      </c>
      <c r="L47" s="160">
        <v>0.02</v>
      </c>
      <c r="M47" s="160">
        <v>0.23</v>
      </c>
      <c r="N47" s="262">
        <v>0.66</v>
      </c>
      <c r="O47" s="265">
        <v>0.90450759080277232</v>
      </c>
    </row>
    <row r="48" spans="1:20" ht="16" thickBot="1">
      <c r="A48" s="149" t="s">
        <v>524</v>
      </c>
      <c r="B48" s="152">
        <v>0.92400000000000004</v>
      </c>
      <c r="C48" s="155">
        <v>0.97799999999999998</v>
      </c>
      <c r="D48" s="155">
        <v>0.90400000000000003</v>
      </c>
      <c r="E48" s="252">
        <v>318.40468414280525</v>
      </c>
      <c r="F48" s="252"/>
      <c r="G48" s="255">
        <v>17740.8</v>
      </c>
      <c r="K48" s="160">
        <v>0.02</v>
      </c>
      <c r="L48" s="160">
        <v>0.01</v>
      </c>
      <c r="M48" s="160">
        <v>0.12</v>
      </c>
      <c r="N48" s="262">
        <v>0.85</v>
      </c>
      <c r="O48" s="265">
        <v>0.73736998705248713</v>
      </c>
    </row>
    <row r="49" spans="1:15" ht="16" thickBot="1">
      <c r="A49" s="150" t="s">
        <v>525</v>
      </c>
      <c r="B49" s="153">
        <v>0.309</v>
      </c>
      <c r="C49" s="156">
        <v>0.97899999999999998</v>
      </c>
      <c r="D49" s="156">
        <v>9.6000000000000002E-2</v>
      </c>
      <c r="E49" s="253">
        <v>454.20873548774478</v>
      </c>
      <c r="F49" s="253"/>
      <c r="G49" s="256">
        <v>6921.6000000000013</v>
      </c>
      <c r="K49" s="161">
        <v>0.02</v>
      </c>
      <c r="L49" s="161">
        <v>0.05</v>
      </c>
      <c r="M49" s="161">
        <v>0.14000000000000001</v>
      </c>
      <c r="N49" s="263">
        <v>0.79</v>
      </c>
      <c r="O49" s="266">
        <v>0.99060618444367532</v>
      </c>
    </row>
    <row r="50" spans="1:15" ht="16" thickTop="1"/>
    <row r="54" spans="1:15" ht="16" thickBot="1">
      <c r="A54" s="150" t="s">
        <v>526</v>
      </c>
      <c r="B54" s="153">
        <v>0.10199999999999999</v>
      </c>
      <c r="C54" s="156">
        <v>0.83599999999999997</v>
      </c>
      <c r="D54" s="156">
        <v>0.89600000000000002</v>
      </c>
      <c r="K54" s="161">
        <v>0.16</v>
      </c>
      <c r="L54" s="161">
        <v>0.01</v>
      </c>
      <c r="M54" s="161">
        <v>0.14000000000000001</v>
      </c>
      <c r="N54" s="164">
        <v>0.69</v>
      </c>
      <c r="O54" s="169"/>
    </row>
    <row r="55" spans="1:15" ht="16" thickTop="1">
      <c r="A55" s="102"/>
    </row>
    <row r="57" spans="1:15">
      <c r="A57" t="s">
        <v>488</v>
      </c>
      <c r="B57" t="s">
        <v>489</v>
      </c>
      <c r="C57" t="s">
        <v>490</v>
      </c>
    </row>
    <row r="58" spans="1:15" ht="17">
      <c r="A58" t="s">
        <v>491</v>
      </c>
      <c r="B58" s="128" t="s">
        <v>492</v>
      </c>
      <c r="C58" t="s">
        <v>493</v>
      </c>
      <c r="K58" s="129"/>
    </row>
    <row r="59" spans="1:15" ht="17">
      <c r="A59" t="s">
        <v>494</v>
      </c>
      <c r="B59" s="128" t="s">
        <v>495</v>
      </c>
      <c r="C59" s="129" t="s">
        <v>496</v>
      </c>
    </row>
    <row r="60" spans="1:15">
      <c r="M60" s="130"/>
      <c r="N60" s="131"/>
    </row>
    <row r="61" spans="1:15">
      <c r="A61" s="132"/>
      <c r="B61" s="133" t="s">
        <v>497</v>
      </c>
      <c r="C61" s="133" t="s">
        <v>498</v>
      </c>
      <c r="D61" s="133" t="s">
        <v>499</v>
      </c>
      <c r="E61" s="133" t="s">
        <v>55</v>
      </c>
      <c r="F61" s="133" t="s">
        <v>500</v>
      </c>
    </row>
    <row r="62" spans="1:15">
      <c r="A62" s="134" t="s">
        <v>501</v>
      </c>
      <c r="B62" s="135">
        <v>12.0107</v>
      </c>
      <c r="C62" s="135">
        <v>1.0079400000000001</v>
      </c>
      <c r="D62" s="135">
        <v>15.9994</v>
      </c>
      <c r="E62" s="135">
        <v>14.0067</v>
      </c>
      <c r="F62" s="135">
        <v>32.064999999999998</v>
      </c>
    </row>
    <row r="64" spans="1:15">
      <c r="A64" s="136"/>
      <c r="B64" s="137" t="s">
        <v>502</v>
      </c>
      <c r="C64" s="137" t="s">
        <v>503</v>
      </c>
      <c r="D64" s="137" t="s">
        <v>504</v>
      </c>
      <c r="E64" s="137" t="s">
        <v>505</v>
      </c>
      <c r="F64" s="138" t="s">
        <v>506</v>
      </c>
      <c r="G64" s="138" t="s">
        <v>507</v>
      </c>
      <c r="H64" s="139" t="s">
        <v>508</v>
      </c>
      <c r="I64" s="140" t="s">
        <v>509</v>
      </c>
      <c r="J64" s="141" t="s">
        <v>510</v>
      </c>
      <c r="K64" s="141" t="s">
        <v>511</v>
      </c>
      <c r="L64" s="141" t="s">
        <v>512</v>
      </c>
    </row>
    <row r="65" spans="1:14">
      <c r="A65" s="50" t="s">
        <v>488</v>
      </c>
      <c r="B65" s="142">
        <v>5</v>
      </c>
      <c r="C65" s="142">
        <v>7</v>
      </c>
      <c r="D65" s="142">
        <v>2</v>
      </c>
      <c r="E65" s="142">
        <v>1</v>
      </c>
      <c r="F65" s="142"/>
      <c r="G65" s="143">
        <f>carbon*B65+hydrogen*C65+oxygen*D65+nitrogen*E65+Sulfur*F65</f>
        <v>113.11458</v>
      </c>
      <c r="H65" s="130">
        <f>($B65/2+$C65/8-$D65/4-3/8*$E65-$F65/4)*22.4/(carbon*$B65+hydrogen*$C65+oxygen*$D65+nitrogen*$E65)*1000</f>
        <v>495.07322575038518</v>
      </c>
      <c r="I65" s="144">
        <f>H65/350</f>
        <v>1.4144949307153862</v>
      </c>
      <c r="J65" s="144">
        <f>carbon*B65/G65</f>
        <v>0.53090857076072773</v>
      </c>
      <c r="K65" s="143">
        <f>nitrogen*E65/G65</f>
        <v>0.12382753841281999</v>
      </c>
      <c r="L65" s="69">
        <f>350/H65</f>
        <v>0.706966125</v>
      </c>
    </row>
    <row r="66" spans="1:14">
      <c r="A66" s="50" t="s">
        <v>494</v>
      </c>
      <c r="B66" s="142">
        <v>6</v>
      </c>
      <c r="C66" s="142">
        <v>10</v>
      </c>
      <c r="D66" s="142">
        <v>5</v>
      </c>
      <c r="E66" s="142"/>
      <c r="F66" s="142"/>
      <c r="G66" s="143">
        <f>carbon*B66+hydrogen*C66+oxygen*D66+nitrogen*E66+Sulfur*F66</f>
        <v>162.14060000000001</v>
      </c>
      <c r="H66" s="130">
        <f>($B66/2+$C66/8-$D66/4-3/8*$E66-$F66/4)*22.4/(carbon*$B66+hydrogen*$C66+oxygen*$D66+nitrogen*$E66)*1000</f>
        <v>414.45510871428866</v>
      </c>
      <c r="I66" s="144">
        <f>H66/350</f>
        <v>1.1841574534693962</v>
      </c>
      <c r="J66" s="144">
        <f>carbon*B66/G66</f>
        <v>0.44445499769952745</v>
      </c>
      <c r="K66" s="143">
        <f>nitrogen*E66/G66</f>
        <v>0</v>
      </c>
      <c r="L66" s="69">
        <f>350/H66</f>
        <v>0.84448229166666677</v>
      </c>
    </row>
    <row r="67" spans="1:14">
      <c r="A67" s="50" t="s">
        <v>491</v>
      </c>
      <c r="B67" s="145">
        <v>57</v>
      </c>
      <c r="C67" s="142">
        <v>106</v>
      </c>
      <c r="D67" s="142">
        <v>6</v>
      </c>
      <c r="E67" s="142"/>
      <c r="F67" s="142"/>
      <c r="G67" s="143">
        <f>carbon*B67+hydrogen*C67+oxygen*D67+nitrogen*E67+Sulfur*F67</f>
        <v>887.44794000000002</v>
      </c>
      <c r="H67" s="130">
        <f>($B67/2+$C67/8-$D67/4-3/8*$E67-$F67/4)*22.4/(carbon*$B67+hydrogen*$C67+oxygen*$D67+nitrogen*$E67)*1000</f>
        <v>1015.9469185313561</v>
      </c>
      <c r="I67" s="144">
        <f>H67/350</f>
        <v>2.9027054815181605</v>
      </c>
      <c r="J67" s="144">
        <f>carbon*B67/G67</f>
        <v>0.77143668844394409</v>
      </c>
      <c r="K67" s="143">
        <f>nitrogen*E67/G67</f>
        <v>0</v>
      </c>
      <c r="L67" s="69">
        <f>350/H67</f>
        <v>0.34450618788819881</v>
      </c>
    </row>
    <row r="68" spans="1:14">
      <c r="A68" s="146" t="s">
        <v>513</v>
      </c>
      <c r="B68" s="142">
        <v>40</v>
      </c>
      <c r="C68" s="142">
        <v>46</v>
      </c>
      <c r="D68" s="142">
        <v>16</v>
      </c>
      <c r="E68" s="142"/>
      <c r="F68" s="142"/>
      <c r="G68" s="143">
        <f t="shared" ref="G68" si="1">carbon*B68+hydrogen*C68+oxygen*D68+nitrogen*E68+Sulfur*F68</f>
        <v>782.78363999999999</v>
      </c>
      <c r="H68" s="130">
        <f t="shared" ref="H68:H69" si="2">($B68/2+$C68/8-$D68/4-3/8*$E68-$F68/4)*22.4/(carbon*$B68+hydrogen*$C68+oxygen*$D68+nitrogen*$E68)*1000</f>
        <v>622.39420333312023</v>
      </c>
      <c r="I68" s="144">
        <f>H68/350</f>
        <v>1.7782691523803436</v>
      </c>
      <c r="J68" s="143"/>
      <c r="K68" s="143"/>
      <c r="L68" s="69">
        <f>350/H68</f>
        <v>0.56234456896551721</v>
      </c>
    </row>
    <row r="69" spans="1:14">
      <c r="A69" s="146" t="s">
        <v>514</v>
      </c>
      <c r="B69" s="147">
        <v>6</v>
      </c>
      <c r="C69" s="147">
        <v>12</v>
      </c>
      <c r="D69" s="147">
        <v>6</v>
      </c>
      <c r="E69" s="50"/>
      <c r="F69" s="50"/>
      <c r="G69" s="143">
        <f>carbon*B69+hydrogen*C69+oxygen*D69+nitrogen*E69+Sulfur*F69</f>
        <v>180.15588</v>
      </c>
      <c r="H69" s="130">
        <f t="shared" si="2"/>
        <v>373.01030640798393</v>
      </c>
      <c r="I69" s="144">
        <f>H69/350</f>
        <v>1.0657437325942398</v>
      </c>
      <c r="J69" s="143">
        <f>carbon*B69/G69</f>
        <v>0.40001025778342625</v>
      </c>
      <c r="K69" s="143">
        <f>nitrogen*E69/G69</f>
        <v>0</v>
      </c>
      <c r="L69" s="69">
        <f>350/H69</f>
        <v>0.93831187500000024</v>
      </c>
    </row>
    <row r="70" spans="1:14">
      <c r="A70" s="50"/>
      <c r="B70" s="142"/>
      <c r="C70" s="142"/>
      <c r="D70" s="142"/>
      <c r="E70" s="142"/>
      <c r="F70" s="142"/>
    </row>
    <row r="72" spans="1:14" ht="16" thickBot="1"/>
    <row r="73" spans="1:14" ht="17" thickTop="1" thickBot="1">
      <c r="A73" s="148" t="s">
        <v>515</v>
      </c>
      <c r="B73" s="149" t="s">
        <v>516</v>
      </c>
      <c r="C73" s="149" t="s">
        <v>517</v>
      </c>
      <c r="D73" s="149" t="s">
        <v>518</v>
      </c>
      <c r="E73" s="149" t="s">
        <v>519</v>
      </c>
      <c r="F73" s="149" t="s">
        <v>520</v>
      </c>
      <c r="G73" s="149" t="s">
        <v>521</v>
      </c>
      <c r="H73" s="149" t="s">
        <v>522</v>
      </c>
      <c r="I73" s="149"/>
      <c r="J73" s="149"/>
      <c r="K73" s="149" t="s">
        <v>523</v>
      </c>
      <c r="L73" s="149" t="s">
        <v>524</v>
      </c>
      <c r="M73" s="150" t="s">
        <v>525</v>
      </c>
      <c r="N73" s="150" t="s">
        <v>526</v>
      </c>
    </row>
    <row r="75" spans="1:14" ht="16" thickBot="1">
      <c r="A75" s="151" t="s">
        <v>527</v>
      </c>
      <c r="B75" s="152">
        <v>0.91600000000000004</v>
      </c>
      <c r="C75" s="152">
        <v>0.105</v>
      </c>
      <c r="D75" s="152">
        <v>0.29299999999999998</v>
      </c>
      <c r="E75" s="152">
        <v>7.6999999999999999E-2</v>
      </c>
      <c r="F75" s="152">
        <v>0.46600000000000003</v>
      </c>
      <c r="G75" s="152">
        <v>0.14299999999999999</v>
      </c>
      <c r="H75" s="152">
        <v>0.92700000000000005</v>
      </c>
      <c r="I75" s="152"/>
      <c r="J75" s="152"/>
      <c r="K75" s="152">
        <v>3.7999999999999999E-2</v>
      </c>
      <c r="L75" s="152">
        <v>0.92400000000000004</v>
      </c>
      <c r="M75" s="153">
        <v>0.309</v>
      </c>
      <c r="N75" s="153">
        <v>0.10199999999999999</v>
      </c>
    </row>
    <row r="76" spans="1:14" ht="16" thickBot="1">
      <c r="A76" s="154" t="s">
        <v>528</v>
      </c>
      <c r="B76" s="155">
        <v>0.97899999999999998</v>
      </c>
      <c r="C76" s="155">
        <v>0.90700000000000003</v>
      </c>
      <c r="D76" s="155">
        <v>0.99299999999999999</v>
      </c>
      <c r="E76" s="155">
        <v>0.93300000000000005</v>
      </c>
      <c r="F76" s="155">
        <v>0.97099999999999997</v>
      </c>
      <c r="G76" s="155">
        <v>1</v>
      </c>
      <c r="H76" s="155">
        <v>0.95</v>
      </c>
      <c r="I76" s="155"/>
      <c r="J76" s="155"/>
      <c r="K76" s="155">
        <v>0.90600000000000003</v>
      </c>
      <c r="L76" s="155">
        <v>0.97799999999999998</v>
      </c>
      <c r="M76" s="156">
        <v>0.97899999999999998</v>
      </c>
      <c r="N76" s="156">
        <v>0.83599999999999997</v>
      </c>
    </row>
    <row r="77" spans="1:14" ht="16" thickBot="1">
      <c r="A77" s="157" t="s">
        <v>529</v>
      </c>
      <c r="B77" s="158">
        <v>0.88900000000000001</v>
      </c>
      <c r="C77" s="155">
        <v>0.14299999999999999</v>
      </c>
      <c r="D77" s="155">
        <v>0.30299999999999999</v>
      </c>
      <c r="E77" s="155">
        <v>0.91100000000000003</v>
      </c>
      <c r="F77" s="155">
        <v>7.0999999999999994E-2</v>
      </c>
      <c r="G77" s="155">
        <v>3.4000000000000002E-2</v>
      </c>
      <c r="H77" s="155">
        <v>0.29099999999999998</v>
      </c>
      <c r="I77" s="155"/>
      <c r="J77" s="155"/>
      <c r="K77" s="155">
        <v>0.45200000000000001</v>
      </c>
      <c r="L77" s="155">
        <v>0.90400000000000003</v>
      </c>
      <c r="M77" s="156">
        <v>9.6000000000000002E-2</v>
      </c>
      <c r="N77" s="156">
        <v>0.89600000000000002</v>
      </c>
    </row>
    <row r="78" spans="1:14" ht="17" thickTop="1" thickBot="1">
      <c r="A78" s="159" t="s">
        <v>530</v>
      </c>
      <c r="B78" s="160">
        <v>0.03</v>
      </c>
      <c r="C78" s="160">
        <v>0.09</v>
      </c>
      <c r="D78" s="160">
        <v>0.01</v>
      </c>
      <c r="E78" s="160">
        <v>7.0000000000000007E-2</v>
      </c>
      <c r="F78" s="160">
        <v>0.03</v>
      </c>
      <c r="G78" s="160">
        <v>0</v>
      </c>
      <c r="H78" s="160">
        <v>0.05</v>
      </c>
      <c r="I78" s="160"/>
      <c r="J78" s="160"/>
      <c r="K78" s="160">
        <v>0.11</v>
      </c>
      <c r="L78" s="160">
        <v>0.02</v>
      </c>
      <c r="M78" s="161">
        <v>0.02</v>
      </c>
      <c r="N78" s="161">
        <v>0.16</v>
      </c>
    </row>
    <row r="79" spans="1:14" ht="17" thickTop="1" thickBot="1">
      <c r="A79" s="159" t="s">
        <v>531</v>
      </c>
      <c r="B79" s="189">
        <v>0.11</v>
      </c>
      <c r="C79" s="160">
        <v>0.02</v>
      </c>
      <c r="D79" s="160">
        <v>0.04</v>
      </c>
      <c r="E79" s="160">
        <v>0</v>
      </c>
      <c r="F79" s="160">
        <v>0.19</v>
      </c>
      <c r="G79" s="160">
        <v>0.03</v>
      </c>
      <c r="H79" s="160">
        <v>0.02</v>
      </c>
      <c r="I79" s="160"/>
      <c r="J79" s="160"/>
      <c r="K79" s="160">
        <v>0.02</v>
      </c>
      <c r="L79" s="160">
        <v>0.01</v>
      </c>
      <c r="M79" s="161">
        <v>0.05</v>
      </c>
      <c r="N79" s="161">
        <v>0.01</v>
      </c>
    </row>
    <row r="80" spans="1:14" ht="17" thickTop="1" thickBot="1">
      <c r="A80" s="159" t="s">
        <v>532</v>
      </c>
      <c r="B80" s="189">
        <v>0.1</v>
      </c>
      <c r="C80" s="160">
        <v>0.15</v>
      </c>
      <c r="D80" s="160">
        <v>0.17</v>
      </c>
      <c r="E80" s="160">
        <v>0.1</v>
      </c>
      <c r="F80" s="160">
        <v>0.18</v>
      </c>
      <c r="G80" s="160">
        <v>0.02</v>
      </c>
      <c r="H80" s="160">
        <v>0.11</v>
      </c>
      <c r="I80" s="160"/>
      <c r="J80" s="160"/>
      <c r="K80" s="160">
        <v>0.23</v>
      </c>
      <c r="L80" s="160">
        <v>0.12</v>
      </c>
      <c r="M80" s="161">
        <v>0.14000000000000001</v>
      </c>
      <c r="N80" s="161">
        <v>0.14000000000000001</v>
      </c>
    </row>
    <row r="81" spans="1:15" ht="17" thickTop="1" thickBot="1">
      <c r="A81" s="162" t="s">
        <v>533</v>
      </c>
      <c r="B81" s="190">
        <v>0.76</v>
      </c>
      <c r="C81" s="163">
        <v>0.74</v>
      </c>
      <c r="D81" s="163">
        <v>0.79</v>
      </c>
      <c r="E81" s="163">
        <v>0.82</v>
      </c>
      <c r="F81" s="163">
        <v>0.61</v>
      </c>
      <c r="G81" s="163">
        <v>0.82</v>
      </c>
      <c r="H81" s="163">
        <v>0.82</v>
      </c>
      <c r="I81" s="163"/>
      <c r="J81" s="163"/>
      <c r="K81" s="163">
        <v>0.66</v>
      </c>
      <c r="L81" s="163">
        <v>0.85</v>
      </c>
      <c r="M81" s="164">
        <v>0.79</v>
      </c>
      <c r="N81" s="164">
        <v>0.69</v>
      </c>
    </row>
    <row r="82" spans="1:15" ht="16" thickTop="1">
      <c r="A82" s="165" t="s">
        <v>534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>
        <v>0.54263731383696057</v>
      </c>
    </row>
    <row r="83" spans="1:15">
      <c r="A83" s="168" t="s">
        <v>535</v>
      </c>
      <c r="B83" s="169">
        <f t="shared" ref="B83:H83" si="3">B79*$J67</f>
        <v>8.4858035728833853E-2</v>
      </c>
      <c r="C83" s="169">
        <f t="shared" si="3"/>
        <v>1.5428733768878882E-2</v>
      </c>
      <c r="D83" s="169">
        <f t="shared" si="3"/>
        <v>3.0857467537757765E-2</v>
      </c>
      <c r="E83" s="169">
        <f t="shared" si="3"/>
        <v>0</v>
      </c>
      <c r="F83" s="169">
        <f t="shared" si="3"/>
        <v>0.14657297080434939</v>
      </c>
      <c r="G83" s="169">
        <f t="shared" si="3"/>
        <v>2.3143100653318323E-2</v>
      </c>
      <c r="H83" s="169">
        <f t="shared" si="3"/>
        <v>1.5428733768878882E-2</v>
      </c>
      <c r="I83" s="169"/>
      <c r="J83" s="169"/>
      <c r="K83" s="169">
        <f>K79*$J67</f>
        <v>1.5428733768878882E-2</v>
      </c>
      <c r="L83" s="169">
        <f>L79*$J67</f>
        <v>7.7143668844394412E-3</v>
      </c>
      <c r="M83" s="169">
        <f>M79*$J67</f>
        <v>3.8571834422197207E-2</v>
      </c>
      <c r="N83" s="169">
        <f>N79*$J67</f>
        <v>7.7143668844394412E-3</v>
      </c>
    </row>
    <row r="84" spans="1:15">
      <c r="A84" s="168" t="s">
        <v>536</v>
      </c>
      <c r="B84" s="169">
        <f t="shared" ref="B84:H84" si="4">B80*$J65</f>
        <v>5.3090857076072778E-2</v>
      </c>
      <c r="C84" s="169">
        <f t="shared" si="4"/>
        <v>7.9636285614109154E-2</v>
      </c>
      <c r="D84" s="169">
        <f t="shared" si="4"/>
        <v>9.025445702932372E-2</v>
      </c>
      <c r="E84" s="169">
        <f t="shared" si="4"/>
        <v>5.3090857076072778E-2</v>
      </c>
      <c r="F84" s="169">
        <f t="shared" si="4"/>
        <v>9.556354273693099E-2</v>
      </c>
      <c r="G84" s="169">
        <f t="shared" si="4"/>
        <v>1.0618171415214555E-2</v>
      </c>
      <c r="H84" s="169">
        <f t="shared" si="4"/>
        <v>5.8399942783680048E-2</v>
      </c>
      <c r="I84" s="169"/>
      <c r="J84" s="169"/>
      <c r="K84" s="169">
        <f>K80*$J65</f>
        <v>0.12210897127496738</v>
      </c>
      <c r="L84" s="169">
        <f>L80*$J65</f>
        <v>6.3709028491287331E-2</v>
      </c>
      <c r="M84" s="169">
        <f>M80*$J65</f>
        <v>7.4327199906501884E-2</v>
      </c>
      <c r="N84" s="169">
        <f>N80*$J65</f>
        <v>7.4327199906501884E-2</v>
      </c>
    </row>
    <row r="85" spans="1:15">
      <c r="A85" s="168" t="s">
        <v>537</v>
      </c>
      <c r="B85" s="169">
        <f t="shared" ref="B85:H85" si="5">$J66*B81</f>
        <v>0.33778579825164085</v>
      </c>
      <c r="C85" s="169">
        <f t="shared" si="5"/>
        <v>0.32889669829765034</v>
      </c>
      <c r="D85" s="169">
        <f t="shared" si="5"/>
        <v>0.35111944818262669</v>
      </c>
      <c r="E85" s="169">
        <f t="shared" si="5"/>
        <v>0.36445309811361248</v>
      </c>
      <c r="F85" s="169">
        <f t="shared" si="5"/>
        <v>0.27111754859671172</v>
      </c>
      <c r="G85" s="169">
        <f t="shared" si="5"/>
        <v>0.36445309811361248</v>
      </c>
      <c r="H85" s="169">
        <f t="shared" si="5"/>
        <v>0.36445309811361248</v>
      </c>
      <c r="I85" s="169"/>
      <c r="J85" s="169"/>
      <c r="K85" s="169">
        <f>$J66*K81</f>
        <v>0.29334029848168813</v>
      </c>
      <c r="L85" s="169">
        <f>$J66*L81</f>
        <v>0.37778674804459833</v>
      </c>
      <c r="M85" s="169">
        <f>$J66*M81</f>
        <v>0.35111944818262669</v>
      </c>
      <c r="N85" s="169">
        <f>$J66*N81</f>
        <v>0.30667394841267392</v>
      </c>
    </row>
    <row r="86" spans="1:15">
      <c r="A86" s="168" t="s">
        <v>538</v>
      </c>
      <c r="B86" s="169">
        <f>SUM(B83:B85)</f>
        <v>0.47573469105654748</v>
      </c>
      <c r="C86" s="169">
        <f t="shared" ref="C86:N86" si="6">SUM(C83:C85)</f>
        <v>0.42396171768063839</v>
      </c>
      <c r="D86" s="169">
        <f t="shared" si="6"/>
        <v>0.47223137274970817</v>
      </c>
      <c r="E86" s="169">
        <f t="shared" si="6"/>
        <v>0.41754395518968523</v>
      </c>
      <c r="F86" s="169">
        <f t="shared" si="6"/>
        <v>0.51325406213799207</v>
      </c>
      <c r="G86" s="169">
        <f t="shared" si="6"/>
        <v>0.39821437018214534</v>
      </c>
      <c r="H86" s="169">
        <f t="shared" si="6"/>
        <v>0.43828177466617141</v>
      </c>
      <c r="I86" s="169"/>
      <c r="J86" s="169"/>
      <c r="K86" s="169">
        <f t="shared" si="6"/>
        <v>0.4308780035255344</v>
      </c>
      <c r="L86" s="169">
        <f t="shared" si="6"/>
        <v>0.44921014342032511</v>
      </c>
      <c r="M86" s="169">
        <f t="shared" si="6"/>
        <v>0.46401848251132577</v>
      </c>
      <c r="N86" s="169">
        <f t="shared" si="6"/>
        <v>0.38871551520361525</v>
      </c>
      <c r="O86" s="169">
        <f>(1-N82)*N86*N76</f>
        <v>0.14862740074814412</v>
      </c>
    </row>
    <row r="87" spans="1:15">
      <c r="A87" s="168" t="s">
        <v>539</v>
      </c>
      <c r="B87" s="188">
        <f>B86*B75</f>
        <v>0.43577297700779749</v>
      </c>
      <c r="C87" s="169">
        <f>C86*C75</f>
        <v>4.4515980356467033E-2</v>
      </c>
      <c r="D87" s="169">
        <f t="shared" ref="D87:N87" si="7">D86*D75</f>
        <v>0.13836379221566447</v>
      </c>
      <c r="E87" s="169">
        <f t="shared" si="7"/>
        <v>3.2150884549605761E-2</v>
      </c>
      <c r="F87" s="169">
        <f t="shared" si="7"/>
        <v>0.23917639295630433</v>
      </c>
      <c r="G87" s="169">
        <f t="shared" si="7"/>
        <v>5.6944654936046779E-2</v>
      </c>
      <c r="H87" s="169">
        <f t="shared" si="7"/>
        <v>0.40628720511554089</v>
      </c>
      <c r="I87" s="169"/>
      <c r="J87" s="169"/>
      <c r="K87" s="169">
        <f t="shared" si="7"/>
        <v>1.6373364133970308E-2</v>
      </c>
      <c r="L87" s="169">
        <f t="shared" si="7"/>
        <v>0.41507017252038042</v>
      </c>
      <c r="M87" s="169">
        <f t="shared" si="7"/>
        <v>0.14338171109599965</v>
      </c>
      <c r="N87" s="169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158</v>
      </c>
      <c r="K2" s="72"/>
      <c r="L2" s="70"/>
      <c r="M2" s="70"/>
    </row>
    <row r="3" spans="1:14">
      <c r="B3" t="s">
        <v>163</v>
      </c>
      <c r="C3" t="s">
        <v>164</v>
      </c>
      <c r="D3" t="s">
        <v>159</v>
      </c>
      <c r="F3" t="s">
        <v>160</v>
      </c>
      <c r="K3" s="71"/>
      <c r="L3" s="70"/>
      <c r="M3" s="70"/>
      <c r="N3" s="6"/>
    </row>
    <row r="4" spans="1:14">
      <c r="A4" t="s">
        <v>161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162</v>
      </c>
      <c r="B5">
        <v>4.62</v>
      </c>
      <c r="C5">
        <v>0.107</v>
      </c>
      <c r="D5">
        <f>B5/C5</f>
        <v>43.177570093457945</v>
      </c>
    </row>
    <row r="6" spans="1:14">
      <c r="A6" t="s">
        <v>165</v>
      </c>
      <c r="B6">
        <f>B4-B5</f>
        <v>0.37999999999999989</v>
      </c>
      <c r="C6">
        <f>C4-C5</f>
        <v>0.193</v>
      </c>
    </row>
    <row r="10" spans="1:14">
      <c r="A10" t="s">
        <v>283</v>
      </c>
      <c r="F10" t="s">
        <v>763</v>
      </c>
    </row>
    <row r="11" spans="1:14">
      <c r="A11" t="s">
        <v>284</v>
      </c>
      <c r="B11" t="s">
        <v>173</v>
      </c>
      <c r="C11" t="s">
        <v>174</v>
      </c>
      <c r="D11" t="s">
        <v>175</v>
      </c>
      <c r="E11" t="s">
        <v>166</v>
      </c>
      <c r="F11" t="s">
        <v>171</v>
      </c>
      <c r="G11" t="s">
        <v>167</v>
      </c>
      <c r="H11" t="s">
        <v>176</v>
      </c>
      <c r="I11" t="s">
        <v>169</v>
      </c>
      <c r="J11" t="s">
        <v>177</v>
      </c>
      <c r="K11" t="s">
        <v>178</v>
      </c>
    </row>
    <row r="12" spans="1:14">
      <c r="A12" t="s">
        <v>285</v>
      </c>
      <c r="B12">
        <v>10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</row>
    <row r="13" spans="1:14">
      <c r="A13" t="s">
        <v>188</v>
      </c>
      <c r="B13">
        <v>13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4">
      <c r="A14" t="s">
        <v>286</v>
      </c>
      <c r="B14">
        <v>14.2</v>
      </c>
      <c r="C14" t="s">
        <v>198</v>
      </c>
      <c r="D14" t="s">
        <v>199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t="s">
        <v>205</v>
      </c>
      <c r="K14" t="s">
        <v>206</v>
      </c>
    </row>
    <row r="15" spans="1:14">
      <c r="A15" t="s">
        <v>287</v>
      </c>
      <c r="B15">
        <v>10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">
        <v>212</v>
      </c>
      <c r="I15" t="s">
        <v>213</v>
      </c>
      <c r="J15" t="s">
        <v>214</v>
      </c>
      <c r="K15" t="s">
        <v>189</v>
      </c>
    </row>
    <row r="16" spans="1:14">
      <c r="A16" t="s">
        <v>288</v>
      </c>
      <c r="B16">
        <v>13.5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</row>
    <row r="17" spans="1:11">
      <c r="A17" t="s">
        <v>289</v>
      </c>
      <c r="B17">
        <v>8.8000000000000007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</row>
    <row r="18" spans="1:11">
      <c r="A18" t="s">
        <v>290</v>
      </c>
      <c r="B18">
        <v>13.8</v>
      </c>
      <c r="C18" t="s">
        <v>233</v>
      </c>
      <c r="D18" t="s">
        <v>234</v>
      </c>
      <c r="E18" t="s">
        <v>235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</row>
    <row r="19" spans="1:11">
      <c r="A19" t="s">
        <v>291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294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244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245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246</v>
      </c>
      <c r="H23" t="s">
        <v>246</v>
      </c>
      <c r="I23" t="s">
        <v>246</v>
      </c>
      <c r="J23" t="s">
        <v>246</v>
      </c>
      <c r="K23" t="s">
        <v>246</v>
      </c>
    </row>
    <row r="24" spans="1:11">
      <c r="A24" t="s">
        <v>293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338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172</v>
      </c>
      <c r="B27" t="s">
        <v>173</v>
      </c>
      <c r="C27" t="s">
        <v>174</v>
      </c>
      <c r="D27" t="s">
        <v>175</v>
      </c>
      <c r="E27" t="s">
        <v>166</v>
      </c>
      <c r="F27" t="s">
        <v>171</v>
      </c>
      <c r="G27" t="s">
        <v>167</v>
      </c>
      <c r="H27" t="s">
        <v>176</v>
      </c>
      <c r="I27" t="s">
        <v>169</v>
      </c>
      <c r="J27" t="s">
        <v>177</v>
      </c>
      <c r="K27" t="s">
        <v>178</v>
      </c>
    </row>
    <row r="28" spans="1:11">
      <c r="A28" t="s">
        <v>295</v>
      </c>
      <c r="B28">
        <v>14.1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>
      <c r="A29" t="s">
        <v>296</v>
      </c>
      <c r="B29">
        <v>9.5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>
      <c r="A30" t="s">
        <v>297</v>
      </c>
      <c r="B30">
        <v>9.5</v>
      </c>
      <c r="C30" t="s">
        <v>265</v>
      </c>
      <c r="D30" t="s">
        <v>266</v>
      </c>
      <c r="E30" t="s">
        <v>267</v>
      </c>
      <c r="F30" t="s">
        <v>268</v>
      </c>
      <c r="G30" t="s">
        <v>269</v>
      </c>
      <c r="H30" t="s">
        <v>270</v>
      </c>
      <c r="I30" t="s">
        <v>271</v>
      </c>
      <c r="J30" t="s">
        <v>272</v>
      </c>
      <c r="K30" t="s">
        <v>273</v>
      </c>
    </row>
    <row r="31" spans="1:11">
      <c r="A31" t="s">
        <v>298</v>
      </c>
      <c r="B31">
        <v>11.85</v>
      </c>
      <c r="C31" t="s">
        <v>274</v>
      </c>
      <c r="D31" t="s">
        <v>275</v>
      </c>
      <c r="E31" t="s">
        <v>276</v>
      </c>
      <c r="F31" t="s">
        <v>250</v>
      </c>
      <c r="G31" t="s">
        <v>277</v>
      </c>
      <c r="H31" t="s">
        <v>278</v>
      </c>
      <c r="I31" t="s">
        <v>279</v>
      </c>
      <c r="J31" t="s">
        <v>280</v>
      </c>
      <c r="K31" t="s">
        <v>281</v>
      </c>
    </row>
    <row r="32" spans="1:11">
      <c r="A32" t="s">
        <v>242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170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282</v>
      </c>
    </row>
    <row r="34" spans="1:19">
      <c r="A34" t="s">
        <v>299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332</v>
      </c>
      <c r="B35">
        <v>35</v>
      </c>
      <c r="C35">
        <v>7.9</v>
      </c>
      <c r="D35">
        <v>92.1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>
        <v>54</v>
      </c>
    </row>
    <row r="36" spans="1:19">
      <c r="A36" t="s">
        <v>307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246</v>
      </c>
    </row>
    <row r="37" spans="1:19">
      <c r="A37" t="s">
        <v>333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334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378</v>
      </c>
      <c r="R38" s="1" t="s">
        <v>379</v>
      </c>
    </row>
    <row r="39" spans="1:19">
      <c r="A39" t="s">
        <v>300</v>
      </c>
      <c r="L39">
        <v>89</v>
      </c>
      <c r="M39">
        <f t="shared" ref="M39:M46" si="0">K46*L39/(K$46*L$39)</f>
        <v>1</v>
      </c>
      <c r="N39" t="s">
        <v>339</v>
      </c>
      <c r="O39">
        <v>88</v>
      </c>
      <c r="P39">
        <v>88</v>
      </c>
      <c r="Q39">
        <f>O39*P39/(O$39*P$39)</f>
        <v>1</v>
      </c>
    </row>
    <row r="40" spans="1:19">
      <c r="A40" t="s">
        <v>335</v>
      </c>
      <c r="B40">
        <v>9.4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  <c r="H40" t="s">
        <v>313</v>
      </c>
      <c r="I40" t="s">
        <v>314</v>
      </c>
      <c r="J40" t="s">
        <v>267</v>
      </c>
      <c r="K40" t="s">
        <v>315</v>
      </c>
      <c r="L40">
        <v>70</v>
      </c>
      <c r="M40" s="61">
        <f t="shared" si="0"/>
        <v>0.18506278916060806</v>
      </c>
      <c r="N40" t="s">
        <v>168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336</v>
      </c>
      <c r="B41">
        <v>12.6</v>
      </c>
      <c r="C41" t="s">
        <v>232</v>
      </c>
      <c r="D41" t="s">
        <v>316</v>
      </c>
      <c r="E41" t="s">
        <v>317</v>
      </c>
      <c r="F41" t="s">
        <v>318</v>
      </c>
      <c r="G41" t="s">
        <v>319</v>
      </c>
      <c r="H41" t="s">
        <v>320</v>
      </c>
      <c r="I41" t="s">
        <v>321</v>
      </c>
      <c r="J41" t="s">
        <v>322</v>
      </c>
      <c r="K41" t="s">
        <v>323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337</v>
      </c>
      <c r="B42">
        <v>10.5</v>
      </c>
      <c r="C42" t="s">
        <v>324</v>
      </c>
      <c r="D42" t="s">
        <v>325</v>
      </c>
      <c r="E42" t="s">
        <v>324</v>
      </c>
      <c r="F42" t="s">
        <v>326</v>
      </c>
      <c r="G42" t="s">
        <v>327</v>
      </c>
      <c r="H42" t="s">
        <v>328</v>
      </c>
      <c r="I42" t="s">
        <v>329</v>
      </c>
      <c r="J42" t="s">
        <v>330</v>
      </c>
      <c r="K42" t="s">
        <v>331</v>
      </c>
      <c r="L42">
        <v>89</v>
      </c>
      <c r="M42" s="61">
        <f t="shared" si="0"/>
        <v>1.0352941176470589</v>
      </c>
      <c r="N42" t="s">
        <v>340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242</v>
      </c>
      <c r="B43" t="s">
        <v>243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344</v>
      </c>
      <c r="Q43" s="61">
        <f>O43*P43/(O$39*P$39)</f>
        <v>0</v>
      </c>
    </row>
    <row r="44" spans="1:19">
      <c r="B44" t="s">
        <v>373</v>
      </c>
      <c r="L44">
        <v>69</v>
      </c>
      <c r="M44" s="61">
        <f t="shared" si="0"/>
        <v>5.4725710508922672E-2</v>
      </c>
      <c r="N44" t="s">
        <v>345</v>
      </c>
      <c r="Q44" s="61">
        <f>O44*P44/(O$39*P$39)</f>
        <v>0</v>
      </c>
    </row>
    <row r="45" spans="1:19" ht="60">
      <c r="A45" s="1"/>
      <c r="B45" s="1" t="s">
        <v>341</v>
      </c>
      <c r="C45" s="1" t="s">
        <v>342</v>
      </c>
      <c r="D45" s="1" t="s">
        <v>343</v>
      </c>
      <c r="E45" s="1"/>
      <c r="F45" s="68" t="s">
        <v>372</v>
      </c>
      <c r="G45" s="1"/>
      <c r="H45" s="1"/>
      <c r="I45" s="1"/>
      <c r="J45" s="7" t="s">
        <v>375</v>
      </c>
      <c r="K45" s="7"/>
      <c r="L45">
        <v>81</v>
      </c>
      <c r="M45" s="61">
        <f t="shared" si="0"/>
        <v>0.24626569729015202</v>
      </c>
    </row>
    <row r="46" spans="1:19">
      <c r="A46" t="s">
        <v>339</v>
      </c>
      <c r="B46">
        <v>88.1</v>
      </c>
      <c r="C46">
        <v>88</v>
      </c>
      <c r="D46">
        <f t="shared" ref="D46:D51" si="1">B46*C46/(B$46*C$46)</f>
        <v>1</v>
      </c>
      <c r="F46" t="s">
        <v>339</v>
      </c>
      <c r="G46">
        <v>88</v>
      </c>
      <c r="H46">
        <v>88</v>
      </c>
      <c r="I46">
        <f>G46*H46/(G$46*H$46)</f>
        <v>1</v>
      </c>
      <c r="J46" t="s">
        <v>339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168</v>
      </c>
      <c r="B47">
        <v>35.9</v>
      </c>
      <c r="C47">
        <v>57.1</v>
      </c>
      <c r="D47" s="61">
        <f t="shared" si="1"/>
        <v>0.26440640800742959</v>
      </c>
      <c r="F47" t="s">
        <v>168</v>
      </c>
      <c r="G47">
        <v>22</v>
      </c>
      <c r="H47">
        <v>68.900000000000006</v>
      </c>
      <c r="I47" s="61">
        <f>G47*H47/(G$46*H$46)</f>
        <v>0.19573863636363639</v>
      </c>
      <c r="J47" t="s">
        <v>168</v>
      </c>
      <c r="K47">
        <v>20</v>
      </c>
    </row>
    <row r="48" spans="1:19">
      <c r="A48" s="60" t="s">
        <v>346</v>
      </c>
      <c r="B48" s="59">
        <v>20.8</v>
      </c>
      <c r="C48" s="59">
        <v>80.3</v>
      </c>
      <c r="D48" s="67">
        <f t="shared" si="1"/>
        <v>0.21543700340522137</v>
      </c>
      <c r="F48" s="60" t="s">
        <v>346</v>
      </c>
      <c r="J48" s="60" t="s">
        <v>53</v>
      </c>
      <c r="K48">
        <v>7</v>
      </c>
    </row>
    <row r="49" spans="1:11">
      <c r="A49" t="s">
        <v>340</v>
      </c>
      <c r="B49">
        <v>84.7</v>
      </c>
      <c r="C49">
        <v>93</v>
      </c>
      <c r="D49" s="61">
        <f t="shared" si="1"/>
        <v>1.0160329171396143</v>
      </c>
      <c r="F49" t="s">
        <v>340</v>
      </c>
      <c r="G49">
        <v>92</v>
      </c>
      <c r="H49">
        <v>89</v>
      </c>
      <c r="I49" s="61">
        <f>G49*H49/(G$46*H$46)</f>
        <v>1.0573347107438016</v>
      </c>
      <c r="J49" t="s">
        <v>340</v>
      </c>
      <c r="K49">
        <v>88</v>
      </c>
    </row>
    <row r="50" spans="1:11">
      <c r="A50" s="62" t="s">
        <v>344</v>
      </c>
      <c r="D50" s="61">
        <f t="shared" si="1"/>
        <v>0</v>
      </c>
      <c r="F50" s="62" t="s">
        <v>344</v>
      </c>
      <c r="G50">
        <v>90</v>
      </c>
      <c r="H50">
        <v>33</v>
      </c>
      <c r="I50" s="61">
        <f>G50*H50/(G$46*H$46)</f>
        <v>0.38352272727272729</v>
      </c>
      <c r="J50" s="62" t="s">
        <v>344</v>
      </c>
    </row>
    <row r="51" spans="1:11">
      <c r="A51" t="s">
        <v>345</v>
      </c>
      <c r="B51">
        <v>65.5</v>
      </c>
      <c r="C51">
        <v>24.7</v>
      </c>
      <c r="D51" s="61">
        <f t="shared" si="1"/>
        <v>0.20867944484573317</v>
      </c>
      <c r="F51" t="s">
        <v>345</v>
      </c>
      <c r="I51" s="61">
        <f>G51*H51/(G$46*H$46)</f>
        <v>0</v>
      </c>
      <c r="J51" t="s">
        <v>345</v>
      </c>
      <c r="K51">
        <v>6</v>
      </c>
    </row>
    <row r="52" spans="1:11">
      <c r="J52" t="s">
        <v>376</v>
      </c>
      <c r="K52">
        <v>23</v>
      </c>
    </row>
    <row r="53" spans="1:11">
      <c r="J53" t="s">
        <v>377</v>
      </c>
      <c r="K53">
        <v>5</v>
      </c>
    </row>
    <row r="54" spans="1:11">
      <c r="J54" t="s">
        <v>374</v>
      </c>
    </row>
    <row r="60" spans="1:11">
      <c r="A60" s="63" t="s">
        <v>347</v>
      </c>
      <c r="B60" s="63" t="s">
        <v>348</v>
      </c>
      <c r="C60" s="63" t="s">
        <v>349</v>
      </c>
      <c r="D60" s="63" t="s">
        <v>350</v>
      </c>
    </row>
    <row r="61" spans="1:11">
      <c r="A61" s="64" t="s">
        <v>351</v>
      </c>
      <c r="B61" s="64">
        <v>91</v>
      </c>
      <c r="C61" s="64">
        <v>75</v>
      </c>
      <c r="D61" s="64">
        <v>85</v>
      </c>
    </row>
    <row r="62" spans="1:11">
      <c r="A62" s="64" t="s">
        <v>352</v>
      </c>
      <c r="B62" s="65">
        <v>90</v>
      </c>
      <c r="C62" s="65">
        <v>84</v>
      </c>
      <c r="D62" s="65">
        <v>95</v>
      </c>
    </row>
    <row r="63" spans="1:11">
      <c r="A63" s="64" t="s">
        <v>353</v>
      </c>
      <c r="B63" s="65">
        <v>89</v>
      </c>
      <c r="C63" s="65">
        <v>77</v>
      </c>
      <c r="D63" s="65" t="s">
        <v>354</v>
      </c>
    </row>
    <row r="64" spans="1:11">
      <c r="A64" s="64" t="s">
        <v>355</v>
      </c>
      <c r="B64" s="65">
        <v>12</v>
      </c>
      <c r="C64" s="65">
        <v>83</v>
      </c>
      <c r="D64" s="65">
        <v>94</v>
      </c>
    </row>
    <row r="65" spans="1:4">
      <c r="A65" s="64" t="s">
        <v>356</v>
      </c>
      <c r="B65" s="65">
        <v>30</v>
      </c>
      <c r="C65" s="65">
        <v>72</v>
      </c>
      <c r="D65" s="65">
        <v>82</v>
      </c>
    </row>
    <row r="66" spans="1:4">
      <c r="A66" s="64" t="s">
        <v>357</v>
      </c>
      <c r="B66" s="65">
        <v>87</v>
      </c>
      <c r="C66" s="65">
        <v>79</v>
      </c>
      <c r="D66" s="65">
        <v>90</v>
      </c>
    </row>
    <row r="67" spans="1:4">
      <c r="A67" s="64" t="s">
        <v>358</v>
      </c>
      <c r="B67" s="65">
        <v>22</v>
      </c>
      <c r="C67" s="65">
        <v>72</v>
      </c>
      <c r="D67" s="65">
        <v>82</v>
      </c>
    </row>
    <row r="68" spans="1:4">
      <c r="A68" s="64" t="s">
        <v>359</v>
      </c>
      <c r="B68" s="284">
        <v>90</v>
      </c>
      <c r="C68" s="284">
        <v>87</v>
      </c>
      <c r="D68" s="284">
        <v>99</v>
      </c>
    </row>
    <row r="69" spans="1:4">
      <c r="A69" s="64" t="s">
        <v>360</v>
      </c>
      <c r="B69" s="284"/>
      <c r="C69" s="284"/>
      <c r="D69" s="284"/>
    </row>
    <row r="70" spans="1:4">
      <c r="A70" s="64" t="s">
        <v>361</v>
      </c>
      <c r="B70" s="65">
        <v>99</v>
      </c>
      <c r="C70" s="65">
        <v>195</v>
      </c>
      <c r="D70" s="65">
        <v>222</v>
      </c>
    </row>
    <row r="71" spans="1:4">
      <c r="A71" s="64" t="s">
        <v>362</v>
      </c>
      <c r="B71" s="65">
        <v>92</v>
      </c>
      <c r="C71" s="65">
        <v>73</v>
      </c>
      <c r="D71" s="65">
        <v>83</v>
      </c>
    </row>
    <row r="72" spans="1:4">
      <c r="A72" s="64" t="s">
        <v>363</v>
      </c>
      <c r="B72" s="65">
        <v>93</v>
      </c>
      <c r="C72" s="65">
        <v>40</v>
      </c>
      <c r="D72" s="65">
        <v>45</v>
      </c>
    </row>
    <row r="73" spans="1:4">
      <c r="A73" s="64" t="s">
        <v>364</v>
      </c>
      <c r="B73" s="65">
        <v>89</v>
      </c>
      <c r="C73" s="65">
        <v>86</v>
      </c>
      <c r="D73" s="65">
        <v>98</v>
      </c>
    </row>
    <row r="74" spans="1:4">
      <c r="A74" s="64" t="s">
        <v>365</v>
      </c>
      <c r="B74" s="65">
        <v>21</v>
      </c>
      <c r="C74" s="65">
        <v>80</v>
      </c>
      <c r="D74" s="65">
        <v>91</v>
      </c>
    </row>
    <row r="75" spans="1:4">
      <c r="A75" s="64" t="s">
        <v>366</v>
      </c>
      <c r="B75" s="65">
        <v>14</v>
      </c>
      <c r="C75" s="65">
        <v>78</v>
      </c>
      <c r="D75" s="65">
        <v>89</v>
      </c>
    </row>
    <row r="76" spans="1:4">
      <c r="A76" s="64" t="s">
        <v>367</v>
      </c>
      <c r="B76" s="65">
        <v>90</v>
      </c>
      <c r="C76" s="65">
        <v>75</v>
      </c>
      <c r="D76" s="65" t="s">
        <v>368</v>
      </c>
    </row>
    <row r="77" spans="1:4">
      <c r="A77" s="64" t="s">
        <v>369</v>
      </c>
      <c r="B77" s="65">
        <v>10</v>
      </c>
      <c r="C77" s="65">
        <v>75</v>
      </c>
      <c r="D77" s="65">
        <v>85</v>
      </c>
    </row>
    <row r="78" spans="1:4">
      <c r="A78" s="64" t="s">
        <v>370</v>
      </c>
      <c r="B78" s="65">
        <v>90</v>
      </c>
      <c r="C78" s="65">
        <v>70</v>
      </c>
      <c r="D78" s="65">
        <v>80</v>
      </c>
    </row>
    <row r="79" spans="1:4">
      <c r="A79" s="64" t="s">
        <v>371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A19" sqref="A19"/>
    </sheetView>
  </sheetViews>
  <sheetFormatPr baseColWidth="10" defaultColWidth="11" defaultRowHeight="15" x14ac:dyDescent="0"/>
  <cols>
    <col min="1" max="1" width="19" customWidth="1"/>
    <col min="5" max="5" width="41.33203125" customWidth="1"/>
  </cols>
  <sheetData>
    <row r="2" spans="1:9">
      <c r="A2" t="s">
        <v>148</v>
      </c>
      <c r="F2" t="s">
        <v>151</v>
      </c>
    </row>
    <row r="3" spans="1:9">
      <c r="A3" t="s">
        <v>149</v>
      </c>
      <c r="B3" t="s">
        <v>150</v>
      </c>
      <c r="G3" t="s">
        <v>150</v>
      </c>
    </row>
    <row r="4" spans="1:9">
      <c r="A4">
        <v>7.6</v>
      </c>
      <c r="B4">
        <v>134.5</v>
      </c>
      <c r="C4" s="53">
        <f>A4/B4</f>
        <v>5.6505576208178435E-2</v>
      </c>
      <c r="D4" t="s">
        <v>146</v>
      </c>
      <c r="F4">
        <v>7.6</v>
      </c>
      <c r="G4">
        <v>134.5</v>
      </c>
      <c r="H4" s="53">
        <f>F4/G4</f>
        <v>5.6505576208178435E-2</v>
      </c>
      <c r="I4" t="s">
        <v>146</v>
      </c>
    </row>
    <row r="5" spans="1:9">
      <c r="A5">
        <v>0.5</v>
      </c>
      <c r="B5">
        <v>100</v>
      </c>
      <c r="C5" s="53">
        <f>A5/B5</f>
        <v>5.0000000000000001E-3</v>
      </c>
      <c r="D5" t="s">
        <v>145</v>
      </c>
      <c r="F5">
        <v>1.8</v>
      </c>
      <c r="G5">
        <v>113</v>
      </c>
      <c r="H5" s="53">
        <f>F5/G5</f>
        <v>1.5929203539823009E-2</v>
      </c>
      <c r="I5" t="s">
        <v>152</v>
      </c>
    </row>
    <row r="6" spans="1:9">
      <c r="A6">
        <v>21.5</v>
      </c>
      <c r="B6">
        <v>365</v>
      </c>
      <c r="C6" s="53">
        <f>A6/B6</f>
        <v>5.8904109589041097E-2</v>
      </c>
      <c r="D6" t="s">
        <v>144</v>
      </c>
      <c r="F6">
        <v>12.3</v>
      </c>
      <c r="G6">
        <v>130</v>
      </c>
      <c r="H6" s="53">
        <f>F6/G6</f>
        <v>9.4615384615384615E-2</v>
      </c>
      <c r="I6" t="s">
        <v>153</v>
      </c>
    </row>
    <row r="7" spans="1:9">
      <c r="A7">
        <v>0.24</v>
      </c>
      <c r="B7">
        <v>190</v>
      </c>
      <c r="C7" s="53">
        <f>A7/B7</f>
        <v>1.2631578947368421E-3</v>
      </c>
      <c r="D7" t="s">
        <v>147</v>
      </c>
      <c r="H7" s="53"/>
    </row>
    <row r="9" spans="1:9">
      <c r="C9" t="s">
        <v>877</v>
      </c>
      <c r="D9" t="s">
        <v>541</v>
      </c>
    </row>
    <row r="10" spans="1:9">
      <c r="B10" t="s">
        <v>919</v>
      </c>
    </row>
    <row r="11" spans="1:9">
      <c r="A11" t="s">
        <v>939</v>
      </c>
      <c r="B11" t="s">
        <v>917</v>
      </c>
      <c r="C11" t="s">
        <v>918</v>
      </c>
    </row>
    <row r="12" spans="1:9">
      <c r="A12" t="s">
        <v>920</v>
      </c>
      <c r="B12">
        <v>0.04</v>
      </c>
      <c r="C12">
        <v>0.14000000000000001</v>
      </c>
      <c r="E12" t="s">
        <v>921</v>
      </c>
    </row>
    <row r="17" spans="1:1">
      <c r="A17" t="s">
        <v>108</v>
      </c>
    </row>
    <row r="18" spans="1:1">
      <c r="A18" t="s">
        <v>541</v>
      </c>
    </row>
    <row r="19" spans="1:1">
      <c r="A19" t="s">
        <v>795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8" workbookViewId="0">
      <selection activeCell="D43" sqref="D43:D48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661</v>
      </c>
      <c r="B1" t="s">
        <v>14</v>
      </c>
      <c r="C1" t="s">
        <v>809</v>
      </c>
      <c r="D1" t="s">
        <v>825</v>
      </c>
      <c r="E1" t="s">
        <v>765</v>
      </c>
      <c r="F1" t="s">
        <v>847</v>
      </c>
      <c r="G1" t="s">
        <v>810</v>
      </c>
      <c r="H1" t="s">
        <v>2</v>
      </c>
      <c r="I1" t="s">
        <v>764</v>
      </c>
      <c r="O1">
        <v>0.453592</v>
      </c>
    </row>
    <row r="2" spans="1:15" s="59" customFormat="1">
      <c r="A2" s="59" t="s">
        <v>780</v>
      </c>
      <c r="C2"/>
      <c r="D2" t="s">
        <v>846</v>
      </c>
      <c r="F2"/>
      <c r="G2"/>
      <c r="K2" s="59" t="s">
        <v>141</v>
      </c>
      <c r="L2" s="59" t="s">
        <v>862</v>
      </c>
      <c r="N2"/>
      <c r="O2" s="59" t="s">
        <v>865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811</v>
      </c>
      <c r="D3" t="s">
        <v>765</v>
      </c>
      <c r="E3">
        <v>0.45</v>
      </c>
      <c r="F3">
        <v>0.4</v>
      </c>
      <c r="G3">
        <v>0.5</v>
      </c>
      <c r="H3" t="s">
        <v>647</v>
      </c>
      <c r="K3" t="s">
        <v>858</v>
      </c>
      <c r="L3" t="s">
        <v>58</v>
      </c>
      <c r="M3" t="s">
        <v>859</v>
      </c>
      <c r="N3" t="s">
        <v>866</v>
      </c>
    </row>
    <row r="4" spans="1:15">
      <c r="A4" t="s">
        <v>777</v>
      </c>
      <c r="B4" t="s">
        <v>646</v>
      </c>
      <c r="C4" t="s">
        <v>812</v>
      </c>
      <c r="D4" t="s">
        <v>765</v>
      </c>
      <c r="E4" s="69">
        <v>2.7204943424399999</v>
      </c>
      <c r="H4" s="69" t="s">
        <v>857</v>
      </c>
      <c r="J4" t="s">
        <v>860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778</v>
      </c>
      <c r="B5" t="s">
        <v>914</v>
      </c>
      <c r="C5" t="s">
        <v>813</v>
      </c>
      <c r="D5" t="s">
        <v>643</v>
      </c>
      <c r="E5" s="69">
        <f>-N4</f>
        <v>-537.36092603984002</v>
      </c>
      <c r="F5" s="69">
        <f>-N8</f>
        <v>-537.18234233351995</v>
      </c>
      <c r="G5" s="69">
        <f>-N7</f>
        <v>-918.79198627000005</v>
      </c>
      <c r="J5" t="s">
        <v>861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910</v>
      </c>
      <c r="B6" t="s">
        <v>911</v>
      </c>
      <c r="C6" t="s">
        <v>913</v>
      </c>
      <c r="D6" t="s">
        <v>643</v>
      </c>
      <c r="E6" s="69">
        <v>0.3</v>
      </c>
      <c r="F6" s="69">
        <v>0.3</v>
      </c>
      <c r="G6" s="69">
        <v>0.6</v>
      </c>
      <c r="H6" t="s">
        <v>915</v>
      </c>
    </row>
    <row r="7" spans="1:15">
      <c r="A7" t="s">
        <v>781</v>
      </c>
      <c r="C7" t="s">
        <v>814</v>
      </c>
      <c r="D7" t="s">
        <v>643</v>
      </c>
      <c r="E7">
        <v>6.8</v>
      </c>
      <c r="F7">
        <v>4.7</v>
      </c>
      <c r="G7">
        <v>13</v>
      </c>
      <c r="H7" t="s">
        <v>897</v>
      </c>
      <c r="I7" t="s">
        <v>912</v>
      </c>
      <c r="J7" t="s">
        <v>863</v>
      </c>
      <c r="K7">
        <v>2014.87</v>
      </c>
      <c r="L7">
        <v>56.1</v>
      </c>
      <c r="M7">
        <v>34.53</v>
      </c>
      <c r="N7">
        <f>K7*$O$1+L7/1000*$O$1*Parameters!$C$6+M7/1000*$O$1*Parameters!$C$5</f>
        <v>918.79198627000005</v>
      </c>
    </row>
    <row r="8" spans="1:15" ht="30">
      <c r="A8" t="s">
        <v>805</v>
      </c>
      <c r="C8" s="2" t="s">
        <v>883</v>
      </c>
      <c r="D8" t="s">
        <v>643</v>
      </c>
      <c r="E8">
        <v>0.4</v>
      </c>
      <c r="F8">
        <v>0.2</v>
      </c>
      <c r="G8">
        <v>0.6</v>
      </c>
      <c r="H8" t="s">
        <v>882</v>
      </c>
      <c r="I8" s="1" t="s">
        <v>884</v>
      </c>
      <c r="J8" t="s">
        <v>864</v>
      </c>
      <c r="K8">
        <v>1181.7</v>
      </c>
      <c r="L8">
        <v>20.12</v>
      </c>
      <c r="M8">
        <v>7.63</v>
      </c>
      <c r="N8">
        <f>K8*$O$1+L8/1000*$O$1*Parameters!$C$6+M8/1000*$O$1*Parameters!$C$5</f>
        <v>537.18234233351995</v>
      </c>
    </row>
    <row r="9" spans="1:15">
      <c r="A9" t="s">
        <v>898</v>
      </c>
      <c r="C9" t="s">
        <v>637</v>
      </c>
      <c r="D9" t="s">
        <v>643</v>
      </c>
      <c r="E9">
        <v>1.8</v>
      </c>
      <c r="F9">
        <v>0.52</v>
      </c>
      <c r="G9">
        <v>3.09</v>
      </c>
    </row>
    <row r="10" spans="1:15">
      <c r="A10" t="s">
        <v>782</v>
      </c>
      <c r="C10" t="s">
        <v>637</v>
      </c>
      <c r="D10" t="s">
        <v>846</v>
      </c>
      <c r="E10">
        <v>0.96</v>
      </c>
      <c r="F10">
        <v>0.38</v>
      </c>
      <c r="G10">
        <v>1.53</v>
      </c>
    </row>
    <row r="11" spans="1:15">
      <c r="A11" t="s">
        <v>784</v>
      </c>
      <c r="C11" t="s">
        <v>815</v>
      </c>
      <c r="D11" t="s">
        <v>846</v>
      </c>
      <c r="F11">
        <v>-550</v>
      </c>
      <c r="G11">
        <v>-1197</v>
      </c>
    </row>
    <row r="12" spans="1:15" s="59" customFormat="1">
      <c r="A12" s="59" t="s">
        <v>105</v>
      </c>
      <c r="D12" s="59" t="s">
        <v>846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816</v>
      </c>
      <c r="D13" t="s">
        <v>643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817</v>
      </c>
      <c r="D14" t="s">
        <v>765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637</v>
      </c>
      <c r="D15" s="44" t="s">
        <v>765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819</v>
      </c>
      <c r="D16" t="s">
        <v>765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804</v>
      </c>
      <c r="B17" t="s">
        <v>23</v>
      </c>
      <c r="C17" t="s">
        <v>824</v>
      </c>
      <c r="D17" t="s">
        <v>643</v>
      </c>
      <c r="E17">
        <v>0.85</v>
      </c>
      <c r="F17">
        <v>0.8</v>
      </c>
      <c r="G17">
        <v>0.9</v>
      </c>
      <c r="H17" t="s">
        <v>806</v>
      </c>
      <c r="I17" t="s">
        <v>807</v>
      </c>
    </row>
    <row r="18" spans="1:9">
      <c r="A18" t="s">
        <v>826</v>
      </c>
      <c r="B18" t="s">
        <v>23</v>
      </c>
      <c r="C18" t="s">
        <v>818</v>
      </c>
      <c r="D18" t="s">
        <v>643</v>
      </c>
      <c r="E18">
        <v>0.9</v>
      </c>
      <c r="F18">
        <v>0.85</v>
      </c>
      <c r="G18">
        <v>0.95</v>
      </c>
      <c r="H18" t="s">
        <v>654</v>
      </c>
    </row>
    <row r="19" spans="1:9" s="6" customFormat="1">
      <c r="A19" s="6" t="s">
        <v>86</v>
      </c>
      <c r="B19" s="6" t="str">
        <f>'Landfill '!B15</f>
        <v>fraction</v>
      </c>
      <c r="C19" t="s">
        <v>822</v>
      </c>
      <c r="D19" t="s">
        <v>643</v>
      </c>
      <c r="E19" s="6">
        <v>1</v>
      </c>
      <c r="F19">
        <v>0.7</v>
      </c>
      <c r="G19">
        <v>1</v>
      </c>
      <c r="H19" s="6" t="s">
        <v>821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473</v>
      </c>
      <c r="B20" s="6" t="s">
        <v>848</v>
      </c>
      <c r="C20" t="s">
        <v>473</v>
      </c>
      <c r="D20" t="s">
        <v>643</v>
      </c>
      <c r="E20" s="6">
        <v>0.14399999999999999</v>
      </c>
      <c r="F20" s="69">
        <v>9.6000000000000002E-2</v>
      </c>
      <c r="G20">
        <v>0.22900000000000001</v>
      </c>
      <c r="H20" s="6" t="s">
        <v>654</v>
      </c>
    </row>
    <row r="21" spans="1:9" s="59" customFormat="1">
      <c r="A21" s="59" t="s">
        <v>775</v>
      </c>
      <c r="D21" s="59" t="s">
        <v>846</v>
      </c>
    </row>
    <row r="22" spans="1:9">
      <c r="A22" t="str">
        <f>AD!A12</f>
        <v xml:space="preserve">Methane conversion factor </v>
      </c>
      <c r="B22" t="str">
        <f>AD!B12</f>
        <v>%</v>
      </c>
      <c r="C22" t="s">
        <v>856</v>
      </c>
      <c r="D22" t="s">
        <v>643</v>
      </c>
      <c r="E22">
        <f>AD!E12</f>
        <v>0.84</v>
      </c>
      <c r="F22">
        <v>0.7</v>
      </c>
      <c r="G22">
        <v>1</v>
      </c>
      <c r="H22" t="str">
        <f>AD!H12</f>
        <v>Ebner et al, 2014</v>
      </c>
      <c r="I22" t="s">
        <v>900</v>
      </c>
    </row>
    <row r="23" spans="1:9">
      <c r="A23" t="str">
        <f>AD!A14</f>
        <v>Methane leaks</v>
      </c>
      <c r="B23" t="str">
        <f>AD!B14</f>
        <v>% methane utilized</v>
      </c>
      <c r="C23" t="s">
        <v>827</v>
      </c>
      <c r="D23" t="s">
        <v>643</v>
      </c>
      <c r="E23">
        <f>AD!E14</f>
        <v>0.03</v>
      </c>
      <c r="F23">
        <v>0</v>
      </c>
      <c r="G23">
        <v>0.1</v>
      </c>
      <c r="H23" t="str">
        <f>AD!H14</f>
        <v>Ebner et al., 2014</v>
      </c>
      <c r="I23" t="str">
        <f>AD!J14</f>
        <v>3% of methane utilized</v>
      </c>
    </row>
    <row r="24" spans="1:9">
      <c r="A24" t="str">
        <f>AD!A16</f>
        <v>Methane incomplete combustion factor</v>
      </c>
      <c r="B24" t="str">
        <f>AD!B16</f>
        <v>% methane utilized</v>
      </c>
      <c r="C24" t="s">
        <v>828</v>
      </c>
      <c r="D24" t="s">
        <v>765</v>
      </c>
      <c r="E24">
        <f>AD!E16</f>
        <v>5.0000000000000001E-3</v>
      </c>
      <c r="H24" t="str">
        <f>AD!H16</f>
        <v>Dressler, 2012</v>
      </c>
      <c r="I24" t="str">
        <f>AD!J16</f>
        <v>Hildesheim, Gottingen, Celle</v>
      </c>
    </row>
    <row r="25" spans="1:9" s="12" customFormat="1">
      <c r="A25" s="12" t="str">
        <f>AD!A17</f>
        <v>Incomplete combustion CH4IC</v>
      </c>
      <c r="B25" s="12" t="str">
        <f>AD!B17</f>
        <v>kgCO2e/t</v>
      </c>
      <c r="C25" s="44"/>
      <c r="D25" s="44" t="s">
        <v>765</v>
      </c>
      <c r="E25" s="12">
        <f>AD!C17</f>
        <v>7.1078263200000009</v>
      </c>
      <c r="F25" s="44"/>
      <c r="G25" s="44"/>
      <c r="H25" s="12">
        <f>AD!D17</f>
        <v>0.378882</v>
      </c>
      <c r="I25" s="12" t="s">
        <v>899</v>
      </c>
    </row>
    <row r="26" spans="1:9">
      <c r="A26" t="str">
        <f>AD!A18</f>
        <v>Conversion Efficiency</v>
      </c>
      <c r="B26" t="str">
        <f>AD!B18</f>
        <v>MWh/t</v>
      </c>
      <c r="C26" t="s">
        <v>829</v>
      </c>
      <c r="D26" t="s">
        <v>643</v>
      </c>
      <c r="E26">
        <f>AD!E18</f>
        <v>4.19318820416827</v>
      </c>
      <c r="F26">
        <f>3.6</f>
        <v>3.6</v>
      </c>
      <c r="G26" s="86">
        <f>4.5</f>
        <v>4.5</v>
      </c>
      <c r="H26" t="str">
        <f>AD!H18</f>
        <v>Ebner et al, 2014</v>
      </c>
      <c r="I26" t="str">
        <f>AD!J18</f>
        <v>KWh/m3 methane 43% efficiency, if 1m3= 9.8 KWh</v>
      </c>
    </row>
    <row r="27" spans="1:9">
      <c r="A27" t="str">
        <f>AD!A20</f>
        <v>Parasitic load</v>
      </c>
      <c r="B27" t="str">
        <f>AD!B20</f>
        <v>% KWh generated</v>
      </c>
      <c r="C27" t="s">
        <v>830</v>
      </c>
      <c r="D27" t="s">
        <v>643</v>
      </c>
      <c r="E27">
        <f>AD!E20</f>
        <v>0.12</v>
      </c>
      <c r="F27">
        <v>0.1</v>
      </c>
      <c r="G27">
        <v>0.2</v>
      </c>
      <c r="H27" t="str">
        <f>AD!H20</f>
        <v>Ebner et al, 2015</v>
      </c>
      <c r="I27" t="str">
        <f>AD!J20</f>
        <v>Parasitic load</v>
      </c>
    </row>
    <row r="28" spans="1:9">
      <c r="A28" t="str">
        <f>AD!A26</f>
        <v>VS destruction</v>
      </c>
      <c r="B28" t="str">
        <f>AD!B26</f>
        <v>%</v>
      </c>
      <c r="C28" t="s">
        <v>831</v>
      </c>
      <c r="D28" t="s">
        <v>643</v>
      </c>
      <c r="E28">
        <f>AD!E26</f>
        <v>0.55000000000000004</v>
      </c>
      <c r="F28">
        <v>0.4</v>
      </c>
      <c r="G28">
        <v>0.7</v>
      </c>
      <c r="H28" t="str">
        <f>AD!H26</f>
        <v>Ebner et al., 2014</v>
      </c>
      <c r="I28" t="str">
        <f>AD!J26</f>
        <v>assuming a 55% reduction in VS</v>
      </c>
    </row>
    <row r="29" spans="1:9">
      <c r="A29" t="str">
        <f>AD!A28</f>
        <v>Effluent residual methane factor</v>
      </c>
      <c r="B29" t="str">
        <f>AD!B28</f>
        <v>m3CH4/kgVS</v>
      </c>
      <c r="C29" t="s">
        <v>832</v>
      </c>
      <c r="D29" t="s">
        <v>643</v>
      </c>
      <c r="E29">
        <f>AD!E28</f>
        <v>5.3999999999999999E-2</v>
      </c>
      <c r="F29">
        <v>4.0000000000000001E-3</v>
      </c>
      <c r="G29">
        <v>7.3999999999999996E-2</v>
      </c>
      <c r="H29" t="str">
        <f>AD!H28</f>
        <v>Ebner et al., 2014</v>
      </c>
    </row>
    <row r="30" spans="1:9">
      <c r="A30" t="str">
        <f>AD!A33</f>
        <v xml:space="preserve">Direct N2O emission factor </v>
      </c>
      <c r="B30" t="str">
        <f>AD!B33</f>
        <v>kgCO2e/t</v>
      </c>
      <c r="C30" t="s">
        <v>833</v>
      </c>
      <c r="D30" t="s">
        <v>643</v>
      </c>
      <c r="E30">
        <f>AD!E33</f>
        <v>5.0000000000000001E-3</v>
      </c>
      <c r="F30">
        <f>E30/2</f>
        <v>2.5000000000000001E-3</v>
      </c>
      <c r="G30">
        <f>E30*2</f>
        <v>0.01</v>
      </c>
      <c r="H30" t="str">
        <f>AD!H33</f>
        <v>IPCC protocol, EF3=0.005</v>
      </c>
      <c r="I30" t="str">
        <f>AD!I33</f>
        <v>assumes that N in is the same as N out adjusted for D losses</v>
      </c>
    </row>
    <row r="31" spans="1:9">
      <c r="A31" t="str">
        <f>AD!A34</f>
        <v>Indirect N volitilization factor</v>
      </c>
      <c r="B31" t="str">
        <f>AD!B34</f>
        <v>KgNvol/kg N</v>
      </c>
      <c r="C31" t="s">
        <v>834</v>
      </c>
      <c r="D31" t="s">
        <v>643</v>
      </c>
      <c r="E31">
        <f>AD!E34</f>
        <v>0.26</v>
      </c>
      <c r="F31">
        <v>0.05</v>
      </c>
      <c r="G31">
        <v>0.5</v>
      </c>
      <c r="H31" t="str">
        <f>AD!H34</f>
        <v>FracGASMS=0.26</v>
      </c>
      <c r="I31">
        <f>AD!I34</f>
        <v>0</v>
      </c>
    </row>
    <row r="32" spans="1:9">
      <c r="A32" t="str">
        <f>AD!A35</f>
        <v>Indirect N2O-N from NH3</v>
      </c>
      <c r="B32" t="str">
        <f>AD!B35</f>
        <v>Kg N2O-N/kg N</v>
      </c>
      <c r="C32" t="s">
        <v>837</v>
      </c>
      <c r="D32" t="s">
        <v>643</v>
      </c>
      <c r="E32">
        <f>AD!E35</f>
        <v>0.01</v>
      </c>
      <c r="F32">
        <v>2E-3</v>
      </c>
      <c r="G32">
        <v>0.05</v>
      </c>
      <c r="H32" t="str">
        <f>AD!H35</f>
        <v>IPCC, EF4=0.01</v>
      </c>
      <c r="I32" t="str">
        <f>AD!I35</f>
        <v>assumes that N is is the same as N out adjusted for D losses</v>
      </c>
    </row>
    <row r="33" spans="1:9" s="59" customFormat="1">
      <c r="A33" s="59" t="s">
        <v>38</v>
      </c>
      <c r="D33" s="59" t="s">
        <v>846</v>
      </c>
    </row>
    <row r="34" spans="1:9">
      <c r="A34" t="s">
        <v>910</v>
      </c>
      <c r="B34" t="s">
        <v>901</v>
      </c>
      <c r="C34" s="2" t="s">
        <v>913</v>
      </c>
      <c r="D34" t="s">
        <v>643</v>
      </c>
      <c r="E34" s="69">
        <v>0.3</v>
      </c>
      <c r="F34" s="69">
        <v>0.3</v>
      </c>
      <c r="G34" s="69">
        <v>0.6</v>
      </c>
      <c r="H34" t="s">
        <v>915</v>
      </c>
    </row>
    <row r="35" spans="1:9">
      <c r="A35" t="str">
        <f>'Land application'!A10</f>
        <v>Xport to field</v>
      </c>
      <c r="B35" t="s">
        <v>12</v>
      </c>
      <c r="C35" t="s">
        <v>835</v>
      </c>
      <c r="D35" t="s">
        <v>643</v>
      </c>
      <c r="E35">
        <f>'Land application'!E9</f>
        <v>20</v>
      </c>
      <c r="F35">
        <v>10</v>
      </c>
      <c r="G35">
        <v>20</v>
      </c>
      <c r="H35" t="s">
        <v>870</v>
      </c>
      <c r="I35" t="s">
        <v>916</v>
      </c>
    </row>
    <row r="36" spans="1:9">
      <c r="A36" t="str">
        <f>'Land application'!A13</f>
        <v>Direct N2O emission factor</v>
      </c>
      <c r="B36" t="str">
        <f>'Land application'!B13</f>
        <v>Kg N2O-N/kg N</v>
      </c>
      <c r="C36" t="s">
        <v>836</v>
      </c>
      <c r="D36" t="s">
        <v>643</v>
      </c>
      <c r="E36">
        <f>'Land application'!E13</f>
        <v>1.2500000000000001E-2</v>
      </c>
      <c r="F36">
        <v>5.0000000000000001E-3</v>
      </c>
      <c r="G36">
        <v>0.05</v>
      </c>
      <c r="H36" t="str">
        <f>'Land application'!H13</f>
        <v>IPCC EF1=0.0125</v>
      </c>
    </row>
    <row r="37" spans="1:9">
      <c r="A37" t="s">
        <v>888</v>
      </c>
      <c r="B37" t="str">
        <f>'Land application'!B16</f>
        <v>KgNvol/kg N</v>
      </c>
      <c r="C37" t="s">
        <v>838</v>
      </c>
      <c r="D37" t="s">
        <v>643</v>
      </c>
      <c r="E37">
        <f>'Land application'!E16</f>
        <v>0.2</v>
      </c>
      <c r="F37">
        <v>0.05</v>
      </c>
      <c r="G37">
        <v>0.5</v>
      </c>
      <c r="H37" t="str">
        <f>'Land application'!H16</f>
        <v>IPCC, FracGASM=0.20</v>
      </c>
    </row>
    <row r="38" spans="1:9">
      <c r="A38" t="str">
        <f>'Land application'!A20</f>
        <v>Carbon storage factor</v>
      </c>
      <c r="B38">
        <f>'Land application'!B20</f>
        <v>0</v>
      </c>
      <c r="C38" s="2" t="s">
        <v>938</v>
      </c>
      <c r="D38" t="s">
        <v>643</v>
      </c>
      <c r="E38">
        <v>0.2</v>
      </c>
      <c r="F38">
        <v>0.15</v>
      </c>
      <c r="G38">
        <v>0.48</v>
      </c>
      <c r="H38" t="s">
        <v>870</v>
      </c>
      <c r="I38" t="s">
        <v>940</v>
      </c>
    </row>
    <row r="39" spans="1:9" s="59" customFormat="1">
      <c r="A39" s="59" t="s">
        <v>108</v>
      </c>
      <c r="D39" s="59" t="s">
        <v>846</v>
      </c>
    </row>
    <row r="40" spans="1:9">
      <c r="A40" t="s">
        <v>786</v>
      </c>
      <c r="B40" t="str">
        <f>compost!B13</f>
        <v>L/t</v>
      </c>
      <c r="C40" s="15" t="s">
        <v>839</v>
      </c>
      <c r="D40" t="s">
        <v>643</v>
      </c>
      <c r="E40">
        <v>3</v>
      </c>
      <c r="F40">
        <v>0.4</v>
      </c>
      <c r="G40">
        <v>6</v>
      </c>
      <c r="H40" t="s">
        <v>541</v>
      </c>
    </row>
    <row r="41" spans="1:9">
      <c r="A41" t="s">
        <v>798</v>
      </c>
      <c r="B41" t="s">
        <v>799</v>
      </c>
      <c r="C41" t="s">
        <v>637</v>
      </c>
      <c r="D41" t="s">
        <v>846</v>
      </c>
      <c r="E41">
        <v>0</v>
      </c>
      <c r="F41">
        <v>0.03</v>
      </c>
      <c r="G41">
        <v>65</v>
      </c>
      <c r="H41" t="s">
        <v>541</v>
      </c>
    </row>
    <row r="42" spans="1:9" ht="13" customHeight="1">
      <c r="A42" t="str">
        <f>compost!A18</f>
        <v>carbon degraded</v>
      </c>
      <c r="B42" t="str">
        <f>compost!B18</f>
        <v>%/initial C</v>
      </c>
      <c r="C42" t="s">
        <v>840</v>
      </c>
      <c r="D42" t="s">
        <v>643</v>
      </c>
      <c r="E42">
        <v>0.57999999999999996</v>
      </c>
      <c r="F42">
        <v>0.4</v>
      </c>
      <c r="G42">
        <v>0.83</v>
      </c>
      <c r="H42" t="s">
        <v>788</v>
      </c>
    </row>
    <row r="43" spans="1:9">
      <c r="A43" t="s">
        <v>874</v>
      </c>
      <c r="B43" t="s">
        <v>790</v>
      </c>
      <c r="C43" t="s">
        <v>841</v>
      </c>
      <c r="D43" t="s">
        <v>643</v>
      </c>
      <c r="E43">
        <v>0.02</v>
      </c>
      <c r="F43">
        <v>8.0000000000000002E-3</v>
      </c>
      <c r="G43">
        <v>3.5999999999999997E-2</v>
      </c>
      <c r="H43" t="s">
        <v>789</v>
      </c>
    </row>
    <row r="44" spans="1:9">
      <c r="A44" t="s">
        <v>875</v>
      </c>
      <c r="B44" t="s">
        <v>791</v>
      </c>
      <c r="C44" t="s">
        <v>842</v>
      </c>
      <c r="D44" t="s">
        <v>643</v>
      </c>
      <c r="E44">
        <v>5.0000000000000001E-3</v>
      </c>
      <c r="F44">
        <v>1E-3</v>
      </c>
      <c r="G44">
        <v>1.7999999999999999E-2</v>
      </c>
      <c r="H44" t="s">
        <v>886</v>
      </c>
      <c r="I44" t="str">
        <f>compost!H20</f>
        <v xml:space="preserve">Boldrin, 2009 </v>
      </c>
    </row>
    <row r="45" spans="1:9">
      <c r="A45" t="s">
        <v>793</v>
      </c>
      <c r="B45" t="s">
        <v>794</v>
      </c>
      <c r="C45" s="2" t="s">
        <v>876</v>
      </c>
      <c r="D45" t="s">
        <v>643</v>
      </c>
      <c r="E45">
        <v>0.2</v>
      </c>
      <c r="F45">
        <v>0.15</v>
      </c>
      <c r="G45">
        <v>0.27</v>
      </c>
      <c r="H45" t="s">
        <v>795</v>
      </c>
    </row>
    <row r="46" spans="1:9">
      <c r="A46" t="s">
        <v>796</v>
      </c>
      <c r="B46" t="str">
        <f>compost!B35</f>
        <v>%compost/fw</v>
      </c>
      <c r="C46" t="s">
        <v>843</v>
      </c>
      <c r="D46" t="s">
        <v>643</v>
      </c>
      <c r="E46">
        <v>0.4</v>
      </c>
      <c r="H46" t="s">
        <v>541</v>
      </c>
    </row>
    <row r="47" spans="1:9">
      <c r="A47" t="s">
        <v>797</v>
      </c>
      <c r="B47" t="s">
        <v>12</v>
      </c>
      <c r="C47" s="5" t="s">
        <v>844</v>
      </c>
      <c r="D47" t="s">
        <v>643</v>
      </c>
      <c r="E47">
        <v>30</v>
      </c>
      <c r="F47">
        <v>10</v>
      </c>
      <c r="G47">
        <v>60</v>
      </c>
    </row>
    <row r="48" spans="1:9">
      <c r="A48" t="s">
        <v>800</v>
      </c>
      <c r="B48" t="s">
        <v>801</v>
      </c>
      <c r="C48" t="s">
        <v>845</v>
      </c>
      <c r="D48" t="s">
        <v>643</v>
      </c>
      <c r="E48">
        <v>0.38</v>
      </c>
      <c r="F48">
        <v>0.26</v>
      </c>
      <c r="G48">
        <v>0.51</v>
      </c>
      <c r="H48" t="s">
        <v>541</v>
      </c>
    </row>
    <row r="49" spans="1:8">
      <c r="A49" t="s">
        <v>702</v>
      </c>
      <c r="B49" t="s">
        <v>890</v>
      </c>
      <c r="C49" t="s">
        <v>894</v>
      </c>
      <c r="D49" t="s">
        <v>765</v>
      </c>
      <c r="E49">
        <v>1.4999999999999999E-2</v>
      </c>
      <c r="H49" t="s">
        <v>788</v>
      </c>
    </row>
    <row r="50" spans="1:8">
      <c r="A50" t="s">
        <v>887</v>
      </c>
      <c r="B50" t="s">
        <v>891</v>
      </c>
      <c r="C50" t="s">
        <v>889</v>
      </c>
      <c r="D50" t="s">
        <v>765</v>
      </c>
      <c r="E50">
        <v>1.6E-2</v>
      </c>
      <c r="H50" t="s">
        <v>788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20" customWidth="1"/>
    <col min="4" max="4" width="9.83203125" style="120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8" t="s">
        <v>26</v>
      </c>
      <c r="D1" s="208" t="s">
        <v>114</v>
      </c>
      <c r="E1" s="43" t="s">
        <v>668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2</v>
      </c>
      <c r="K1" s="43" t="s">
        <v>5</v>
      </c>
      <c r="S1" s="27">
        <v>3.7854100000000002</v>
      </c>
      <c r="T1" s="112" t="s">
        <v>446</v>
      </c>
    </row>
    <row r="2" spans="1:28" s="37" customFormat="1">
      <c r="A2" s="42" t="s">
        <v>445</v>
      </c>
      <c r="C2" s="210">
        <f>C4+C5</f>
        <v>18.482496322776335</v>
      </c>
      <c r="D2" s="211"/>
      <c r="G2" s="54"/>
      <c r="K2" s="269" t="s">
        <v>869</v>
      </c>
    </row>
    <row r="3" spans="1:28" s="47" customFormat="1">
      <c r="A3" s="117" t="s">
        <v>463</v>
      </c>
      <c r="B3" s="106" t="s">
        <v>464</v>
      </c>
      <c r="C3" s="212">
        <f>E3*G3</f>
        <v>0</v>
      </c>
      <c r="D3" s="213"/>
      <c r="E3" s="226">
        <f>GlobalFactors!E13</f>
        <v>5.8295314000000005</v>
      </c>
      <c r="F3" s="119"/>
      <c r="G3" s="225"/>
      <c r="H3" s="106" t="s">
        <v>485</v>
      </c>
      <c r="I3" s="268">
        <v>42010</v>
      </c>
      <c r="J3" s="267" t="s">
        <v>766</v>
      </c>
      <c r="K3" s="106" t="s">
        <v>465</v>
      </c>
    </row>
    <row r="4" spans="1:28">
      <c r="A4" s="112" t="s">
        <v>589</v>
      </c>
      <c r="B4" s="106" t="s">
        <v>651</v>
      </c>
      <c r="C4" s="214">
        <f>E3*G4</f>
        <v>15.859207192776333</v>
      </c>
      <c r="G4" s="195">
        <f>GlobalFactors!E4</f>
        <v>2.7204943424399999</v>
      </c>
      <c r="H4" s="112"/>
      <c r="I4" s="112"/>
      <c r="K4" s="106"/>
      <c r="M4" s="112"/>
      <c r="Q4" s="120"/>
    </row>
    <row r="5" spans="1:28">
      <c r="A5" s="112" t="s">
        <v>469</v>
      </c>
      <c r="B5" s="112" t="s">
        <v>30</v>
      </c>
      <c r="C5" s="214">
        <f>G5*E3</f>
        <v>2.6232891300000003</v>
      </c>
      <c r="G5" s="196">
        <f>GlobalFactors!E3</f>
        <v>0.45</v>
      </c>
      <c r="H5" s="112" t="s">
        <v>470</v>
      </c>
      <c r="I5" s="112"/>
      <c r="K5" s="27" t="s">
        <v>471</v>
      </c>
    </row>
    <row r="6" spans="1:28" s="37" customFormat="1">
      <c r="A6" s="42" t="s">
        <v>447</v>
      </c>
      <c r="B6" s="42"/>
      <c r="C6" s="210"/>
      <c r="D6" s="211"/>
    </row>
    <row r="7" spans="1:28" hidden="1">
      <c r="A7" s="27" t="s">
        <v>102</v>
      </c>
      <c r="F7" s="201">
        <v>0.14399999999999999</v>
      </c>
      <c r="H7" s="112"/>
      <c r="I7" s="112" t="s">
        <v>653</v>
      </c>
      <c r="K7" s="112" t="s">
        <v>654</v>
      </c>
    </row>
    <row r="8" spans="1:28">
      <c r="A8" s="27" t="s">
        <v>101</v>
      </c>
      <c r="B8" s="207" t="s">
        <v>23</v>
      </c>
      <c r="E8" s="36">
        <f>GlobalFactors!E14</f>
        <v>0.1</v>
      </c>
      <c r="F8" s="201"/>
      <c r="H8" s="115" t="s">
        <v>655</v>
      </c>
      <c r="I8" s="115"/>
      <c r="K8" s="27" t="s">
        <v>656</v>
      </c>
    </row>
    <row r="9" spans="1:28">
      <c r="A9" s="112" t="s">
        <v>634</v>
      </c>
      <c r="B9" s="207" t="s">
        <v>23</v>
      </c>
      <c r="E9" s="36">
        <v>1</v>
      </c>
      <c r="F9" s="201"/>
      <c r="H9" s="115" t="s">
        <v>119</v>
      </c>
      <c r="I9" s="115" t="s">
        <v>657</v>
      </c>
      <c r="K9" s="207" t="s">
        <v>687</v>
      </c>
    </row>
    <row r="10" spans="1:28">
      <c r="A10" s="112" t="s">
        <v>633</v>
      </c>
      <c r="B10" s="207" t="s">
        <v>23</v>
      </c>
      <c r="E10" s="36">
        <v>0.9</v>
      </c>
      <c r="F10" s="201"/>
      <c r="H10" s="112" t="s">
        <v>119</v>
      </c>
      <c r="I10" s="112" t="s">
        <v>659</v>
      </c>
      <c r="K10" s="194" t="s">
        <v>658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156</v>
      </c>
      <c r="F11" s="202">
        <f>Parameters!E27</f>
        <v>334.11111111111109</v>
      </c>
    </row>
    <row r="12" spans="1:28">
      <c r="A12" s="27" t="s">
        <v>128</v>
      </c>
      <c r="F12" s="201">
        <f>Parameters!D27</f>
        <v>0.27</v>
      </c>
    </row>
    <row r="13" spans="1:28">
      <c r="A13" s="27" t="s">
        <v>82</v>
      </c>
      <c r="B13" s="27" t="s">
        <v>138</v>
      </c>
      <c r="F13" s="203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5">
        <f>F13*D16*Parameters!C19*Parameters!C6</f>
        <v>580.55007993612196</v>
      </c>
      <c r="D14" s="216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70" t="s">
        <v>774</v>
      </c>
      <c r="Q15" s="112"/>
    </row>
    <row r="16" spans="1:28" ht="15" customHeight="1">
      <c r="A16" s="27" t="s">
        <v>131</v>
      </c>
      <c r="B16" s="27" t="s">
        <v>133</v>
      </c>
      <c r="D16" s="214">
        <f>E87</f>
        <v>0.34304585198864457</v>
      </c>
      <c r="K16" s="27" t="s">
        <v>129</v>
      </c>
      <c r="Q16" s="112"/>
    </row>
    <row r="17" spans="1:25" ht="15" customHeight="1">
      <c r="A17" s="112" t="s">
        <v>480</v>
      </c>
      <c r="B17" s="112" t="s">
        <v>60</v>
      </c>
      <c r="C17" s="214">
        <f>D16*F13*G15*Parameters!C19*Parameters!C6</f>
        <v>406.38505595528528</v>
      </c>
      <c r="Q17" s="112"/>
    </row>
    <row r="18" spans="1:25" s="37" customFormat="1">
      <c r="A18" s="42" t="s">
        <v>140</v>
      </c>
      <c r="B18" s="37" t="s">
        <v>30</v>
      </c>
      <c r="C18" s="210">
        <f>-D23*Parameters!C14/1000</f>
        <v>-64.484627123483364</v>
      </c>
      <c r="D18" s="211"/>
      <c r="G18" s="37">
        <f>Parameters!C14</f>
        <v>533.66</v>
      </c>
      <c r="V18" s="37" t="s">
        <v>85</v>
      </c>
      <c r="W18" s="37" t="s">
        <v>79</v>
      </c>
    </row>
    <row r="19" spans="1:25">
      <c r="A19" s="112" t="s">
        <v>482</v>
      </c>
      <c r="B19" s="27" t="s">
        <v>133</v>
      </c>
      <c r="D19" s="217">
        <f>F87*E10</f>
        <v>0.44377569147881474</v>
      </c>
      <c r="K19" s="112" t="s">
        <v>660</v>
      </c>
      <c r="Q19" s="112"/>
    </row>
    <row r="20" spans="1:25">
      <c r="A20" s="27" t="s">
        <v>136</v>
      </c>
      <c r="B20" s="27" t="s">
        <v>22</v>
      </c>
      <c r="D20" s="217">
        <f>F13*D19</f>
        <v>40.033005128303877</v>
      </c>
      <c r="G20" s="196">
        <f>Parameters!C20</f>
        <v>35315</v>
      </c>
      <c r="H20" s="112" t="s">
        <v>486</v>
      </c>
      <c r="I20" s="112"/>
      <c r="K20" s="112" t="s">
        <v>483</v>
      </c>
    </row>
    <row r="21" spans="1:25">
      <c r="A21" s="270" t="s">
        <v>802</v>
      </c>
      <c r="B21" s="270" t="s">
        <v>23</v>
      </c>
      <c r="D21" s="217"/>
      <c r="G21" s="196"/>
      <c r="H21" s="112"/>
      <c r="I21" s="112"/>
      <c r="K21" s="270" t="s">
        <v>803</v>
      </c>
    </row>
    <row r="22" spans="1:25">
      <c r="A22" s="207" t="s">
        <v>680</v>
      </c>
      <c r="B22" s="207" t="s">
        <v>681</v>
      </c>
      <c r="D22" s="217"/>
      <c r="E22" s="196">
        <v>11700</v>
      </c>
      <c r="F22" s="196"/>
      <c r="G22" s="270" t="s">
        <v>771</v>
      </c>
      <c r="H22" s="270" t="s">
        <v>773</v>
      </c>
      <c r="I22" s="112"/>
      <c r="K22" s="270" t="s">
        <v>772</v>
      </c>
    </row>
    <row r="23" spans="1:25">
      <c r="A23" s="27" t="s">
        <v>13</v>
      </c>
      <c r="B23" s="27" t="s">
        <v>137</v>
      </c>
      <c r="D23" s="214">
        <f>D20*G20/E22</f>
        <v>120.83466462444885</v>
      </c>
      <c r="I23" s="112"/>
      <c r="K23" s="270" t="s">
        <v>484</v>
      </c>
    </row>
    <row r="24" spans="1:25" s="127" customFormat="1">
      <c r="A24" s="127" t="s">
        <v>78</v>
      </c>
      <c r="B24" s="127" t="s">
        <v>30</v>
      </c>
      <c r="C24" s="218">
        <f>D28*-44/12</f>
        <v>-84.966161861607617</v>
      </c>
      <c r="D24" s="218">
        <f>F25*G24</f>
        <v>0</v>
      </c>
      <c r="K24" s="127" t="s">
        <v>449</v>
      </c>
      <c r="X24" s="127" t="e">
        <f>#REF!*1.1</f>
        <v>#REF!</v>
      </c>
      <c r="Y24" s="127" t="s">
        <v>60</v>
      </c>
    </row>
    <row r="25" spans="1:25" s="117" customFormat="1">
      <c r="A25" s="117" t="s">
        <v>487</v>
      </c>
      <c r="B25" s="117" t="s">
        <v>448</v>
      </c>
      <c r="C25" s="212"/>
      <c r="D25" s="212"/>
      <c r="F25" s="221">
        <f>Parameters!J27</f>
        <v>145.73955722402675</v>
      </c>
      <c r="J25" s="117" t="s">
        <v>852</v>
      </c>
      <c r="K25" s="117" t="s">
        <v>850</v>
      </c>
    </row>
    <row r="26" spans="1:25" s="117" customFormat="1">
      <c r="A26" s="117" t="s">
        <v>675</v>
      </c>
      <c r="B26" s="117" t="s">
        <v>23</v>
      </c>
      <c r="C26" s="212"/>
      <c r="D26" s="212"/>
      <c r="F26" s="206">
        <f>Parameters!O27</f>
        <v>0.84099999999999997</v>
      </c>
      <c r="J26" s="117" t="s">
        <v>852</v>
      </c>
      <c r="K26" s="117" t="s">
        <v>849</v>
      </c>
    </row>
    <row r="27" spans="1:25" s="42" customFormat="1">
      <c r="A27" s="42" t="s">
        <v>853</v>
      </c>
      <c r="C27" s="210"/>
      <c r="D27" s="210"/>
      <c r="E27" s="279"/>
      <c r="F27" s="280"/>
      <c r="J27" s="42" t="s">
        <v>851</v>
      </c>
      <c r="K27" s="42" t="s">
        <v>637</v>
      </c>
    </row>
    <row r="28" spans="1:25" s="47" customFormat="1">
      <c r="A28" s="117" t="s">
        <v>540</v>
      </c>
      <c r="B28" s="204" t="s">
        <v>604</v>
      </c>
      <c r="C28" s="213"/>
      <c r="D28" s="212">
        <f>F25*(1-F26)*G29</f>
        <v>23.172589598620259</v>
      </c>
      <c r="F28" s="170"/>
      <c r="G28" s="278"/>
      <c r="H28" s="277"/>
      <c r="I28" s="277"/>
      <c r="K28" s="117" t="s">
        <v>896</v>
      </c>
    </row>
    <row r="29" spans="1:25">
      <c r="A29" s="270" t="s">
        <v>770</v>
      </c>
      <c r="B29" s="270" t="s">
        <v>854</v>
      </c>
      <c r="G29" s="196">
        <v>1</v>
      </c>
      <c r="H29" s="283">
        <f>D28/0.3/1000</f>
        <v>7.7241965328734202E-2</v>
      </c>
      <c r="I29" s="29"/>
      <c r="J29" s="29"/>
      <c r="K29" s="270" t="s">
        <v>855</v>
      </c>
    </row>
    <row r="30" spans="1:25">
      <c r="B30" s="205" t="s">
        <v>636</v>
      </c>
      <c r="C30" s="219">
        <f>SUM(C14,C18,C24,C2)</f>
        <v>449.58178727380732</v>
      </c>
    </row>
    <row r="31" spans="1:25">
      <c r="A31" s="42" t="s">
        <v>113</v>
      </c>
      <c r="K31" s="112" t="s">
        <v>450</v>
      </c>
    </row>
    <row r="32" spans="1:25">
      <c r="C32" s="120">
        <v>3</v>
      </c>
    </row>
    <row r="34" spans="1:23">
      <c r="A34" s="39" t="s">
        <v>99</v>
      </c>
      <c r="H34" s="271" t="s">
        <v>724</v>
      </c>
      <c r="L34" s="37" t="s">
        <v>100</v>
      </c>
      <c r="M34" s="125"/>
      <c r="N34" s="37"/>
      <c r="O34" s="37"/>
      <c r="P34" s="124" t="s">
        <v>479</v>
      </c>
      <c r="Q34" s="37"/>
      <c r="R34" s="37"/>
      <c r="S34" s="37"/>
      <c r="T34" s="37"/>
      <c r="W34" s="112" t="s">
        <v>475</v>
      </c>
    </row>
    <row r="35" spans="1:23" ht="16">
      <c r="B35" s="112" t="s">
        <v>478</v>
      </c>
      <c r="C35" s="220"/>
      <c r="D35" s="120" t="s">
        <v>88</v>
      </c>
      <c r="K35" s="126" t="s">
        <v>98</v>
      </c>
      <c r="L35" s="126"/>
      <c r="M35" s="37"/>
      <c r="N35" s="124" t="s">
        <v>474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2" t="s">
        <v>456</v>
      </c>
      <c r="C36" s="220" t="s">
        <v>97</v>
      </c>
      <c r="D36" s="220" t="s">
        <v>477</v>
      </c>
      <c r="E36" s="112" t="s">
        <v>458</v>
      </c>
      <c r="F36" s="112" t="s">
        <v>457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20">
        <v>0.1</v>
      </c>
      <c r="D37" s="120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20">
        <v>0.1</v>
      </c>
      <c r="D38" s="120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20">
        <v>0.1</v>
      </c>
      <c r="D39" s="120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20">
        <v>0.1</v>
      </c>
      <c r="D40" s="120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20">
        <v>0.1</v>
      </c>
      <c r="D41" s="120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20">
        <v>0.1</v>
      </c>
      <c r="D42" s="120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20">
        <v>0.1</v>
      </c>
      <c r="D43" s="120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20">
        <v>0.1</v>
      </c>
      <c r="D44" s="120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20">
        <v>0.1</v>
      </c>
      <c r="D45" s="120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20">
        <v>0.1</v>
      </c>
      <c r="D46" s="120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20">
        <v>0.1</v>
      </c>
      <c r="D47" s="120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20">
        <v>0.1</v>
      </c>
      <c r="D48" s="120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20">
        <v>0.1</v>
      </c>
      <c r="D49" s="120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20">
        <v>0.1</v>
      </c>
      <c r="D50" s="120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20">
        <v>0.1</v>
      </c>
      <c r="D51" s="120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20">
        <v>0.1</v>
      </c>
      <c r="D52" s="120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20">
        <v>0.1</v>
      </c>
      <c r="D53" s="120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20">
        <v>0.1</v>
      </c>
      <c r="D54" s="120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20">
        <v>0.1</v>
      </c>
      <c r="D55" s="120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20">
        <v>0.1</v>
      </c>
      <c r="D56" s="120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20">
        <v>0.1</v>
      </c>
      <c r="D57" s="120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20">
        <v>0.1</v>
      </c>
      <c r="D58" s="120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20">
        <v>0.1</v>
      </c>
      <c r="D59" s="120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20">
        <v>0.1</v>
      </c>
      <c r="D60" s="120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20">
        <v>0.1</v>
      </c>
      <c r="D61" s="120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20">
        <v>0.1</v>
      </c>
      <c r="D62" s="120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20">
        <v>0.1</v>
      </c>
      <c r="D63" s="120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20">
        <v>0.1</v>
      </c>
      <c r="D64" s="120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20">
        <v>0.1</v>
      </c>
      <c r="D65" s="120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20">
        <v>0.1</v>
      </c>
      <c r="D66" s="120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20">
        <v>0.1</v>
      </c>
      <c r="D67" s="120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20">
        <v>0.1</v>
      </c>
      <c r="D68" s="120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20">
        <v>0.1</v>
      </c>
      <c r="D69" s="120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20">
        <v>0.1</v>
      </c>
      <c r="D70" s="120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20">
        <v>0.1</v>
      </c>
      <c r="D71" s="120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20">
        <v>0.1</v>
      </c>
      <c r="D72" s="120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20">
        <v>0.1</v>
      </c>
      <c r="D73" s="120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20">
        <v>0.1</v>
      </c>
      <c r="D74" s="120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20">
        <v>0.1</v>
      </c>
      <c r="D75" s="120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20">
        <v>0.1</v>
      </c>
      <c r="D76" s="120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20">
        <v>0.1</v>
      </c>
      <c r="D77" s="120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20">
        <v>0.1</v>
      </c>
      <c r="D78" s="120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20">
        <v>0.1</v>
      </c>
      <c r="D79" s="120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20">
        <v>0.1</v>
      </c>
      <c r="D80" s="120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20">
        <v>0.1</v>
      </c>
      <c r="D81" s="120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20">
        <v>0.1</v>
      </c>
      <c r="D82" s="120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20">
        <v>0.1</v>
      </c>
      <c r="D83" s="120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20">
        <v>0.1</v>
      </c>
      <c r="D84" s="120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20">
        <v>0.1</v>
      </c>
      <c r="D85" s="120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20">
        <v>0.1</v>
      </c>
      <c r="D86" s="120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20">
        <v>0.1</v>
      </c>
      <c r="E87" s="227">
        <f>SUM(E37:E86)</f>
        <v>0.34304585198864457</v>
      </c>
      <c r="F87" s="116">
        <f>SUM(F37:F86)</f>
        <v>0.49308410164312749</v>
      </c>
      <c r="G87" s="116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2"/>
      <c r="Z88" s="36" t="e">
        <f>SUM(AA38:AA87)</f>
        <v>#REF!</v>
      </c>
      <c r="AA88" s="116">
        <f>SUM(AB38:AB87)</f>
        <v>1.1563427736777408E-5</v>
      </c>
      <c r="AB88" s="116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2" t="s">
        <v>476</v>
      </c>
      <c r="AD90" s="27" t="s">
        <v>74</v>
      </c>
    </row>
    <row r="91" spans="1:30">
      <c r="A91" s="27" t="s">
        <v>77</v>
      </c>
      <c r="B91" s="35" t="s">
        <v>76</v>
      </c>
      <c r="D91" s="120" t="s">
        <v>67</v>
      </c>
    </row>
    <row r="92" spans="1:30">
      <c r="A92" s="112" t="s">
        <v>452</v>
      </c>
      <c r="B92" s="113">
        <f>D20</f>
        <v>40.033005128303877</v>
      </c>
      <c r="C92" s="120" t="s">
        <v>75</v>
      </c>
      <c r="D92" s="120" t="s">
        <v>67</v>
      </c>
    </row>
    <row r="93" spans="1:30">
      <c r="A93" s="27" t="s">
        <v>73</v>
      </c>
      <c r="B93" s="27">
        <v>35315</v>
      </c>
      <c r="C93" s="120" t="s">
        <v>72</v>
      </c>
    </row>
    <row r="94" spans="1:30">
      <c r="A94" s="34" t="s">
        <v>71</v>
      </c>
      <c r="B94" s="27">
        <v>11700</v>
      </c>
      <c r="C94" s="120" t="s">
        <v>70</v>
      </c>
      <c r="D94" s="120" t="s">
        <v>63</v>
      </c>
      <c r="H94" s="33"/>
      <c r="I94" s="33"/>
      <c r="K94" s="112">
        <v>3412</v>
      </c>
      <c r="L94" s="112" t="s">
        <v>453</v>
      </c>
      <c r="M94" s="114">
        <f>K94/B94</f>
        <v>0.29162393162393163</v>
      </c>
      <c r="N94" s="112" t="s">
        <v>455</v>
      </c>
    </row>
    <row r="95" spans="1:30">
      <c r="A95" s="27" t="s">
        <v>69</v>
      </c>
      <c r="B95" s="27">
        <v>1</v>
      </c>
      <c r="C95" s="120" t="s">
        <v>68</v>
      </c>
      <c r="K95" s="112" t="s">
        <v>454</v>
      </c>
    </row>
    <row r="96" spans="1:30">
      <c r="B96" s="27">
        <f>B92*B93/B94*B95</f>
        <v>120.83466462444885</v>
      </c>
      <c r="C96" s="120" t="s">
        <v>66</v>
      </c>
    </row>
    <row r="97" spans="1:15">
      <c r="A97" s="27" t="s">
        <v>65</v>
      </c>
      <c r="B97" s="27">
        <f>-D100/1000</f>
        <v>-0.53737674279288006</v>
      </c>
      <c r="C97" s="120" t="s">
        <v>64</v>
      </c>
      <c r="D97" s="120" t="s">
        <v>59</v>
      </c>
      <c r="E97" s="27" t="s">
        <v>58</v>
      </c>
    </row>
    <row r="98" spans="1:15">
      <c r="B98" s="31">
        <f>B96*B97</f>
        <v>-64.933738492356369</v>
      </c>
      <c r="C98" s="120" t="s">
        <v>62</v>
      </c>
      <c r="D98" s="120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20" t="s">
        <v>60</v>
      </c>
      <c r="D100" s="120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543</v>
      </c>
      <c r="B102" s="27" t="s">
        <v>544</v>
      </c>
      <c r="C102" s="120" t="s">
        <v>545</v>
      </c>
      <c r="D102" s="120" t="s">
        <v>546</v>
      </c>
      <c r="E102" s="27" t="s">
        <v>547</v>
      </c>
      <c r="G102" s="27" t="s">
        <v>548</v>
      </c>
    </row>
    <row r="103" spans="1:15">
      <c r="A103" s="27" t="s">
        <v>549</v>
      </c>
      <c r="B103" s="27" t="s">
        <v>544</v>
      </c>
      <c r="C103" s="120" t="s">
        <v>550</v>
      </c>
      <c r="D103" s="120" t="s">
        <v>551</v>
      </c>
      <c r="E103" s="27" t="s">
        <v>552</v>
      </c>
      <c r="G103" s="27" t="s">
        <v>553</v>
      </c>
      <c r="H103" s="27" t="s">
        <v>554</v>
      </c>
      <c r="J103" s="27" t="s">
        <v>555</v>
      </c>
      <c r="K103" s="27" t="s">
        <v>550</v>
      </c>
      <c r="L103" s="27" t="s">
        <v>556</v>
      </c>
      <c r="M103" s="27" t="s">
        <v>557</v>
      </c>
      <c r="N103" s="27" t="s">
        <v>558</v>
      </c>
      <c r="O103" s="27">
        <v>-2009</v>
      </c>
    </row>
    <row r="104" spans="1:15">
      <c r="A104" s="27" t="s">
        <v>559</v>
      </c>
      <c r="B104" s="27" t="s">
        <v>544</v>
      </c>
      <c r="C104" s="120" t="s">
        <v>550</v>
      </c>
      <c r="D104" s="120" t="s">
        <v>551</v>
      </c>
      <c r="E104" s="27">
        <v>2.7</v>
      </c>
      <c r="G104" s="27" t="s">
        <v>553</v>
      </c>
      <c r="H104" s="27" t="s">
        <v>554</v>
      </c>
      <c r="J104" s="27" t="s">
        <v>555</v>
      </c>
      <c r="K104" s="27" t="s">
        <v>550</v>
      </c>
      <c r="L104" s="27" t="s">
        <v>556</v>
      </c>
      <c r="M104" s="27" t="s">
        <v>557</v>
      </c>
      <c r="N104" s="27" t="s">
        <v>558</v>
      </c>
      <c r="O104" s="27">
        <v>-2009</v>
      </c>
    </row>
    <row r="105" spans="1:15">
      <c r="A105" s="27" t="s">
        <v>549</v>
      </c>
      <c r="B105" s="27" t="s">
        <v>544</v>
      </c>
      <c r="C105" s="120" t="s">
        <v>560</v>
      </c>
      <c r="D105" s="120" t="s">
        <v>561</v>
      </c>
      <c r="E105" s="27" t="s">
        <v>553</v>
      </c>
      <c r="G105" s="27" t="s">
        <v>554</v>
      </c>
      <c r="H105" s="27" t="s">
        <v>562</v>
      </c>
      <c r="J105" s="27" t="s">
        <v>556</v>
      </c>
      <c r="K105" s="27" t="s">
        <v>557</v>
      </c>
      <c r="L105" s="27" t="s">
        <v>558</v>
      </c>
      <c r="M105" s="27">
        <v>-2009</v>
      </c>
    </row>
    <row r="106" spans="1:15">
      <c r="A106" s="27" t="s">
        <v>563</v>
      </c>
      <c r="B106" s="27" t="s">
        <v>544</v>
      </c>
      <c r="C106" s="120" t="s">
        <v>55</v>
      </c>
      <c r="D106" s="120" t="s">
        <v>564</v>
      </c>
      <c r="E106" s="27" t="s">
        <v>565</v>
      </c>
      <c r="G106" s="27" t="s">
        <v>553</v>
      </c>
      <c r="H106" s="27" t="s">
        <v>554</v>
      </c>
      <c r="J106" s="27" t="s">
        <v>553</v>
      </c>
      <c r="K106" s="27" t="s">
        <v>566</v>
      </c>
      <c r="L106" s="27" t="s">
        <v>567</v>
      </c>
      <c r="M106" s="27">
        <v>10</v>
      </c>
    </row>
    <row r="107" spans="1:15">
      <c r="A107" s="27" t="s">
        <v>563</v>
      </c>
      <c r="B107" s="27" t="s">
        <v>544</v>
      </c>
      <c r="C107" s="120" t="s">
        <v>568</v>
      </c>
      <c r="D107" s="120" t="s">
        <v>564</v>
      </c>
      <c r="E107" s="27" t="s">
        <v>569</v>
      </c>
      <c r="G107" s="27" t="s">
        <v>553</v>
      </c>
      <c r="H107" s="27" t="s">
        <v>554</v>
      </c>
      <c r="J107" s="27" t="s">
        <v>553</v>
      </c>
      <c r="K107" s="27" t="s">
        <v>570</v>
      </c>
      <c r="L107" s="27" t="s">
        <v>567</v>
      </c>
      <c r="M107" s="27">
        <v>10</v>
      </c>
    </row>
    <row r="108" spans="1:15">
      <c r="A108" s="27" t="s">
        <v>563</v>
      </c>
      <c r="B108" s="27" t="s">
        <v>544</v>
      </c>
      <c r="C108" s="120" t="s">
        <v>571</v>
      </c>
      <c r="D108" s="120" t="s">
        <v>564</v>
      </c>
      <c r="E108" s="27" t="s">
        <v>572</v>
      </c>
      <c r="G108" s="27" t="s">
        <v>553</v>
      </c>
      <c r="H108" s="27" t="s">
        <v>554</v>
      </c>
      <c r="J108" s="27" t="s">
        <v>553</v>
      </c>
      <c r="K108" s="27" t="s">
        <v>573</v>
      </c>
      <c r="L108" s="27" t="s">
        <v>567</v>
      </c>
      <c r="M108" s="27">
        <v>10</v>
      </c>
    </row>
    <row r="109" spans="1:15">
      <c r="A109" s="27" t="s">
        <v>563</v>
      </c>
      <c r="B109" s="27" t="s">
        <v>544</v>
      </c>
      <c r="C109" s="120" t="s">
        <v>574</v>
      </c>
      <c r="D109" s="120" t="s">
        <v>575</v>
      </c>
      <c r="E109" s="27" t="s">
        <v>553</v>
      </c>
      <c r="G109" s="27" t="s">
        <v>554</v>
      </c>
      <c r="H109" s="27" t="s">
        <v>576</v>
      </c>
      <c r="J109" s="27" t="s">
        <v>574</v>
      </c>
      <c r="K109" s="27" t="s">
        <v>577</v>
      </c>
      <c r="L109" s="27" t="s">
        <v>578</v>
      </c>
      <c r="M109" s="27" t="s">
        <v>579</v>
      </c>
      <c r="N109" s="27" t="s">
        <v>580</v>
      </c>
      <c r="O109" s="27" t="s">
        <v>581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29" workbookViewId="0">
      <selection activeCell="C53" sqref="C53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676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428</v>
      </c>
      <c r="B3" t="s">
        <v>4</v>
      </c>
      <c r="F3" s="10">
        <v>0.107</v>
      </c>
      <c r="G3" s="1" t="s">
        <v>7</v>
      </c>
      <c r="H3" s="6" t="s">
        <v>391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439</v>
      </c>
    </row>
    <row r="8" spans="1:20" hidden="1">
      <c r="A8" t="s">
        <v>123</v>
      </c>
      <c r="B8" s="105"/>
      <c r="H8" t="s">
        <v>440</v>
      </c>
    </row>
    <row r="9" spans="1:20" hidden="1">
      <c r="A9" t="s">
        <v>124</v>
      </c>
      <c r="H9" t="s">
        <v>125</v>
      </c>
    </row>
    <row r="10" spans="1:20" s="13" customFormat="1">
      <c r="A10" s="13" t="s">
        <v>8</v>
      </c>
    </row>
    <row r="11" spans="1:20">
      <c r="A11" s="15" t="s">
        <v>392</v>
      </c>
      <c r="B11" s="15" t="s">
        <v>22</v>
      </c>
      <c r="C11" s="2"/>
      <c r="D11" s="2"/>
      <c r="F11" s="228">
        <f>Parameters!F27</f>
        <v>90.21</v>
      </c>
      <c r="G11" s="100"/>
      <c r="I11" s="5"/>
    </row>
    <row r="12" spans="1:20">
      <c r="A12" s="15" t="s">
        <v>694</v>
      </c>
      <c r="B12" s="15" t="s">
        <v>23</v>
      </c>
      <c r="C12" s="2"/>
      <c r="D12" s="2"/>
      <c r="E12" s="229">
        <v>0.84</v>
      </c>
      <c r="H12" t="s">
        <v>16</v>
      </c>
      <c r="I12" t="s">
        <v>820</v>
      </c>
      <c r="J12" s="14" t="s">
        <v>25</v>
      </c>
    </row>
    <row r="13" spans="1:20" s="6" customFormat="1" ht="14" customHeight="1">
      <c r="A13" s="14" t="s">
        <v>426</v>
      </c>
      <c r="B13" s="14" t="s">
        <v>22</v>
      </c>
      <c r="C13" s="5"/>
      <c r="D13" s="18">
        <f>F11*E12</f>
        <v>75.776399999999995</v>
      </c>
      <c r="E13" s="5"/>
      <c r="I13" s="6" t="s">
        <v>19</v>
      </c>
    </row>
    <row r="14" spans="1:20" s="6" customFormat="1" ht="14" customHeight="1">
      <c r="A14" s="14" t="s">
        <v>695</v>
      </c>
      <c r="B14" s="14" t="s">
        <v>696</v>
      </c>
      <c r="C14" s="5"/>
      <c r="D14" s="233"/>
      <c r="E14" s="10">
        <v>0.03</v>
      </c>
      <c r="H14" t="s">
        <v>10</v>
      </c>
      <c r="I14" s="6" t="s">
        <v>677</v>
      </c>
      <c r="J14" s="6" t="s">
        <v>17</v>
      </c>
    </row>
    <row r="15" spans="1:20" s="6" customFormat="1" ht="14" customHeight="1">
      <c r="A15" s="231" t="s">
        <v>698</v>
      </c>
      <c r="B15" s="14" t="s">
        <v>30</v>
      </c>
      <c r="C15" s="9">
        <f>D15*Parameters!C19*Parameters!C6</f>
        <v>42.646957919999991</v>
      </c>
      <c r="D15" s="236">
        <f>D13*E14</f>
        <v>2.2732919999999996</v>
      </c>
    </row>
    <row r="16" spans="1:20" s="6" customFormat="1" ht="14" customHeight="1">
      <c r="A16" s="231" t="s">
        <v>697</v>
      </c>
      <c r="B16" s="14" t="s">
        <v>696</v>
      </c>
      <c r="C16" s="89"/>
      <c r="D16" s="236"/>
      <c r="E16" s="10">
        <v>5.0000000000000001E-3</v>
      </c>
      <c r="F16"/>
      <c r="G16" s="4"/>
      <c r="H16" t="s">
        <v>31</v>
      </c>
      <c r="I16"/>
      <c r="J16" t="s">
        <v>32</v>
      </c>
    </row>
    <row r="17" spans="1:10">
      <c r="A17" s="231" t="s">
        <v>427</v>
      </c>
      <c r="B17" s="14" t="s">
        <v>30</v>
      </c>
      <c r="C17" s="21">
        <f>D17*Parameters!C19*Parameters!C6</f>
        <v>7.1078263200000009</v>
      </c>
      <c r="D17" s="237">
        <f>D13*E16</f>
        <v>0.378882</v>
      </c>
    </row>
    <row r="18" spans="1:10">
      <c r="A18" s="14" t="s">
        <v>393</v>
      </c>
      <c r="B18" s="14" t="s">
        <v>37</v>
      </c>
      <c r="D18" s="109"/>
      <c r="E18" s="230">
        <v>4.19318820416827</v>
      </c>
      <c r="F18">
        <f>3.6</f>
        <v>3.6</v>
      </c>
      <c r="G18" s="86">
        <f>4.5</f>
        <v>4.5</v>
      </c>
      <c r="H18" t="s">
        <v>16</v>
      </c>
      <c r="I18" t="s">
        <v>868</v>
      </c>
      <c r="J18" t="s">
        <v>867</v>
      </c>
    </row>
    <row r="19" spans="1:10">
      <c r="A19" s="231" t="s">
        <v>13</v>
      </c>
      <c r="B19" s="231" t="s">
        <v>37</v>
      </c>
      <c r="D19" s="111">
        <f>E18*D13/1000</f>
        <v>0.31774470663433646</v>
      </c>
      <c r="J19" s="86"/>
    </row>
    <row r="20" spans="1:10">
      <c r="A20" s="231" t="s">
        <v>678</v>
      </c>
      <c r="B20" s="14" t="s">
        <v>699</v>
      </c>
      <c r="D20" s="111"/>
      <c r="E20" s="10">
        <v>0.12</v>
      </c>
      <c r="G20" s="4"/>
      <c r="H20" t="s">
        <v>33</v>
      </c>
      <c r="I20" t="s">
        <v>679</v>
      </c>
      <c r="J20" t="s">
        <v>678</v>
      </c>
    </row>
    <row r="21" spans="1:10">
      <c r="A21" t="s">
        <v>423</v>
      </c>
      <c r="B21" t="s">
        <v>37</v>
      </c>
      <c r="D21" s="26">
        <f>D19*(1-0.12)</f>
        <v>0.27961534183821607</v>
      </c>
    </row>
    <row r="22" spans="1:10">
      <c r="A22" s="3" t="s">
        <v>35</v>
      </c>
      <c r="B22" s="16" t="s">
        <v>30</v>
      </c>
      <c r="D22" s="238">
        <f>D21*G22</f>
        <v>-150.25435902513021</v>
      </c>
      <c r="G22" s="25">
        <f>GlobalFactors!E5</f>
        <v>-537.36092603984002</v>
      </c>
      <c r="H22" t="s">
        <v>34</v>
      </c>
    </row>
    <row r="23" spans="1:10">
      <c r="A23" s="3" t="s">
        <v>716</v>
      </c>
      <c r="B23" s="16" t="s">
        <v>30</v>
      </c>
      <c r="C23" s="235">
        <f>C15+C17+D22</f>
        <v>-100.49957478513022</v>
      </c>
      <c r="G23" s="25"/>
    </row>
    <row r="24" spans="1:10" s="12" customFormat="1">
      <c r="A24" s="13" t="s">
        <v>36</v>
      </c>
    </row>
    <row r="25" spans="1:10" s="6" customFormat="1">
      <c r="A25" s="88" t="s">
        <v>684</v>
      </c>
      <c r="C25" s="89"/>
      <c r="F25" s="223">
        <f>Parameters!D27</f>
        <v>0.27</v>
      </c>
    </row>
    <row r="26" spans="1:10" s="6" customFormat="1">
      <c r="A26" s="46" t="s">
        <v>683</v>
      </c>
      <c r="B26" s="6" t="s">
        <v>23</v>
      </c>
      <c r="C26" s="89"/>
      <c r="E26" s="10">
        <v>0.55000000000000004</v>
      </c>
      <c r="F26" s="222"/>
      <c r="H26" s="6" t="s">
        <v>10</v>
      </c>
      <c r="I26" s="6" t="s">
        <v>682</v>
      </c>
      <c r="J26" s="6" t="s">
        <v>394</v>
      </c>
    </row>
    <row r="27" spans="1:10" s="6" customFormat="1">
      <c r="A27" s="46" t="s">
        <v>395</v>
      </c>
      <c r="B27" s="6" t="s">
        <v>397</v>
      </c>
      <c r="D27" s="224">
        <f>F25*1000*(1-E26)</f>
        <v>121.49999999999999</v>
      </c>
    </row>
    <row r="28" spans="1:10" s="6" customFormat="1">
      <c r="A28" s="46" t="s">
        <v>689</v>
      </c>
      <c r="B28" s="6" t="s">
        <v>685</v>
      </c>
      <c r="D28" s="224"/>
      <c r="E28" s="10">
        <v>5.3999999999999999E-2</v>
      </c>
      <c r="F28"/>
      <c r="G28" s="4"/>
      <c r="H28" t="s">
        <v>10</v>
      </c>
      <c r="I28" s="61" t="s">
        <v>721</v>
      </c>
      <c r="J28"/>
    </row>
    <row r="29" spans="1:10">
      <c r="A29" t="s">
        <v>714</v>
      </c>
      <c r="B29" t="s">
        <v>715</v>
      </c>
      <c r="D29" s="90">
        <f>D27*E28</f>
        <v>6.5609999999999991</v>
      </c>
    </row>
    <row r="30" spans="1:10">
      <c r="A30" t="s">
        <v>688</v>
      </c>
      <c r="B30" t="s">
        <v>30</v>
      </c>
      <c r="D30" s="87">
        <f>D29*Parameters!C19*Parameters!C6</f>
        <v>123.08435999999999</v>
      </c>
      <c r="F30" s="4"/>
      <c r="G30" s="4"/>
    </row>
    <row r="31" spans="1:10">
      <c r="A31" t="s">
        <v>396</v>
      </c>
      <c r="B31" t="s">
        <v>30</v>
      </c>
      <c r="D31" s="87">
        <f>D33+D36</f>
        <v>17.723199999999999</v>
      </c>
      <c r="F31" s="4"/>
      <c r="G31" s="4"/>
    </row>
    <row r="32" spans="1:10">
      <c r="A32" t="s">
        <v>127</v>
      </c>
      <c r="B32" t="s">
        <v>398</v>
      </c>
      <c r="C32" s="5"/>
      <c r="F32" s="8">
        <f>Parameters!G34</f>
        <v>5600</v>
      </c>
      <c r="G32" s="4"/>
    </row>
    <row r="33" spans="1:10">
      <c r="A33" t="s">
        <v>690</v>
      </c>
      <c r="B33" t="s">
        <v>30</v>
      </c>
      <c r="D33" s="9">
        <f>F32/1000*Parameters!C$16*Parameters!$C$5*E33</f>
        <v>11.659999999999998</v>
      </c>
      <c r="E33" s="10">
        <v>5.0000000000000001E-3</v>
      </c>
      <c r="G33" s="4"/>
      <c r="H33" t="s">
        <v>42</v>
      </c>
      <c r="I33" s="2" t="s">
        <v>43</v>
      </c>
    </row>
    <row r="34" spans="1:10">
      <c r="A34" t="s">
        <v>704</v>
      </c>
      <c r="B34" t="s">
        <v>693</v>
      </c>
      <c r="D34" s="9"/>
      <c r="E34" s="10">
        <v>0.26</v>
      </c>
      <c r="G34" s="6"/>
      <c r="H34" t="s">
        <v>437</v>
      </c>
      <c r="I34" s="2"/>
    </row>
    <row r="35" spans="1:10">
      <c r="A35" t="s">
        <v>707</v>
      </c>
      <c r="B35" t="s">
        <v>692</v>
      </c>
      <c r="E35" s="10">
        <f>0.01</f>
        <v>0.01</v>
      </c>
      <c r="G35" s="6"/>
      <c r="H35" t="s">
        <v>429</v>
      </c>
      <c r="I35" s="2" t="s">
        <v>44</v>
      </c>
    </row>
    <row r="36" spans="1:10">
      <c r="A36" t="s">
        <v>691</v>
      </c>
      <c r="B36" t="s">
        <v>30</v>
      </c>
      <c r="D36" s="9">
        <f>E35/1000*F32*E34*Parameters!C16*Parameters!C5</f>
        <v>6.0632000000000001</v>
      </c>
    </row>
    <row r="37" spans="1:10" s="3" customFormat="1">
      <c r="A37" s="3" t="s">
        <v>719</v>
      </c>
      <c r="B37" s="3" t="s">
        <v>30</v>
      </c>
      <c r="C37" s="20">
        <f>D30+D31</f>
        <v>140.80756</v>
      </c>
      <c r="D37" s="20"/>
    </row>
    <row r="38" spans="1:10" s="12" customFormat="1">
      <c r="A38" s="13" t="s">
        <v>38</v>
      </c>
    </row>
    <row r="39" spans="1:10" s="6" customFormat="1">
      <c r="A39" s="46" t="s">
        <v>904</v>
      </c>
      <c r="B39" s="6" t="s">
        <v>901</v>
      </c>
      <c r="G39" s="272">
        <f>GlobalFactors!E6</f>
        <v>0.3</v>
      </c>
      <c r="H39" s="6" t="s">
        <v>902</v>
      </c>
      <c r="I39" s="6" t="s">
        <v>906</v>
      </c>
      <c r="J39" s="6" t="s">
        <v>903</v>
      </c>
    </row>
    <row r="40" spans="1:10" s="6" customFormat="1">
      <c r="A40" s="46" t="s">
        <v>905</v>
      </c>
      <c r="B40" s="6" t="s">
        <v>12</v>
      </c>
      <c r="E40" s="234">
        <v>20</v>
      </c>
      <c r="G40" s="10"/>
    </row>
    <row r="41" spans="1:10" s="6" customFormat="1">
      <c r="A41" s="46" t="s">
        <v>907</v>
      </c>
      <c r="B41" s="6" t="s">
        <v>908</v>
      </c>
      <c r="E41" s="234"/>
      <c r="G41" s="10"/>
    </row>
    <row r="42" spans="1:10">
      <c r="A42" t="s">
        <v>705</v>
      </c>
      <c r="B42" t="s">
        <v>30</v>
      </c>
      <c r="D42" s="224">
        <f>E40*G39*(GlobalFactors!E4+GlobalFactors!E3)</f>
        <v>19.022966054640001</v>
      </c>
      <c r="H42" t="s">
        <v>45</v>
      </c>
      <c r="I42" t="s">
        <v>706</v>
      </c>
    </row>
    <row r="43" spans="1:10">
      <c r="A43" t="s">
        <v>47</v>
      </c>
      <c r="B43" t="s">
        <v>54</v>
      </c>
      <c r="D43" s="92">
        <f>F32*(1-E33-E34-E43)</f>
        <v>4004</v>
      </c>
      <c r="E43" s="10">
        <v>0.02</v>
      </c>
      <c r="G43" s="4"/>
      <c r="H43" t="s">
        <v>432</v>
      </c>
      <c r="J43" t="s">
        <v>430</v>
      </c>
    </row>
    <row r="44" spans="1:10">
      <c r="A44" t="s">
        <v>702</v>
      </c>
      <c r="B44" t="s">
        <v>692</v>
      </c>
      <c r="D44" s="9">
        <f>D43*Parameters!C$16*Parameters!$C$5/1000*E44</f>
        <v>20.842250000000003</v>
      </c>
      <c r="E44" s="10">
        <v>1.2500000000000001E-2</v>
      </c>
      <c r="H44" t="s">
        <v>431</v>
      </c>
    </row>
    <row r="45" spans="1:10">
      <c r="A45" t="s">
        <v>703</v>
      </c>
      <c r="B45" t="s">
        <v>693</v>
      </c>
      <c r="D45" s="9"/>
      <c r="E45" s="10">
        <v>0.2</v>
      </c>
      <c r="H45" t="s">
        <v>700</v>
      </c>
    </row>
    <row r="46" spans="1:10">
      <c r="A46" t="s">
        <v>707</v>
      </c>
      <c r="B46" t="s">
        <v>692</v>
      </c>
      <c r="D46" s="9">
        <f>E46*E45*D43*Parameters!C16*Parameters!C5/1000</f>
        <v>3.3347600000000002</v>
      </c>
      <c r="E46" s="10">
        <f>0.01</f>
        <v>0.01</v>
      </c>
      <c r="H46" t="s">
        <v>701</v>
      </c>
    </row>
    <row r="47" spans="1:10">
      <c r="A47" t="s">
        <v>396</v>
      </c>
      <c r="B47" t="s">
        <v>30</v>
      </c>
      <c r="D47" s="18">
        <f>D44+D46</f>
        <v>24.177010000000003</v>
      </c>
    </row>
    <row r="48" spans="1:10" s="3" customFormat="1">
      <c r="A48" s="3" t="s">
        <v>718</v>
      </c>
      <c r="B48" s="3" t="s">
        <v>30</v>
      </c>
      <c r="C48" s="20">
        <f>D42+D47</f>
        <v>43.199976054640004</v>
      </c>
    </row>
    <row r="49" spans="1:11" s="13" customFormat="1">
      <c r="A49" s="13" t="s">
        <v>436</v>
      </c>
      <c r="D49" s="108"/>
    </row>
    <row r="50" spans="1:11" s="117" customFormat="1" ht="14">
      <c r="A50" s="117" t="s">
        <v>487</v>
      </c>
      <c r="B50" s="117" t="s">
        <v>713</v>
      </c>
      <c r="C50" s="212"/>
      <c r="D50" s="212"/>
      <c r="F50" s="221">
        <f>Parameters!J27</f>
        <v>145.73955722402675</v>
      </c>
      <c r="H50" s="117" t="s">
        <v>670</v>
      </c>
      <c r="I50" s="117" t="s">
        <v>710</v>
      </c>
      <c r="J50" s="117" t="s">
        <v>709</v>
      </c>
    </row>
    <row r="51" spans="1:11" s="117" customFormat="1" ht="14">
      <c r="A51" s="117" t="s">
        <v>722</v>
      </c>
      <c r="B51" s="117" t="s">
        <v>712</v>
      </c>
      <c r="C51" s="212"/>
      <c r="D51" s="212"/>
      <c r="F51" s="206">
        <f>Parameters!O27</f>
        <v>0.84099999999999997</v>
      </c>
      <c r="I51" s="117">
        <f>+-3%</f>
        <v>-0.03</v>
      </c>
    </row>
    <row r="52" spans="1:11" s="47" customFormat="1">
      <c r="A52" s="117" t="s">
        <v>540</v>
      </c>
      <c r="B52" s="232" t="s">
        <v>711</v>
      </c>
      <c r="C52" s="235">
        <f>-D58*Parameters!C17</f>
        <v>-33.986464744643051</v>
      </c>
      <c r="D52" s="285">
        <f>F50*(1-F51)</f>
        <v>23.172589598620259</v>
      </c>
      <c r="F52" s="170"/>
      <c r="J52" s="267" t="s">
        <v>934</v>
      </c>
      <c r="K52" s="191"/>
    </row>
    <row r="53" spans="1:11" s="47" customFormat="1">
      <c r="A53" s="117" t="s">
        <v>925</v>
      </c>
      <c r="B53" s="267" t="s">
        <v>926</v>
      </c>
      <c r="D53" s="235">
        <f>F11*0.7</f>
        <v>63.146999999999991</v>
      </c>
      <c r="F53" s="170"/>
      <c r="J53" s="204"/>
      <c r="K53" s="191"/>
    </row>
    <row r="54" spans="1:11">
      <c r="A54" s="117" t="s">
        <v>935</v>
      </c>
      <c r="B54" t="s">
        <v>922</v>
      </c>
      <c r="D54" s="21">
        <f>(D53)*12/16</f>
        <v>47.360249999999994</v>
      </c>
    </row>
    <row r="55" spans="1:11">
      <c r="A55" s="117" t="s">
        <v>927</v>
      </c>
      <c r="B55" t="s">
        <v>923</v>
      </c>
      <c r="D55" s="21">
        <f>D53/0.6-D53</f>
        <v>42.097999999999999</v>
      </c>
      <c r="J55" t="s">
        <v>924</v>
      </c>
    </row>
    <row r="56" spans="1:11">
      <c r="A56" s="117" t="s">
        <v>932</v>
      </c>
      <c r="B56" t="s">
        <v>933</v>
      </c>
      <c r="D56" s="21">
        <f>D55*12/44</f>
        <v>11.481272727272726</v>
      </c>
    </row>
    <row r="57" spans="1:11">
      <c r="A57" s="117" t="s">
        <v>928</v>
      </c>
      <c r="B57" t="s">
        <v>929</v>
      </c>
      <c r="D57" s="86">
        <f>F50-D56-D54</f>
        <v>86.898034496754022</v>
      </c>
    </row>
    <row r="58" spans="1:11">
      <c r="A58" s="117" t="s">
        <v>930</v>
      </c>
      <c r="D58" s="86">
        <f>D52*(F58)</f>
        <v>9.2690358394481045</v>
      </c>
      <c r="E58">
        <v>1</v>
      </c>
      <c r="F58" s="10">
        <v>0.4</v>
      </c>
      <c r="G58" s="53">
        <f>D58/D57</f>
        <v>0.10666565582440578</v>
      </c>
      <c r="I58" t="s">
        <v>931</v>
      </c>
      <c r="J58" t="s">
        <v>936</v>
      </c>
    </row>
    <row r="60" spans="1:11" s="44" customFormat="1">
      <c r="A60" s="45" t="s">
        <v>389</v>
      </c>
      <c r="C60" s="184">
        <f>C23+C37+C48+C52</f>
        <v>49.521496524866727</v>
      </c>
    </row>
    <row r="61" spans="1:11" s="45" customFormat="1">
      <c r="A61" s="45" t="s">
        <v>111</v>
      </c>
    </row>
    <row r="62" spans="1:11">
      <c r="A62" t="s">
        <v>47</v>
      </c>
      <c r="C62" s="91"/>
      <c r="D62" s="93">
        <f>D43-D43*E44-D43*E45-D43*0.02</f>
        <v>3073.0699999999997</v>
      </c>
    </row>
    <row r="63" spans="1:11" s="6" customFormat="1">
      <c r="A63" s="6" t="s">
        <v>402</v>
      </c>
      <c r="B63" s="6" t="s">
        <v>48</v>
      </c>
      <c r="D63" s="18">
        <f>D62*E63</f>
        <v>1229.2280000000001</v>
      </c>
      <c r="E63" s="10">
        <v>0.4</v>
      </c>
      <c r="H63" s="94">
        <f>-'[2]Fertilizer literature'!I1</f>
        <v>0</v>
      </c>
      <c r="I63" s="6" t="s">
        <v>433</v>
      </c>
    </row>
    <row r="64" spans="1:11">
      <c r="A64" t="s">
        <v>400</v>
      </c>
      <c r="B64" t="s">
        <v>401</v>
      </c>
      <c r="D64" s="18">
        <f>G64*D63/1000</f>
        <v>-8.3587504000000017</v>
      </c>
      <c r="G64" s="4">
        <v>-6.8</v>
      </c>
      <c r="I64" t="s">
        <v>434</v>
      </c>
    </row>
    <row r="65" spans="1:9">
      <c r="A65" t="s">
        <v>405</v>
      </c>
      <c r="B65" t="s">
        <v>401</v>
      </c>
      <c r="D65" s="18">
        <f>G65*D63/1000</f>
        <v>-6.6378312000000008</v>
      </c>
      <c r="G65">
        <v>-5.4</v>
      </c>
      <c r="I65" t="s">
        <v>435</v>
      </c>
    </row>
    <row r="66" spans="1:9" s="3" customFormat="1">
      <c r="A66" s="3" t="s">
        <v>717</v>
      </c>
      <c r="B66" s="3" t="s">
        <v>30</v>
      </c>
      <c r="C66" s="20">
        <f>D64+D65</f>
        <v>-14.996581600000003</v>
      </c>
      <c r="D66" s="239"/>
    </row>
    <row r="67" spans="1:9" s="6" customFormat="1">
      <c r="A67" s="88" t="s">
        <v>720</v>
      </c>
      <c r="C67" s="240">
        <f>C60+C66</f>
        <v>34.524914924866721</v>
      </c>
      <c r="D67" s="7"/>
    </row>
    <row r="68" spans="1:9" s="6" customFormat="1">
      <c r="A68" s="88"/>
      <c r="C68" s="109"/>
    </row>
    <row r="69" spans="1:9" s="6" customFormat="1">
      <c r="A69" s="88"/>
      <c r="C69" s="109"/>
    </row>
    <row r="70" spans="1:9">
      <c r="C70" s="86"/>
    </row>
    <row r="71" spans="1:9">
      <c r="A71" s="7"/>
      <c r="C71" s="86"/>
      <c r="E71" s="7"/>
    </row>
    <row r="72" spans="1:9">
      <c r="A72" s="7" t="s">
        <v>438</v>
      </c>
      <c r="H72" s="105"/>
    </row>
    <row r="73" spans="1:9">
      <c r="A73" s="7"/>
    </row>
    <row r="78" spans="1:9" ht="16">
      <c r="F78" s="75"/>
      <c r="G7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E9" sqref="E9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776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390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95">
        <f>C10+C12</f>
        <v>52.836966054640001</v>
      </c>
    </row>
    <row r="8" spans="1:20" s="6" customFormat="1">
      <c r="A8" s="46" t="s">
        <v>909</v>
      </c>
      <c r="B8" s="6" t="s">
        <v>901</v>
      </c>
      <c r="C8" s="233"/>
      <c r="E8" s="236">
        <f>GlobalFactors!E6</f>
        <v>0.3</v>
      </c>
    </row>
    <row r="9" spans="1:20" s="6" customFormat="1">
      <c r="A9" s="46" t="s">
        <v>905</v>
      </c>
      <c r="B9" s="6" t="s">
        <v>12</v>
      </c>
      <c r="C9" s="233"/>
      <c r="E9" s="5">
        <v>20</v>
      </c>
    </row>
    <row r="10" spans="1:20">
      <c r="A10" t="s">
        <v>46</v>
      </c>
      <c r="B10" t="s">
        <v>30</v>
      </c>
      <c r="C10" s="9">
        <f>E9*E8*(GlobalFactors!E3+GlobalFactors!E4)</f>
        <v>19.022966054640001</v>
      </c>
      <c r="G10" s="241" t="s">
        <v>723</v>
      </c>
      <c r="H10" t="s">
        <v>45</v>
      </c>
    </row>
    <row r="11" spans="1:20">
      <c r="A11" t="s">
        <v>406</v>
      </c>
      <c r="B11" t="s">
        <v>54</v>
      </c>
      <c r="D11" s="92"/>
      <c r="F11" s="8">
        <f>Parameters!G34</f>
        <v>5600</v>
      </c>
      <c r="H11" t="s">
        <v>399</v>
      </c>
    </row>
    <row r="12" spans="1:20">
      <c r="A12" t="s">
        <v>396</v>
      </c>
      <c r="B12" t="s">
        <v>30</v>
      </c>
      <c r="C12" s="18">
        <f>D14+D17</f>
        <v>33.814</v>
      </c>
    </row>
    <row r="13" spans="1:20">
      <c r="A13" t="s">
        <v>702</v>
      </c>
      <c r="B13" t="s">
        <v>692</v>
      </c>
      <c r="C13" s="18"/>
      <c r="E13" s="4">
        <v>1.2500000000000001E-2</v>
      </c>
      <c r="H13" t="s">
        <v>431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707</v>
      </c>
      <c r="B15" t="s">
        <v>692</v>
      </c>
      <c r="D15" s="9"/>
      <c r="E15" s="4">
        <v>0.01</v>
      </c>
      <c r="H15" t="s">
        <v>701</v>
      </c>
    </row>
    <row r="16" spans="1:20">
      <c r="A16" t="s">
        <v>703</v>
      </c>
      <c r="B16" t="s">
        <v>693</v>
      </c>
      <c r="D16" s="9"/>
      <c r="E16" s="10">
        <v>0.2</v>
      </c>
      <c r="H16" t="s">
        <v>700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436</v>
      </c>
      <c r="D18" s="108"/>
    </row>
    <row r="19" spans="1:11" s="117" customFormat="1" ht="14">
      <c r="A19" s="117" t="s">
        <v>487</v>
      </c>
      <c r="B19" s="117" t="s">
        <v>713</v>
      </c>
      <c r="C19" s="212"/>
      <c r="D19" s="212"/>
      <c r="F19" s="221">
        <f>Parameters!J27</f>
        <v>145.73955722402675</v>
      </c>
      <c r="H19" s="117" t="s">
        <v>670</v>
      </c>
      <c r="I19" s="117" t="s">
        <v>710</v>
      </c>
      <c r="J19" s="117" t="s">
        <v>709</v>
      </c>
    </row>
    <row r="20" spans="1:11" s="117" customFormat="1" ht="14">
      <c r="A20" s="117" t="s">
        <v>770</v>
      </c>
      <c r="C20" s="212"/>
      <c r="D20" s="212"/>
      <c r="E20" s="117">
        <v>1</v>
      </c>
      <c r="F20" s="221"/>
    </row>
    <row r="21" spans="1:11" s="117" customFormat="1" ht="14">
      <c r="A21" s="117" t="s">
        <v>722</v>
      </c>
      <c r="B21" s="117" t="s">
        <v>712</v>
      </c>
      <c r="C21" s="212"/>
      <c r="D21" s="212"/>
      <c r="F21" s="206">
        <f>Parameters!O27</f>
        <v>0.84099999999999997</v>
      </c>
      <c r="I21" s="117">
        <f>+-3%</f>
        <v>-0.03</v>
      </c>
    </row>
    <row r="22" spans="1:11" s="47" customFormat="1">
      <c r="A22" s="117" t="s">
        <v>540</v>
      </c>
      <c r="B22" s="232" t="s">
        <v>711</v>
      </c>
      <c r="C22" s="235">
        <f>-D22*Parameters!C17</f>
        <v>-84.966161861607617</v>
      </c>
      <c r="D22" s="212">
        <f>F19*(1-F21)</f>
        <v>23.172589598620259</v>
      </c>
      <c r="F22" s="170"/>
      <c r="J22" s="204" t="s">
        <v>669</v>
      </c>
      <c r="K22" s="191"/>
    </row>
    <row r="23" spans="1:11" s="44" customFormat="1">
      <c r="A23" s="45" t="s">
        <v>389</v>
      </c>
      <c r="C23" s="184">
        <f>C22+C7</f>
        <v>-32.129195806967616</v>
      </c>
    </row>
    <row r="24" spans="1:11" s="45" customFormat="1">
      <c r="A24" s="45" t="s">
        <v>111</v>
      </c>
      <c r="C24" s="243">
        <f>D28+D29</f>
        <v>-20.974240000000002</v>
      </c>
    </row>
    <row r="25" spans="1:11" s="45" customFormat="1">
      <c r="A25" s="88" t="s">
        <v>432</v>
      </c>
      <c r="B25" s="88" t="s">
        <v>23</v>
      </c>
      <c r="C25" s="242"/>
      <c r="D25" s="88"/>
      <c r="E25" s="88"/>
      <c r="F25" s="10">
        <v>0.02</v>
      </c>
      <c r="G25" s="4"/>
      <c r="H25" t="s">
        <v>432</v>
      </c>
      <c r="I25"/>
      <c r="J25"/>
    </row>
    <row r="26" spans="1:11">
      <c r="A26" t="s">
        <v>47</v>
      </c>
      <c r="B26" t="s">
        <v>618</v>
      </c>
      <c r="C26" s="91"/>
      <c r="D26" s="93">
        <f>F11-F11*E13-F11*E16-F11*F25</f>
        <v>4298</v>
      </c>
      <c r="F26">
        <v>0.02</v>
      </c>
    </row>
    <row r="27" spans="1:11">
      <c r="A27" t="s">
        <v>402</v>
      </c>
      <c r="B27" t="s">
        <v>48</v>
      </c>
      <c r="D27" s="9">
        <f>D26*F27</f>
        <v>1719.2</v>
      </c>
      <c r="F27" s="4">
        <f>GlobalFactors!E8</f>
        <v>0.4</v>
      </c>
      <c r="G27" s="94"/>
      <c r="H27" t="s">
        <v>403</v>
      </c>
    </row>
    <row r="28" spans="1:11">
      <c r="A28" t="s">
        <v>610</v>
      </c>
      <c r="B28" t="s">
        <v>401</v>
      </c>
      <c r="D28" s="9">
        <f>F28*D27/1000</f>
        <v>-11.69056</v>
      </c>
      <c r="F28" s="4">
        <v>-6.8</v>
      </c>
      <c r="G28" t="s">
        <v>615</v>
      </c>
      <c r="H28" t="s">
        <v>404</v>
      </c>
    </row>
    <row r="29" spans="1:11">
      <c r="A29" t="s">
        <v>542</v>
      </c>
      <c r="B29" t="s">
        <v>401</v>
      </c>
      <c r="D29" s="9">
        <f>F29*D27/1000</f>
        <v>-9.2836800000000004</v>
      </c>
      <c r="F29" s="10">
        <f>AD!G65</f>
        <v>-5.4</v>
      </c>
      <c r="G29" t="s">
        <v>614</v>
      </c>
      <c r="H29" t="s">
        <v>435</v>
      </c>
    </row>
    <row r="30" spans="1:11">
      <c r="A30" t="s">
        <v>611</v>
      </c>
      <c r="B30" t="s">
        <v>612</v>
      </c>
      <c r="D30" s="9">
        <f>F30*D27/1000</f>
        <v>3.4384000000000001</v>
      </c>
      <c r="F30" s="10">
        <v>2</v>
      </c>
      <c r="G30" t="s">
        <v>724</v>
      </c>
    </row>
    <row r="31" spans="1:11">
      <c r="A31" t="s">
        <v>609</v>
      </c>
      <c r="D31" s="9"/>
      <c r="F31" s="4">
        <v>0.75</v>
      </c>
      <c r="G31" t="s">
        <v>724</v>
      </c>
    </row>
    <row r="32" spans="1:11" s="44" customFormat="1">
      <c r="A32" s="45" t="s">
        <v>389</v>
      </c>
      <c r="C32" s="96">
        <f>C23+C24</f>
        <v>-53.103435806967617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25" workbookViewId="0">
      <selection activeCell="J33" sqref="J33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779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643</v>
      </c>
      <c r="J2" s="43" t="s">
        <v>5</v>
      </c>
    </row>
    <row r="3" spans="1:20" s="12" customFormat="1" hidden="1">
      <c r="A3" s="13" t="s">
        <v>442</v>
      </c>
      <c r="C3" s="11">
        <f>C7</f>
        <v>4.28</v>
      </c>
      <c r="D3" s="11"/>
      <c r="E3" s="11"/>
    </row>
    <row r="4" spans="1:20" hidden="1">
      <c r="A4" t="s">
        <v>428</v>
      </c>
      <c r="B4" t="s">
        <v>4</v>
      </c>
      <c r="F4" s="10">
        <v>0.107</v>
      </c>
      <c r="G4" s="10"/>
      <c r="H4" s="1" t="s">
        <v>7</v>
      </c>
      <c r="I4" s="1"/>
      <c r="J4" s="6" t="s">
        <v>391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443</v>
      </c>
      <c r="J6" t="s">
        <v>444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439</v>
      </c>
    </row>
    <row r="10" spans="1:20" hidden="1">
      <c r="A10" t="s">
        <v>123</v>
      </c>
      <c r="J10" t="s">
        <v>440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583</v>
      </c>
      <c r="C12" s="40">
        <f>C14</f>
        <v>9.5114830273200006</v>
      </c>
    </row>
    <row r="13" spans="1:20" s="46" customFormat="1">
      <c r="A13" s="46" t="s">
        <v>593</v>
      </c>
      <c r="B13" s="46" t="s">
        <v>464</v>
      </c>
      <c r="C13" s="110"/>
      <c r="E13" s="273">
        <f>GlobalFactors!E40</f>
        <v>3</v>
      </c>
      <c r="H13" s="46" t="s">
        <v>541</v>
      </c>
      <c r="I13" s="46">
        <f>GlobalFactors!F40</f>
        <v>0.4</v>
      </c>
      <c r="J13" s="193" t="s">
        <v>648</v>
      </c>
    </row>
    <row r="14" spans="1:20" s="46" customFormat="1">
      <c r="A14" s="46" t="s">
        <v>594</v>
      </c>
      <c r="B14" s="46" t="s">
        <v>30</v>
      </c>
      <c r="C14" s="174">
        <f>E13*F14</f>
        <v>9.5114830273200006</v>
      </c>
      <c r="F14" s="46">
        <f>'Landfill '!G4+'Landfill '!G5</f>
        <v>3.1704943424400001</v>
      </c>
      <c r="H14" s="46" t="s">
        <v>582</v>
      </c>
      <c r="J14" s="46" t="s">
        <v>592</v>
      </c>
    </row>
    <row r="15" spans="1:20" s="46" customFormat="1">
      <c r="C15" s="174"/>
    </row>
    <row r="16" spans="1:20" s="13" customFormat="1">
      <c r="A16" s="13" t="s">
        <v>441</v>
      </c>
      <c r="C16" s="40">
        <f>C22+C26</f>
        <v>81.854229962770901</v>
      </c>
    </row>
    <row r="17" spans="1:11">
      <c r="A17" s="15" t="s">
        <v>487</v>
      </c>
      <c r="B17" s="15" t="s">
        <v>448</v>
      </c>
      <c r="C17" s="2"/>
      <c r="D17" s="2"/>
      <c r="F17" s="192">
        <f>Parameters!J27</f>
        <v>145.73955722402675</v>
      </c>
      <c r="I17" t="s">
        <v>584</v>
      </c>
      <c r="J17" s="5"/>
    </row>
    <row r="18" spans="1:11">
      <c r="A18" s="15" t="s">
        <v>725</v>
      </c>
      <c r="B18" s="15" t="s">
        <v>602</v>
      </c>
      <c r="C18" s="2"/>
      <c r="D18" s="178">
        <f>F17*E18</f>
        <v>84.528943189935518</v>
      </c>
      <c r="E18" s="4">
        <f>GlobalFactors!E42</f>
        <v>0.57999999999999996</v>
      </c>
      <c r="H18" t="s">
        <v>541</v>
      </c>
      <c r="I18">
        <f>GlobalFactors!F42</f>
        <v>0.4</v>
      </c>
      <c r="J18" s="6" t="s">
        <v>787</v>
      </c>
    </row>
    <row r="19" spans="1:11">
      <c r="A19" s="15" t="s">
        <v>871</v>
      </c>
      <c r="B19" s="15" t="s">
        <v>790</v>
      </c>
      <c r="C19" s="2"/>
      <c r="D19" s="178"/>
      <c r="E19" s="4">
        <f>GlobalFactors!E43</f>
        <v>0.02</v>
      </c>
      <c r="J19" s="6"/>
    </row>
    <row r="20" spans="1:11">
      <c r="A20" s="15" t="s">
        <v>585</v>
      </c>
      <c r="B20" s="15" t="s">
        <v>727</v>
      </c>
      <c r="C20" s="2"/>
      <c r="D20" s="244">
        <f>D18*E19</f>
        <v>1.6905788637987105</v>
      </c>
      <c r="H20" s="6" t="s">
        <v>596</v>
      </c>
      <c r="I20" s="6"/>
      <c r="J20" s="5"/>
    </row>
    <row r="21" spans="1:11">
      <c r="A21" s="15" t="s">
        <v>585</v>
      </c>
      <c r="B21" s="15" t="s">
        <v>595</v>
      </c>
      <c r="C21" s="2"/>
      <c r="D21" s="176">
        <f>D20*Parameters!C18</f>
        <v>2.254105151731614</v>
      </c>
      <c r="E21" s="6"/>
      <c r="J21" s="14" t="s">
        <v>732</v>
      </c>
    </row>
    <row r="22" spans="1:11" s="6" customFormat="1">
      <c r="A22" s="14" t="s">
        <v>872</v>
      </c>
      <c r="B22" s="14" t="s">
        <v>30</v>
      </c>
      <c r="C22" s="175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7"/>
      <c r="F23" s="100">
        <f>Parameters!G27</f>
        <v>9000</v>
      </c>
    </row>
    <row r="24" spans="1:11">
      <c r="A24" s="14" t="s">
        <v>630</v>
      </c>
      <c r="B24" s="14" t="s">
        <v>808</v>
      </c>
      <c r="E24" s="4">
        <f>GlobalFactors!E44</f>
        <v>5.0000000000000001E-3</v>
      </c>
      <c r="H24" t="s">
        <v>895</v>
      </c>
      <c r="I24">
        <f>GlobalFactors!F44</f>
        <v>1E-3</v>
      </c>
      <c r="J24" t="s">
        <v>597</v>
      </c>
    </row>
    <row r="25" spans="1:11">
      <c r="A25" s="15" t="s">
        <v>396</v>
      </c>
      <c r="B25" s="15" t="s">
        <v>598</v>
      </c>
      <c r="C25" s="178"/>
      <c r="D25" s="21">
        <f>E24*F23*Parameters!C16/1000</f>
        <v>7.0714285714285702E-2</v>
      </c>
      <c r="J25" s="5"/>
    </row>
    <row r="26" spans="1:11">
      <c r="A26" s="15" t="s">
        <v>873</v>
      </c>
      <c r="B26" s="15" t="s">
        <v>30</v>
      </c>
      <c r="C26" s="178">
        <f>D25*Parameters!C5</f>
        <v>18.73928571428571</v>
      </c>
      <c r="D26" s="21"/>
      <c r="J26" s="187" t="s">
        <v>600</v>
      </c>
    </row>
    <row r="27" spans="1:11" s="13" customFormat="1">
      <c r="A27" s="13" t="s">
        <v>586</v>
      </c>
      <c r="C27" s="40">
        <f>C33</f>
        <v>-16.993232372321526</v>
      </c>
    </row>
    <row r="28" spans="1:11" s="6" customFormat="1" hidden="1">
      <c r="A28" s="14" t="s">
        <v>603</v>
      </c>
      <c r="B28" s="14" t="s">
        <v>604</v>
      </c>
      <c r="D28" s="111">
        <f>F17*(1-E18)</f>
        <v>61.210614034091243</v>
      </c>
      <c r="J28" s="6" t="s">
        <v>638</v>
      </c>
      <c r="K28" s="109"/>
    </row>
    <row r="29" spans="1:11" s="6" customFormat="1" hidden="1">
      <c r="A29" s="14" t="s">
        <v>605</v>
      </c>
      <c r="B29" s="14" t="s">
        <v>606</v>
      </c>
      <c r="D29" s="111">
        <f>D28*F29</f>
        <v>6.1210614034091249</v>
      </c>
      <c r="E29" s="109"/>
      <c r="F29" s="6">
        <v>0.1</v>
      </c>
      <c r="J29" s="6" t="s">
        <v>637</v>
      </c>
      <c r="K29" s="109"/>
    </row>
    <row r="30" spans="1:11" s="6" customFormat="1">
      <c r="A30" s="14" t="s">
        <v>792</v>
      </c>
      <c r="B30" s="14"/>
      <c r="C30" s="86"/>
      <c r="D30" s="111">
        <f>F17-D18</f>
        <v>61.210614034091236</v>
      </c>
      <c r="E30" s="109"/>
      <c r="J30" s="6" t="s">
        <v>885</v>
      </c>
      <c r="K30" s="109"/>
    </row>
    <row r="31" spans="1:11">
      <c r="A31" s="14" t="s">
        <v>879</v>
      </c>
      <c r="D31" s="86">
        <f>F17*(1-F31)</f>
        <v>23.172589598620259</v>
      </c>
      <c r="F31" s="281">
        <f>Parameters!O27</f>
        <v>0.84099999999999997</v>
      </c>
      <c r="G31" s="86">
        <f>D31/D30</f>
        <v>0.37857142857142867</v>
      </c>
      <c r="H31" t="s">
        <v>880</v>
      </c>
      <c r="I31" s="105"/>
      <c r="J31" s="7" t="s">
        <v>601</v>
      </c>
    </row>
    <row r="32" spans="1:11">
      <c r="A32" s="14" t="s">
        <v>878</v>
      </c>
      <c r="B32" s="14"/>
      <c r="C32" s="86"/>
      <c r="D32" s="86">
        <f>D31*(E32)</f>
        <v>4.6345179197240522</v>
      </c>
      <c r="E32" s="4">
        <v>0.2</v>
      </c>
      <c r="F32" s="6"/>
      <c r="G32" s="86">
        <f>D32/D30</f>
        <v>7.5714285714285734E-2</v>
      </c>
      <c r="H32" t="s">
        <v>673</v>
      </c>
      <c r="I32" s="86"/>
      <c r="J32" s="7" t="s">
        <v>937</v>
      </c>
    </row>
    <row r="33" spans="1:10">
      <c r="A33" s="14" t="s">
        <v>627</v>
      </c>
      <c r="B33" s="14" t="s">
        <v>607</v>
      </c>
      <c r="C33" s="86">
        <f>D32*-44/12</f>
        <v>-16.993232372321526</v>
      </c>
      <c r="D33" s="86"/>
      <c r="F33" s="274"/>
      <c r="I33" s="169"/>
      <c r="J33" s="7" t="s">
        <v>881</v>
      </c>
    </row>
    <row r="34" spans="1:10" s="45" customFormat="1">
      <c r="A34" s="172" t="s">
        <v>631</v>
      </c>
      <c r="B34" s="172"/>
      <c r="C34" s="185">
        <f>C36+C39</f>
        <v>37.105071428571421</v>
      </c>
      <c r="D34" s="173">
        <v>3</v>
      </c>
      <c r="E34" s="171"/>
      <c r="J34" s="173"/>
    </row>
    <row r="35" spans="1:10">
      <c r="A35" s="14" t="s">
        <v>621</v>
      </c>
      <c r="B35" t="s">
        <v>622</v>
      </c>
      <c r="C35" s="86"/>
      <c r="D35">
        <f>E35*1000</f>
        <v>400</v>
      </c>
      <c r="E35" s="4">
        <v>0.4</v>
      </c>
      <c r="H35" t="s">
        <v>628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GlobalFactors!E47</f>
        <v>30</v>
      </c>
      <c r="J36" t="s">
        <v>640</v>
      </c>
    </row>
    <row r="37" spans="1:10" s="46" customFormat="1">
      <c r="A37" s="14" t="s">
        <v>47</v>
      </c>
      <c r="B37" s="14" t="s">
        <v>618</v>
      </c>
      <c r="C37" s="5"/>
      <c r="D37" s="175">
        <f>F23/1000*(1-E37)</f>
        <v>5.58</v>
      </c>
      <c r="E37" s="273">
        <v>0.38</v>
      </c>
      <c r="H37" s="46" t="s">
        <v>730</v>
      </c>
      <c r="J37" s="182" t="s">
        <v>613</v>
      </c>
    </row>
    <row r="38" spans="1:10">
      <c r="A38" s="14" t="s">
        <v>630</v>
      </c>
      <c r="B38" t="s">
        <v>23</v>
      </c>
      <c r="E38" s="4">
        <f>GlobalFactors!E49</f>
        <v>1.4999999999999999E-2</v>
      </c>
      <c r="H38" t="s">
        <v>541</v>
      </c>
      <c r="J38" s="7" t="s">
        <v>729</v>
      </c>
    </row>
    <row r="39" spans="1:10">
      <c r="A39" s="14" t="s">
        <v>728</v>
      </c>
      <c r="B39" t="s">
        <v>30</v>
      </c>
      <c r="C39" s="282">
        <f>D39*Parameters!C16*Parameters!C5</f>
        <v>34.855071428571421</v>
      </c>
      <c r="D39" s="86">
        <f>D37*E38</f>
        <v>8.3699999999999997E-2</v>
      </c>
    </row>
    <row r="40" spans="1:10">
      <c r="A40" s="14" t="s">
        <v>892</v>
      </c>
      <c r="C40" s="86"/>
      <c r="D40" s="86"/>
      <c r="J40" t="s">
        <v>893</v>
      </c>
    </row>
    <row r="41" spans="1:10" s="12" customFormat="1">
      <c r="A41" s="247" t="s">
        <v>731</v>
      </c>
      <c r="C41" s="246">
        <f>C12+C16+C27+C34</f>
        <v>111.47755204634079</v>
      </c>
      <c r="D41" s="246"/>
    </row>
    <row r="42" spans="1:10" s="45" customFormat="1">
      <c r="A42" s="172" t="s">
        <v>587</v>
      </c>
      <c r="B42" s="172"/>
      <c r="C42" s="184">
        <f>C45+C46</f>
        <v>-27.230400000000003</v>
      </c>
      <c r="D42" s="173"/>
      <c r="E42" s="171"/>
      <c r="J42" s="173"/>
    </row>
    <row r="43" spans="1:10" s="46" customFormat="1">
      <c r="A43" s="14" t="s">
        <v>616</v>
      </c>
      <c r="B43" s="14"/>
      <c r="C43" s="5"/>
      <c r="E43" s="181"/>
      <c r="F43" s="46">
        <v>0.4</v>
      </c>
      <c r="J43" s="182"/>
    </row>
    <row r="44" spans="1:10" s="46" customFormat="1">
      <c r="A44" s="14" t="s">
        <v>617</v>
      </c>
      <c r="B44" s="19" t="s">
        <v>604</v>
      </c>
      <c r="C44" s="5"/>
      <c r="D44" s="175">
        <f>D37*F43</f>
        <v>2.2320000000000002</v>
      </c>
      <c r="E44" s="245"/>
      <c r="J44" s="182"/>
    </row>
    <row r="45" spans="1:10" s="88" customFormat="1">
      <c r="A45" s="14" t="s">
        <v>608</v>
      </c>
      <c r="B45" s="88" t="s">
        <v>30</v>
      </c>
      <c r="C45" s="183">
        <f>D44*G45</f>
        <v>-15.177600000000002</v>
      </c>
      <c r="D45" s="179"/>
      <c r="E45" s="180"/>
      <c r="G45" s="88">
        <f>-GlobalFactors!E7</f>
        <v>-6.8</v>
      </c>
      <c r="H45" s="88" t="s">
        <v>615</v>
      </c>
      <c r="J45" s="179" t="s">
        <v>639</v>
      </c>
    </row>
    <row r="46" spans="1:10" s="88" customFormat="1">
      <c r="A46" s="14" t="s">
        <v>619</v>
      </c>
      <c r="B46" s="19" t="s">
        <v>30</v>
      </c>
      <c r="C46" s="183">
        <f>D44*G46</f>
        <v>-12.052800000000001</v>
      </c>
      <c r="D46" s="179"/>
      <c r="E46" s="180"/>
      <c r="G46" s="88">
        <f>'Land application'!F29</f>
        <v>-5.4</v>
      </c>
      <c r="H46" s="88" t="s">
        <v>614</v>
      </c>
      <c r="J46" s="179"/>
    </row>
    <row r="47" spans="1:10">
      <c r="A47" t="s">
        <v>641</v>
      </c>
      <c r="B47" t="s">
        <v>620</v>
      </c>
      <c r="H47" t="s">
        <v>629</v>
      </c>
    </row>
    <row r="48" spans="1:10">
      <c r="A48" s="14" t="s">
        <v>642</v>
      </c>
      <c r="B48" t="s">
        <v>620</v>
      </c>
    </row>
    <row r="50" spans="1:10" s="45" customFormat="1">
      <c r="A50" s="172" t="s">
        <v>588</v>
      </c>
      <c r="B50" s="45" t="s">
        <v>30</v>
      </c>
      <c r="C50" s="45">
        <f>C53</f>
        <v>-388</v>
      </c>
    </row>
    <row r="51" spans="1:10">
      <c r="A51" s="14" t="s">
        <v>623</v>
      </c>
      <c r="F51">
        <v>1</v>
      </c>
    </row>
    <row r="52" spans="1:10">
      <c r="A52" s="14" t="s">
        <v>624</v>
      </c>
      <c r="B52" t="s">
        <v>625</v>
      </c>
      <c r="D52">
        <f>D35</f>
        <v>400</v>
      </c>
    </row>
    <row r="53" spans="1:10" ht="255">
      <c r="A53" t="s">
        <v>588</v>
      </c>
      <c r="B53" t="s">
        <v>626</v>
      </c>
      <c r="C53">
        <f>F53*D52/1000</f>
        <v>-388</v>
      </c>
      <c r="F53">
        <v>-970</v>
      </c>
      <c r="H53" t="s">
        <v>628</v>
      </c>
      <c r="J53" s="1" t="s">
        <v>632</v>
      </c>
    </row>
    <row r="55" spans="1:10">
      <c r="C55" s="18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A26" sqref="A26:A35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384</v>
      </c>
      <c r="B4" t="s">
        <v>12</v>
      </c>
      <c r="C4" s="82"/>
      <c r="E4" s="8">
        <v>50</v>
      </c>
    </row>
    <row r="5" spans="1:8" s="45" customFormat="1">
      <c r="A5" s="45" t="s">
        <v>385</v>
      </c>
      <c r="C5" s="84">
        <f>F7*E6</f>
        <v>-625.9421487603305</v>
      </c>
    </row>
    <row r="6" spans="1:8">
      <c r="A6" t="s">
        <v>386</v>
      </c>
      <c r="C6" s="82"/>
      <c r="E6" s="107">
        <f>D23</f>
        <v>1.0573347107438016</v>
      </c>
    </row>
    <row r="7" spans="1:8">
      <c r="A7" t="s">
        <v>388</v>
      </c>
      <c r="B7" t="s">
        <v>30</v>
      </c>
      <c r="C7" s="82"/>
      <c r="F7" s="4">
        <v>-592</v>
      </c>
    </row>
    <row r="8" spans="1:8" s="44" customFormat="1">
      <c r="A8" s="44" t="s">
        <v>389</v>
      </c>
      <c r="B8" s="44" t="s">
        <v>30</v>
      </c>
      <c r="C8" s="85">
        <f>C2+C5</f>
        <v>-620.59214876033047</v>
      </c>
    </row>
    <row r="18" spans="1:14" ht="17">
      <c r="A18" s="68" t="s">
        <v>372</v>
      </c>
      <c r="B18" s="1"/>
      <c r="C18" s="1"/>
      <c r="D18" s="1"/>
    </row>
    <row r="19" spans="1:14" ht="45">
      <c r="B19" s="1" t="s">
        <v>341</v>
      </c>
      <c r="C19" s="1" t="s">
        <v>342</v>
      </c>
      <c r="D19" s="1" t="s">
        <v>387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339</v>
      </c>
      <c r="B20">
        <v>88</v>
      </c>
      <c r="C20">
        <v>88</v>
      </c>
      <c r="D20">
        <f>B20*C20/(B$20*C$20)</f>
        <v>1</v>
      </c>
      <c r="E20" t="s">
        <v>380</v>
      </c>
      <c r="J20" s="51"/>
      <c r="K20" s="73"/>
      <c r="L20" s="51"/>
      <c r="M20" s="51"/>
      <c r="N20" s="51"/>
    </row>
    <row r="21" spans="1:14">
      <c r="A21" t="s">
        <v>168</v>
      </c>
      <c r="B21">
        <v>22</v>
      </c>
      <c r="C21">
        <v>68.900000000000006</v>
      </c>
      <c r="D21" s="69">
        <f>B21*C21/(B$20*C$20)</f>
        <v>0.19573863636363639</v>
      </c>
      <c r="E21" t="s">
        <v>381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383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340</v>
      </c>
      <c r="B23">
        <v>92</v>
      </c>
      <c r="C23">
        <v>89</v>
      </c>
      <c r="D23" s="69">
        <f>B23*C23/(B$20*C$20)</f>
        <v>1.0573347107438016</v>
      </c>
      <c r="E23" t="s">
        <v>382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9" t="s">
        <v>516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9" t="s">
        <v>517</v>
      </c>
      <c r="J27" s="51"/>
      <c r="K27" s="51"/>
      <c r="L27" s="51"/>
      <c r="M27" s="51"/>
      <c r="N27" s="51"/>
    </row>
    <row r="28" spans="1:14" ht="16" thickBot="1">
      <c r="A28" s="149" t="s">
        <v>518</v>
      </c>
      <c r="J28" s="51"/>
      <c r="K28" s="51"/>
      <c r="L28" s="51"/>
      <c r="M28" s="51"/>
      <c r="N28" s="51"/>
    </row>
    <row r="29" spans="1:14" ht="16" thickBot="1">
      <c r="A29" s="149" t="s">
        <v>519</v>
      </c>
    </row>
    <row r="30" spans="1:14" ht="16" thickBot="1">
      <c r="A30" s="149" t="s">
        <v>520</v>
      </c>
    </row>
    <row r="31" spans="1:14" ht="16" thickBot="1">
      <c r="A31" s="149" t="s">
        <v>671</v>
      </c>
    </row>
    <row r="32" spans="1:14" ht="16" thickBot="1">
      <c r="A32" s="149" t="s">
        <v>522</v>
      </c>
    </row>
    <row r="33" spans="1:1" ht="16" thickBot="1">
      <c r="A33" s="149" t="s">
        <v>523</v>
      </c>
    </row>
    <row r="34" spans="1:1" ht="16" thickBot="1">
      <c r="A34" s="149" t="s">
        <v>524</v>
      </c>
    </row>
    <row r="35" spans="1:1" ht="16" thickBot="1">
      <c r="A35" s="150" t="s">
        <v>525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8" t="s">
        <v>26</v>
      </c>
      <c r="D1" s="208" t="s">
        <v>114</v>
      </c>
      <c r="E1" s="43" t="s">
        <v>668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>
      <c r="A2" s="13" t="s">
        <v>741</v>
      </c>
      <c r="C2" s="209"/>
      <c r="D2" s="209"/>
      <c r="E2" s="11"/>
      <c r="F2" s="11"/>
    </row>
    <row r="3" spans="1:20">
      <c r="B3" t="s">
        <v>759</v>
      </c>
      <c r="H3">
        <f>2.6/16</f>
        <v>0.16250000000000001</v>
      </c>
      <c r="J3" t="s">
        <v>762</v>
      </c>
    </row>
    <row r="4" spans="1:20" ht="45">
      <c r="A4" t="s">
        <v>746</v>
      </c>
      <c r="B4" t="s">
        <v>758</v>
      </c>
      <c r="G4">
        <v>-1225</v>
      </c>
      <c r="H4" s="260" t="s">
        <v>753</v>
      </c>
      <c r="I4" t="s">
        <v>754</v>
      </c>
      <c r="J4" s="1" t="s">
        <v>747</v>
      </c>
    </row>
    <row r="5" spans="1:20">
      <c r="A5" t="s">
        <v>742</v>
      </c>
      <c r="B5" t="s">
        <v>749</v>
      </c>
      <c r="G5">
        <v>6.8</v>
      </c>
      <c r="H5" s="260" t="s">
        <v>750</v>
      </c>
      <c r="I5">
        <v>6.8</v>
      </c>
      <c r="J5" t="s">
        <v>748</v>
      </c>
    </row>
    <row r="6" spans="1:20">
      <c r="A6" t="s">
        <v>743</v>
      </c>
      <c r="B6" t="s">
        <v>749</v>
      </c>
      <c r="G6">
        <v>30</v>
      </c>
      <c r="H6" s="260" t="s">
        <v>751</v>
      </c>
      <c r="I6" t="s">
        <v>745</v>
      </c>
      <c r="J6" t="s">
        <v>744</v>
      </c>
    </row>
    <row r="7" spans="1:20">
      <c r="A7" t="s">
        <v>757</v>
      </c>
      <c r="B7" t="s">
        <v>749</v>
      </c>
      <c r="G7">
        <f>-1081*1.1</f>
        <v>-1189.1000000000001</v>
      </c>
      <c r="H7" s="260" t="s">
        <v>752</v>
      </c>
      <c r="I7" s="259" t="s">
        <v>756</v>
      </c>
      <c r="J7" t="s">
        <v>755</v>
      </c>
    </row>
    <row r="8" spans="1:20">
      <c r="A8" t="s">
        <v>761</v>
      </c>
      <c r="B8" t="s">
        <v>760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8">
        <v>-177</v>
      </c>
      <c r="G2" s="56" t="s">
        <v>155</v>
      </c>
      <c r="H2" s="56" t="s">
        <v>154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7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9"/>
      <c r="G4" s="56" t="s">
        <v>55</v>
      </c>
      <c r="H4" s="56" t="s">
        <v>154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8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418</v>
      </c>
      <c r="C46" s="70" t="s">
        <v>417</v>
      </c>
      <c r="D46" s="70" t="s">
        <v>413</v>
      </c>
      <c r="E46" s="70" t="s">
        <v>415</v>
      </c>
      <c r="F46" s="70" t="s">
        <v>411</v>
      </c>
      <c r="G46" s="70" t="s">
        <v>412</v>
      </c>
      <c r="H46" s="55" t="s">
        <v>410</v>
      </c>
      <c r="I46" s="70" t="s">
        <v>414</v>
      </c>
      <c r="J46" s="70" t="s">
        <v>416</v>
      </c>
      <c r="K46" s="70" t="s">
        <v>420</v>
      </c>
      <c r="L46" s="70" t="s">
        <v>419</v>
      </c>
      <c r="M46" s="70" t="s">
        <v>421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3">
        <f>F2-C2</f>
        <v>-947</v>
      </c>
      <c r="I47" s="103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3">
        <f>H86-G86</f>
        <v>0</v>
      </c>
      <c r="E48" s="103">
        <f>G86-H86</f>
        <v>0</v>
      </c>
      <c r="F48" s="57"/>
      <c r="G48" s="55"/>
      <c r="H48" s="103"/>
      <c r="I48" s="104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3"/>
      <c r="E49" s="55"/>
      <c r="F49" s="55"/>
      <c r="G49" s="55"/>
      <c r="H49" s="103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3">
        <f>F5-C5</f>
        <v>-2403</v>
      </c>
      <c r="I50" s="103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409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341</v>
      </c>
      <c r="D91" s="1" t="s">
        <v>342</v>
      </c>
      <c r="E91" s="1" t="s">
        <v>387</v>
      </c>
      <c r="F91" s="1" t="s">
        <v>2</v>
      </c>
    </row>
    <row r="92" spans="2:8">
      <c r="B92" t="s">
        <v>339</v>
      </c>
      <c r="C92">
        <v>88</v>
      </c>
      <c r="D92">
        <v>88</v>
      </c>
      <c r="E92">
        <v>1</v>
      </c>
      <c r="F92" t="s">
        <v>380</v>
      </c>
    </row>
    <row r="93" spans="2:8">
      <c r="B93" t="s">
        <v>168</v>
      </c>
      <c r="C93">
        <v>22</v>
      </c>
      <c r="D93">
        <v>68.900000000000006</v>
      </c>
      <c r="E93" s="69">
        <v>0.19573863636363639</v>
      </c>
      <c r="F93" t="s">
        <v>381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383</v>
      </c>
    </row>
    <row r="95" spans="2:8">
      <c r="B95" t="s">
        <v>340</v>
      </c>
      <c r="C95">
        <v>92</v>
      </c>
      <c r="D95">
        <v>89</v>
      </c>
      <c r="E95" s="69">
        <v>1.0573347107438016</v>
      </c>
      <c r="F95" t="s">
        <v>382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2015-09-21T19:47:37Z</dcterms:modified>
</cp:coreProperties>
</file>