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Accounts\Accounts Section\INVESTMENT SECTION\Annexure 3-Particulars of Investment\2016\"/>
    </mc:Choice>
  </mc:AlternateContent>
  <bookViews>
    <workbookView xWindow="0" yWindow="0" windowWidth="24000" windowHeight="9735" tabRatio="735" activeTab="1"/>
  </bookViews>
  <sheets>
    <sheet name="Lien Vs Asset Control" sheetId="6" r:id="rId1"/>
    <sheet name="Annexture 3" sheetId="1" r:id="rId2"/>
    <sheet name="Months table" sheetId="5" state="hidden" r:id="rId3"/>
    <sheet name="Formlink-Ld" sheetId="4" r:id="rId4"/>
    <sheet name="Formlink-Gd" sheetId="3" r:id="rId5"/>
    <sheet name="BS - 30.09.2016" sheetId="9" r:id="rId6"/>
    <sheet name="Rev Acc - 30.09.2016" sheetId="8" r:id="rId7"/>
    <sheet name="Lien Bonds" sheetId="7" r:id="rId8"/>
    <sheet name="P&amp;L-31.03.2016" sheetId="10" state="hidden" r:id="rId9"/>
  </sheets>
  <definedNames>
    <definedName name="_xlnm.Print_Area" localSheetId="1">'Annexture 3'!$A$2:$G$61</definedName>
    <definedName name="_xlnm.Print_Area" localSheetId="4">'Formlink-Gd'!$A$1:$A$48</definedName>
    <definedName name="_xlnm.Print_Area" localSheetId="3">'Formlink-Ld'!$A$1:$A$47</definedName>
    <definedName name="_xlnm.Print_Area" localSheetId="0">'Lien Vs Asset Control'!$B$6:$C$16</definedName>
  </definedNames>
  <calcPr calcId="152511"/>
</workbook>
</file>

<file path=xl/calcChain.xml><?xml version="1.0" encoding="utf-8"?>
<calcChain xmlns="http://schemas.openxmlformats.org/spreadsheetml/2006/main">
  <c r="H29" i="9" l="1"/>
  <c r="H28" i="9"/>
  <c r="H42" i="9"/>
  <c r="H41" i="9"/>
  <c r="E18" i="9"/>
  <c r="E41" i="9"/>
  <c r="B29" i="9"/>
  <c r="B42" i="9"/>
  <c r="B18" i="9"/>
  <c r="B41" i="9"/>
  <c r="N23" i="9" l="1"/>
  <c r="J17" i="7" l="1"/>
  <c r="B31" i="9" l="1"/>
  <c r="B16" i="9"/>
  <c r="C16" i="9"/>
  <c r="C31" i="9"/>
  <c r="B43" i="9"/>
  <c r="C43" i="9"/>
  <c r="B53" i="9"/>
  <c r="C53" i="9"/>
  <c r="B62" i="9"/>
  <c r="C62" i="9"/>
  <c r="C33" i="9" l="1"/>
  <c r="C45" i="9" s="1"/>
  <c r="C55" i="9" s="1"/>
  <c r="C64" i="9" s="1"/>
  <c r="B33" i="9"/>
  <c r="B45" i="9" s="1"/>
  <c r="B55" i="9" s="1"/>
  <c r="B64" i="9" s="1"/>
  <c r="E31" i="9" l="1"/>
  <c r="R35" i="9"/>
  <c r="Q35" i="9"/>
  <c r="L60" i="9"/>
  <c r="R60" i="9" s="1"/>
  <c r="K60" i="9"/>
  <c r="Q60" i="9" s="1"/>
  <c r="L59" i="9"/>
  <c r="K59" i="9"/>
  <c r="Q59" i="9" s="1"/>
  <c r="L58" i="9"/>
  <c r="R58" i="9" s="1"/>
  <c r="K58" i="9"/>
  <c r="L57" i="9"/>
  <c r="K57" i="9"/>
  <c r="L51" i="9"/>
  <c r="R51" i="9" s="1"/>
  <c r="K51" i="9"/>
  <c r="Q51" i="9" s="1"/>
  <c r="L50" i="9"/>
  <c r="R50" i="9" s="1"/>
  <c r="K50" i="9"/>
  <c r="Q50" i="9" s="1"/>
  <c r="L49" i="9"/>
  <c r="K49" i="9"/>
  <c r="Q49" i="9" s="1"/>
  <c r="L48" i="9"/>
  <c r="R48" i="9" s="1"/>
  <c r="K48" i="9"/>
  <c r="Q48" i="9" s="1"/>
  <c r="L41" i="9"/>
  <c r="R41" i="9" s="1"/>
  <c r="K41" i="9"/>
  <c r="Q41" i="9" s="1"/>
  <c r="L40" i="9"/>
  <c r="R40" i="9" s="1"/>
  <c r="K40" i="9"/>
  <c r="Q40" i="9" s="1"/>
  <c r="L39" i="9"/>
  <c r="R39" i="9" s="1"/>
  <c r="K39" i="9"/>
  <c r="Q39" i="9" s="1"/>
  <c r="L38" i="9"/>
  <c r="R38" i="9" s="1"/>
  <c r="K38" i="9"/>
  <c r="Q38" i="9" s="1"/>
  <c r="L37" i="9"/>
  <c r="R37" i="9" s="1"/>
  <c r="K37" i="9"/>
  <c r="Q37" i="9" s="1"/>
  <c r="L36" i="9"/>
  <c r="R36" i="9" s="1"/>
  <c r="K36" i="9"/>
  <c r="Q36" i="9" s="1"/>
  <c r="L29" i="9"/>
  <c r="R29" i="9" s="1"/>
  <c r="K29" i="9"/>
  <c r="Q29" i="9" s="1"/>
  <c r="L28" i="9"/>
  <c r="R28" i="9" s="1"/>
  <c r="L27" i="9"/>
  <c r="R27" i="9" s="1"/>
  <c r="K27" i="9"/>
  <c r="Q27" i="9" s="1"/>
  <c r="L26" i="9"/>
  <c r="R26" i="9" s="1"/>
  <c r="K26" i="9"/>
  <c r="Q26" i="9" s="1"/>
  <c r="L25" i="9"/>
  <c r="R25" i="9" s="1"/>
  <c r="K25" i="9"/>
  <c r="Q25" i="9" s="1"/>
  <c r="L24" i="9"/>
  <c r="R24" i="9" s="1"/>
  <c r="K24" i="9"/>
  <c r="Q24" i="9" s="1"/>
  <c r="L23" i="9"/>
  <c r="R23" i="9" s="1"/>
  <c r="K23" i="9"/>
  <c r="Q23" i="9" s="1"/>
  <c r="L22" i="9"/>
  <c r="R22" i="9" s="1"/>
  <c r="K22" i="9"/>
  <c r="Q22" i="9" s="1"/>
  <c r="L21" i="9"/>
  <c r="R21" i="9" s="1"/>
  <c r="K21" i="9"/>
  <c r="Q21" i="9" s="1"/>
  <c r="L20" i="9"/>
  <c r="R20" i="9" s="1"/>
  <c r="K20" i="9"/>
  <c r="Q20" i="9" s="1"/>
  <c r="L19" i="9"/>
  <c r="R19" i="9" s="1"/>
  <c r="K19" i="9"/>
  <c r="Q19" i="9" s="1"/>
  <c r="L18" i="9"/>
  <c r="R18" i="9" s="1"/>
  <c r="K9" i="9"/>
  <c r="Q9" i="9" s="1"/>
  <c r="L9" i="9"/>
  <c r="R9" i="9" s="1"/>
  <c r="K10" i="9"/>
  <c r="L10" i="9"/>
  <c r="R10" i="9" s="1"/>
  <c r="K11" i="9"/>
  <c r="Q11" i="9" s="1"/>
  <c r="L11" i="9"/>
  <c r="R11" i="9" s="1"/>
  <c r="K12" i="9"/>
  <c r="Q12" i="9" s="1"/>
  <c r="L12" i="9"/>
  <c r="R12" i="9" s="1"/>
  <c r="K13" i="9"/>
  <c r="Q13" i="9" s="1"/>
  <c r="L13" i="9"/>
  <c r="R13" i="9" s="1"/>
  <c r="K14" i="9"/>
  <c r="Q14" i="9" s="1"/>
  <c r="L14" i="9"/>
  <c r="R14" i="9" s="1"/>
  <c r="L8" i="9"/>
  <c r="R8" i="9" s="1"/>
  <c r="K8" i="9"/>
  <c r="Q8" i="9" s="1"/>
  <c r="O62" i="9"/>
  <c r="N62" i="9"/>
  <c r="I62" i="9"/>
  <c r="H62" i="9"/>
  <c r="F62" i="9"/>
  <c r="E62" i="9"/>
  <c r="O53" i="9"/>
  <c r="N53" i="9"/>
  <c r="I53" i="9"/>
  <c r="H53" i="9"/>
  <c r="F53" i="9"/>
  <c r="E53" i="9"/>
  <c r="O43" i="9"/>
  <c r="N43" i="9"/>
  <c r="I43" i="9"/>
  <c r="H43" i="9"/>
  <c r="F43" i="9"/>
  <c r="E43" i="9"/>
  <c r="O31" i="9"/>
  <c r="N31" i="9"/>
  <c r="I31" i="9"/>
  <c r="F31" i="9"/>
  <c r="O16" i="9"/>
  <c r="N16" i="9"/>
  <c r="I16" i="9"/>
  <c r="H16" i="9"/>
  <c r="F16" i="9"/>
  <c r="E16" i="9"/>
  <c r="F33" i="9" l="1"/>
  <c r="F45" i="9" s="1"/>
  <c r="F55" i="9"/>
  <c r="F64" i="9" s="1"/>
  <c r="I33" i="9"/>
  <c r="I45" i="9" s="1"/>
  <c r="I55" i="9" s="1"/>
  <c r="I64" i="9" s="1"/>
  <c r="O33" i="9"/>
  <c r="O45" i="9" s="1"/>
  <c r="O55" i="9" s="1"/>
  <c r="O64" i="9" s="1"/>
  <c r="N33" i="9"/>
  <c r="N45" i="9" s="1"/>
  <c r="N55" i="9" s="1"/>
  <c r="N64" i="9" s="1"/>
  <c r="L53" i="9"/>
  <c r="L16" i="9"/>
  <c r="Q53" i="9"/>
  <c r="K62" i="9"/>
  <c r="L31" i="9"/>
  <c r="R16" i="9"/>
  <c r="K16" i="9"/>
  <c r="K53" i="9"/>
  <c r="L62" i="9"/>
  <c r="R49" i="9"/>
  <c r="R53" i="9" s="1"/>
  <c r="R59" i="9"/>
  <c r="R62" i="9" s="1"/>
  <c r="K18" i="9"/>
  <c r="Q18" i="9" s="1"/>
  <c r="Q58" i="9"/>
  <c r="Q62" i="9" s="1"/>
  <c r="E33" i="9"/>
  <c r="E45" i="9" s="1"/>
  <c r="E55" i="9" s="1"/>
  <c r="E64" i="9" s="1"/>
  <c r="R31" i="9"/>
  <c r="K28" i="9"/>
  <c r="Q28" i="9" s="1"/>
  <c r="Q10" i="9"/>
  <c r="Q16" i="9" s="1"/>
  <c r="H31" i="9"/>
  <c r="H33" i="9" s="1"/>
  <c r="H45" i="9" s="1"/>
  <c r="H55" i="9" s="1"/>
  <c r="H64" i="9" s="1"/>
  <c r="R33" i="9" l="1"/>
  <c r="L33" i="9"/>
  <c r="B30" i="4"/>
  <c r="Q31" i="9"/>
  <c r="Q33" i="9" s="1"/>
  <c r="K31" i="9"/>
  <c r="K33" i="9" s="1"/>
  <c r="J41" i="3"/>
  <c r="D32" i="3"/>
  <c r="D45" i="3" s="1"/>
  <c r="E32" i="3"/>
  <c r="F32" i="3"/>
  <c r="F45" i="3" s="1"/>
  <c r="G32" i="3"/>
  <c r="G45" i="3" s="1"/>
  <c r="H32" i="3"/>
  <c r="H45" i="3" s="1"/>
  <c r="I32" i="3"/>
  <c r="J32" i="3"/>
  <c r="J45" i="3" s="1"/>
  <c r="K32" i="3"/>
  <c r="K45" i="3" s="1"/>
  <c r="L32" i="3"/>
  <c r="L45" i="3" s="1"/>
  <c r="M32" i="3"/>
  <c r="D25" i="3"/>
  <c r="D28" i="3" s="1"/>
  <c r="D44" i="3" s="1"/>
  <c r="E25" i="3"/>
  <c r="F25" i="3"/>
  <c r="G25" i="3"/>
  <c r="H25" i="3"/>
  <c r="I25" i="3"/>
  <c r="J25" i="3"/>
  <c r="K25" i="3"/>
  <c r="L25" i="3"/>
  <c r="M25" i="3"/>
  <c r="D26" i="3"/>
  <c r="E26" i="3"/>
  <c r="F26" i="3"/>
  <c r="G26" i="3"/>
  <c r="H26" i="3"/>
  <c r="I26" i="3"/>
  <c r="I28" i="3" s="1"/>
  <c r="I44" i="3" s="1"/>
  <c r="J26" i="3"/>
  <c r="K26" i="3"/>
  <c r="L26" i="3"/>
  <c r="M26" i="3"/>
  <c r="M28" i="3" s="1"/>
  <c r="M44" i="3" s="1"/>
  <c r="D27" i="3"/>
  <c r="E27" i="3"/>
  <c r="F27" i="3"/>
  <c r="G27" i="3"/>
  <c r="H27" i="3"/>
  <c r="I27" i="3"/>
  <c r="J27" i="3"/>
  <c r="K27" i="3"/>
  <c r="L27" i="3"/>
  <c r="M27" i="3"/>
  <c r="E28" i="3"/>
  <c r="E44" i="3" s="1"/>
  <c r="L28" i="3"/>
  <c r="L44" i="3" s="1"/>
  <c r="G21" i="3"/>
  <c r="G43" i="3" s="1"/>
  <c r="D20" i="3"/>
  <c r="D21" i="3" s="1"/>
  <c r="D43" i="3" s="1"/>
  <c r="E20" i="3"/>
  <c r="E21" i="3" s="1"/>
  <c r="E43" i="3" s="1"/>
  <c r="F20" i="3"/>
  <c r="F21" i="3" s="1"/>
  <c r="F43" i="3" s="1"/>
  <c r="G20" i="3"/>
  <c r="H20" i="3"/>
  <c r="H21" i="3" s="1"/>
  <c r="H43" i="3" s="1"/>
  <c r="I20" i="3"/>
  <c r="I21" i="3" s="1"/>
  <c r="I43" i="3" s="1"/>
  <c r="J20" i="3"/>
  <c r="J21" i="3" s="1"/>
  <c r="J43" i="3" s="1"/>
  <c r="K20" i="3"/>
  <c r="K21" i="3" s="1"/>
  <c r="K43" i="3" s="1"/>
  <c r="L20" i="3"/>
  <c r="L21" i="3" s="1"/>
  <c r="L43" i="3" s="1"/>
  <c r="M20" i="3"/>
  <c r="M21" i="3" s="1"/>
  <c r="M43" i="3" s="1"/>
  <c r="C12" i="3"/>
  <c r="D12" i="3"/>
  <c r="D42" i="3" s="1"/>
  <c r="E12" i="3"/>
  <c r="E42" i="3" s="1"/>
  <c r="F12" i="3"/>
  <c r="F42" i="3" s="1"/>
  <c r="G12" i="3"/>
  <c r="G42" i="3" s="1"/>
  <c r="H12" i="3"/>
  <c r="H42" i="3" s="1"/>
  <c r="I12" i="3"/>
  <c r="I42" i="3" s="1"/>
  <c r="J12" i="3"/>
  <c r="J42" i="3" s="1"/>
  <c r="K12" i="3"/>
  <c r="K42" i="3" s="1"/>
  <c r="L12" i="3"/>
  <c r="L42" i="3" s="1"/>
  <c r="M12" i="3"/>
  <c r="M42" i="3" s="1"/>
  <c r="D7" i="3"/>
  <c r="D41" i="3" s="1"/>
  <c r="E7" i="3"/>
  <c r="E41" i="3" s="1"/>
  <c r="F7" i="3"/>
  <c r="F41" i="3" s="1"/>
  <c r="G7" i="3"/>
  <c r="G41" i="3" s="1"/>
  <c r="H7" i="3"/>
  <c r="H41" i="3" s="1"/>
  <c r="I7" i="3"/>
  <c r="I41" i="3" s="1"/>
  <c r="J7" i="3"/>
  <c r="K7" i="3"/>
  <c r="K41" i="3" s="1"/>
  <c r="L7" i="3"/>
  <c r="L41" i="3" s="1"/>
  <c r="M7" i="3"/>
  <c r="M41" i="3" s="1"/>
  <c r="B13" i="5"/>
  <c r="B12" i="5"/>
  <c r="B11" i="5"/>
  <c r="B10" i="5"/>
  <c r="B9" i="5"/>
  <c r="B8" i="5"/>
  <c r="B7" i="5"/>
  <c r="B6" i="5"/>
  <c r="B5" i="5"/>
  <c r="B3" i="5"/>
  <c r="B4" i="5"/>
  <c r="B2" i="5"/>
  <c r="K41" i="4"/>
  <c r="I42" i="4"/>
  <c r="J32" i="4"/>
  <c r="G28" i="4"/>
  <c r="G44" i="4" s="1"/>
  <c r="D27" i="4"/>
  <c r="E27" i="4"/>
  <c r="F27" i="4"/>
  <c r="G27" i="4"/>
  <c r="H27" i="4"/>
  <c r="I27" i="4"/>
  <c r="J27" i="4"/>
  <c r="K27" i="4"/>
  <c r="L27" i="4"/>
  <c r="M27" i="4"/>
  <c r="E26" i="4"/>
  <c r="F26" i="4"/>
  <c r="G26" i="4"/>
  <c r="H26" i="4"/>
  <c r="H28" i="4" s="1"/>
  <c r="H44" i="4" s="1"/>
  <c r="I26" i="4"/>
  <c r="J26" i="4"/>
  <c r="K26" i="4"/>
  <c r="K28" i="4" s="1"/>
  <c r="K44" i="4" s="1"/>
  <c r="L26" i="4"/>
  <c r="L28" i="4" s="1"/>
  <c r="L44" i="4" s="1"/>
  <c r="M26" i="4"/>
  <c r="D26" i="4"/>
  <c r="D28" i="4" s="1"/>
  <c r="D44" i="4" s="1"/>
  <c r="D21" i="4"/>
  <c r="D43" i="4" s="1"/>
  <c r="E21" i="4"/>
  <c r="E43" i="4" s="1"/>
  <c r="F21" i="4"/>
  <c r="F43" i="4" s="1"/>
  <c r="G21" i="4"/>
  <c r="G43" i="4" s="1"/>
  <c r="H21" i="4"/>
  <c r="H43" i="4" s="1"/>
  <c r="I21" i="4"/>
  <c r="I43" i="4" s="1"/>
  <c r="J21" i="4"/>
  <c r="J43" i="4" s="1"/>
  <c r="K21" i="4"/>
  <c r="K43" i="4" s="1"/>
  <c r="L21" i="4"/>
  <c r="L43" i="4" s="1"/>
  <c r="M21" i="4"/>
  <c r="M43" i="4" s="1"/>
  <c r="C12" i="4"/>
  <c r="D12" i="4"/>
  <c r="D42" i="4" s="1"/>
  <c r="E12" i="4"/>
  <c r="E42" i="4" s="1"/>
  <c r="F12" i="4"/>
  <c r="F42" i="4" s="1"/>
  <c r="G12" i="4"/>
  <c r="G42" i="4" s="1"/>
  <c r="H12" i="4"/>
  <c r="H42" i="4" s="1"/>
  <c r="I12" i="4"/>
  <c r="J12" i="4"/>
  <c r="J42" i="4" s="1"/>
  <c r="K12" i="4"/>
  <c r="K42" i="4" s="1"/>
  <c r="L12" i="4"/>
  <c r="L42" i="4" s="1"/>
  <c r="M12" i="4"/>
  <c r="M42" i="4" s="1"/>
  <c r="D7" i="4"/>
  <c r="D41" i="4" s="1"/>
  <c r="E7" i="4"/>
  <c r="E41" i="4" s="1"/>
  <c r="F7" i="4"/>
  <c r="F41" i="4" s="1"/>
  <c r="G7" i="4"/>
  <c r="G41" i="4" s="1"/>
  <c r="H7" i="4"/>
  <c r="H41" i="4" s="1"/>
  <c r="I7" i="4"/>
  <c r="I41" i="4" s="1"/>
  <c r="J7" i="4"/>
  <c r="J41" i="4" s="1"/>
  <c r="K7" i="4"/>
  <c r="L7" i="4"/>
  <c r="L41" i="4" s="1"/>
  <c r="M7" i="4"/>
  <c r="M41" i="4" s="1"/>
  <c r="B30" i="3"/>
  <c r="B19" i="4"/>
  <c r="B15" i="4"/>
  <c r="B5" i="4"/>
  <c r="B24" i="3"/>
  <c r="B19" i="3"/>
  <c r="B15" i="3"/>
  <c r="B5" i="3"/>
  <c r="B3" i="3"/>
  <c r="L52" i="9"/>
  <c r="K52" i="9"/>
  <c r="L42" i="9"/>
  <c r="K42" i="9"/>
  <c r="E51" i="8"/>
  <c r="D51" i="8"/>
  <c r="C51" i="8"/>
  <c r="J28" i="4" l="1"/>
  <c r="J44" i="4" s="1"/>
  <c r="F28" i="4"/>
  <c r="F44" i="4" s="1"/>
  <c r="M28" i="4"/>
  <c r="M44" i="4" s="1"/>
  <c r="I28" i="4"/>
  <c r="I44" i="4" s="1"/>
  <c r="E28" i="4"/>
  <c r="E44" i="4" s="1"/>
  <c r="L46" i="3"/>
  <c r="H46" i="3"/>
  <c r="D46" i="3"/>
  <c r="H28" i="3"/>
  <c r="H44" i="3" s="1"/>
  <c r="B24" i="4"/>
  <c r="J34" i="4"/>
  <c r="M34" i="3"/>
  <c r="I34" i="3"/>
  <c r="E34" i="3"/>
  <c r="J45" i="4"/>
  <c r="J46" i="4" s="1"/>
  <c r="L34" i="3"/>
  <c r="L47" i="3" s="1"/>
  <c r="H34" i="3"/>
  <c r="H47" i="3" s="1"/>
  <c r="D34" i="3"/>
  <c r="D47" i="3" s="1"/>
  <c r="K28" i="3"/>
  <c r="G28" i="3"/>
  <c r="J28" i="3"/>
  <c r="F28" i="3"/>
  <c r="M45" i="3"/>
  <c r="M46" i="3" s="1"/>
  <c r="M47" i="3" s="1"/>
  <c r="I45" i="3"/>
  <c r="I46" i="3" s="1"/>
  <c r="I47" i="3" s="1"/>
  <c r="E45" i="3"/>
  <c r="E46" i="3" s="1"/>
  <c r="R42" i="9"/>
  <c r="R43" i="9" s="1"/>
  <c r="R45" i="9" s="1"/>
  <c r="R55" i="9" s="1"/>
  <c r="R64" i="9" s="1"/>
  <c r="L43" i="9"/>
  <c r="L45" i="9" s="1"/>
  <c r="L55" i="9" s="1"/>
  <c r="L64" i="9" s="1"/>
  <c r="Q42" i="9"/>
  <c r="Q43" i="9" s="1"/>
  <c r="Q45" i="9" s="1"/>
  <c r="Q55" i="9" s="1"/>
  <c r="Q64" i="9" s="1"/>
  <c r="K43" i="9"/>
  <c r="K45" i="9" s="1"/>
  <c r="K55" i="9" s="1"/>
  <c r="K64" i="9" s="1"/>
  <c r="E47" i="3" l="1"/>
  <c r="J35" i="4"/>
  <c r="J47" i="4"/>
  <c r="F44" i="3"/>
  <c r="F46" i="3" s="1"/>
  <c r="F47" i="3" s="1"/>
  <c r="F34" i="3"/>
  <c r="G44" i="3"/>
  <c r="G46" i="3" s="1"/>
  <c r="G34" i="3"/>
  <c r="J44" i="3"/>
  <c r="J46" i="3" s="1"/>
  <c r="J47" i="3" s="1"/>
  <c r="J34" i="3"/>
  <c r="K44" i="3"/>
  <c r="K46" i="3" s="1"/>
  <c r="K34" i="3"/>
  <c r="B3" i="4"/>
  <c r="J30" i="7"/>
  <c r="E9" i="6" l="1"/>
  <c r="K47" i="3"/>
  <c r="G47" i="3"/>
  <c r="M31" i="4"/>
  <c r="M32" i="4" s="1"/>
  <c r="M45" i="4" l="1"/>
  <c r="M46" i="4" s="1"/>
  <c r="M34" i="4"/>
  <c r="L31" i="4"/>
  <c r="L32" i="4" s="1"/>
  <c r="M47" i="4" l="1"/>
  <c r="M35" i="4"/>
  <c r="L45" i="4"/>
  <c r="L46" i="4" s="1"/>
  <c r="L47" i="4" s="1"/>
  <c r="L34" i="4"/>
  <c r="M35" i="3"/>
  <c r="L35" i="4" l="1"/>
  <c r="L35" i="3"/>
  <c r="J35" i="3" l="1"/>
  <c r="K31" i="4" l="1"/>
  <c r="K32" i="4" s="1"/>
  <c r="K34" i="4" l="1"/>
  <c r="K45" i="4"/>
  <c r="K46" i="4" s="1"/>
  <c r="K35" i="3"/>
  <c r="C39" i="4"/>
  <c r="D39" i="4"/>
  <c r="E39" i="4"/>
  <c r="F39" i="4"/>
  <c r="B39" i="4"/>
  <c r="K35" i="4" l="1"/>
  <c r="K47" i="4"/>
  <c r="I31" i="4"/>
  <c r="I32" i="4" s="1"/>
  <c r="I34" i="4" l="1"/>
  <c r="I45" i="4"/>
  <c r="I46" i="4" s="1"/>
  <c r="I35" i="3"/>
  <c r="I35" i="4" l="1"/>
  <c r="I47" i="4"/>
  <c r="H31" i="4"/>
  <c r="H32" i="4" s="1"/>
  <c r="H45" i="4" l="1"/>
  <c r="H46" i="4" s="1"/>
  <c r="H34" i="4"/>
  <c r="H35" i="4" s="1"/>
  <c r="H35" i="3"/>
  <c r="G31" i="4"/>
  <c r="G32" i="4" s="1"/>
  <c r="G2" i="4"/>
  <c r="G45" i="4" l="1"/>
  <c r="G46" i="4" s="1"/>
  <c r="G34" i="4"/>
  <c r="H47" i="4"/>
  <c r="H2" i="4"/>
  <c r="G39" i="4"/>
  <c r="G47" i="4" l="1"/>
  <c r="G35" i="4"/>
  <c r="I2" i="4"/>
  <c r="H39" i="4"/>
  <c r="I39" i="4" l="1"/>
  <c r="J2" i="4"/>
  <c r="K2" i="4" s="1"/>
  <c r="F35" i="3"/>
  <c r="K39" i="4" l="1"/>
  <c r="L2" i="4"/>
  <c r="F31" i="4"/>
  <c r="F32" i="4" s="1"/>
  <c r="E31" i="4"/>
  <c r="E32" i="4" s="1"/>
  <c r="E34" i="4" l="1"/>
  <c r="E45" i="4"/>
  <c r="E46" i="4" s="1"/>
  <c r="F34" i="4"/>
  <c r="F45" i="4"/>
  <c r="F46" i="4" s="1"/>
  <c r="L39" i="4"/>
  <c r="M2" i="4"/>
  <c r="M39" i="4" s="1"/>
  <c r="E35" i="3"/>
  <c r="G35" i="3"/>
  <c r="E35" i="4" l="1"/>
  <c r="E47" i="4"/>
  <c r="F47" i="4"/>
  <c r="F35" i="4"/>
  <c r="C7" i="3"/>
  <c r="C41" i="3" s="1"/>
  <c r="C42" i="3"/>
  <c r="C26" i="3"/>
  <c r="C20" i="3"/>
  <c r="C25" i="3"/>
  <c r="C27" i="3"/>
  <c r="C32" i="3"/>
  <c r="C28" i="3" l="1"/>
  <c r="C44" i="3" s="1"/>
  <c r="C21" i="3"/>
  <c r="C43" i="3" s="1"/>
  <c r="C45" i="3"/>
  <c r="C7" i="4"/>
  <c r="C41" i="4" s="1"/>
  <c r="C42" i="4"/>
  <c r="C31" i="4"/>
  <c r="D31" i="4"/>
  <c r="D32" i="4" s="1"/>
  <c r="B32" i="3"/>
  <c r="B7" i="3"/>
  <c r="B41" i="3" s="1"/>
  <c r="F23" i="1" s="1"/>
  <c r="B26" i="4"/>
  <c r="B12" i="4"/>
  <c r="B7" i="4"/>
  <c r="B26" i="3"/>
  <c r="B25" i="3"/>
  <c r="B20" i="3"/>
  <c r="B12" i="3"/>
  <c r="B42" i="3" s="1"/>
  <c r="D45" i="4" l="1"/>
  <c r="D46" i="4" s="1"/>
  <c r="D34" i="4"/>
  <c r="D35" i="4" s="1"/>
  <c r="C32" i="4"/>
  <c r="C45" i="4" s="1"/>
  <c r="C46" i="3"/>
  <c r="C21" i="4"/>
  <c r="C43" i="4" s="1"/>
  <c r="B27" i="4"/>
  <c r="C27" i="4"/>
  <c r="C26" i="4"/>
  <c r="C34" i="3"/>
  <c r="B21" i="4"/>
  <c r="B45" i="3"/>
  <c r="F45" i="1" s="1"/>
  <c r="B21" i="3"/>
  <c r="B43" i="3" s="1"/>
  <c r="F35" i="1" s="1"/>
  <c r="B27" i="3"/>
  <c r="B28" i="3" s="1"/>
  <c r="D47" i="4" l="1"/>
  <c r="D35" i="3"/>
  <c r="C35" i="3"/>
  <c r="C47" i="3"/>
  <c r="C28" i="4"/>
  <c r="C44" i="4" s="1"/>
  <c r="C46" i="4" s="1"/>
  <c r="B44" i="3"/>
  <c r="B34" i="3"/>
  <c r="C8" i="6" s="1"/>
  <c r="B46" i="3" l="1"/>
  <c r="F39" i="1"/>
  <c r="B35" i="3"/>
  <c r="B36" i="3"/>
  <c r="C34" i="4"/>
  <c r="C47" i="4" l="1"/>
  <c r="C35" i="4"/>
  <c r="J23" i="7"/>
  <c r="J33" i="7" s="1"/>
  <c r="C14" i="6" l="1"/>
  <c r="E8" i="6"/>
  <c r="B41" i="4"/>
  <c r="C23" i="1" s="1"/>
  <c r="B43" i="4"/>
  <c r="C35" i="1" s="1"/>
  <c r="B28" i="4"/>
  <c r="B44" i="4" s="1"/>
  <c r="C39" i="1" s="1"/>
  <c r="B31" i="4"/>
  <c r="B32" i="4" s="1"/>
  <c r="B45" i="4" s="1"/>
  <c r="C45" i="1" s="1"/>
  <c r="B42" i="4"/>
  <c r="C73" i="1"/>
  <c r="C81" i="1"/>
  <c r="C25" i="1" l="1"/>
  <c r="B34" i="4"/>
  <c r="C9" i="6" s="1"/>
  <c r="C10" i="6" s="1"/>
  <c r="C12" i="6" s="1"/>
  <c r="B46" i="4"/>
  <c r="F25" i="1"/>
  <c r="B35" i="4" l="1"/>
  <c r="B47" i="4"/>
  <c r="B47" i="3" l="1"/>
  <c r="F27" i="1" l="1"/>
  <c r="F37" i="1" l="1"/>
  <c r="C50" i="1" l="1"/>
  <c r="C27" i="1" l="1"/>
  <c r="C37" i="1" l="1"/>
  <c r="C41" i="1" s="1"/>
  <c r="F41" i="1" l="1"/>
  <c r="F47" i="1" s="1"/>
  <c r="F51" i="1" s="1"/>
  <c r="F87" i="1" l="1"/>
  <c r="D8" i="6"/>
  <c r="C47" i="1"/>
  <c r="D41" i="1" s="1"/>
  <c r="F8" i="6" l="1"/>
  <c r="G41" i="1"/>
  <c r="G39" i="1"/>
  <c r="G23" i="1"/>
  <c r="G47" i="1"/>
  <c r="G35" i="1"/>
  <c r="G37" i="1"/>
  <c r="G25" i="1"/>
  <c r="G27" i="1"/>
  <c r="G45" i="1"/>
  <c r="D37" i="1"/>
  <c r="D25" i="1"/>
  <c r="D35" i="1"/>
  <c r="D45" i="1"/>
  <c r="D27" i="1"/>
  <c r="D47" i="1"/>
  <c r="D23" i="1"/>
  <c r="D39" i="1"/>
  <c r="D9" i="6" l="1"/>
  <c r="D10" i="6" l="1"/>
  <c r="C15" i="6"/>
  <c r="E10" i="6"/>
  <c r="F9" i="6" l="1"/>
  <c r="F10" i="6" s="1"/>
</calcChain>
</file>

<file path=xl/comments1.xml><?xml version="1.0" encoding="utf-8"?>
<comments xmlns="http://schemas.openxmlformats.org/spreadsheetml/2006/main">
  <authors>
    <author>Simon Ndungu</author>
  </authors>
  <commentList>
    <comment ref="I35" authorId="0" shapeId="0">
      <text>
        <r>
          <rPr>
            <sz val="9"/>
            <color indexed="81"/>
            <rFont val="Tahoma"/>
            <family val="2"/>
          </rPr>
          <t xml:space="preserve">Group Company Balances
</t>
        </r>
      </text>
    </comment>
    <comment ref="J35" authorId="0" shapeId="0">
      <text>
        <r>
          <rPr>
            <sz val="9"/>
            <color indexed="81"/>
            <rFont val="Tahoma"/>
            <family val="2"/>
          </rPr>
          <t>Group Company Balances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>
      <text>
        <r>
          <rPr>
            <sz val="9"/>
            <color indexed="81"/>
            <rFont val="Tahoma"/>
            <family val="2"/>
          </rPr>
          <t>Group Company Balances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5" authorId="0" shapeId="0">
      <text>
        <r>
          <rPr>
            <sz val="9"/>
            <color indexed="81"/>
            <rFont val="Tahoma"/>
            <family val="2"/>
          </rPr>
          <t>Group Company Balances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5" authorId="0" shapeId="0">
      <text>
        <r>
          <rPr>
            <sz val="9"/>
            <color indexed="81"/>
            <rFont val="Tahoma"/>
            <family val="2"/>
          </rPr>
          <t xml:space="preserve">50% of the investments in subsidiaries and associates.
</t>
        </r>
      </text>
    </comment>
  </commentList>
</comments>
</file>

<file path=xl/sharedStrings.xml><?xml version="1.0" encoding="utf-8"?>
<sst xmlns="http://schemas.openxmlformats.org/spreadsheetml/2006/main" count="394" uniqueCount="266">
  <si>
    <t>PARTICULARS OF INVESTMENT</t>
  </si>
  <si>
    <t>ANNEXURE 3</t>
  </si>
  <si>
    <t>(Amounts in Kenya Shillings)</t>
  </si>
  <si>
    <t>BUSINESS</t>
  </si>
  <si>
    <t>LONG TERM</t>
  </si>
  <si>
    <t>Particulars of Investment</t>
  </si>
  <si>
    <t xml:space="preserve">Amount </t>
  </si>
  <si>
    <t>% of Total</t>
  </si>
  <si>
    <t>KShs.</t>
  </si>
  <si>
    <t xml:space="preserve">Admitted </t>
  </si>
  <si>
    <t>Assets</t>
  </si>
  <si>
    <t>A.   AS PER SUB-SECTION</t>
  </si>
  <si>
    <t xml:space="preserve">      a)   The Government</t>
  </si>
  <si>
    <t xml:space="preserve">      b)   The Local Authorities</t>
  </si>
  <si>
    <t xml:space="preserve">      Not Admitted Assets</t>
  </si>
  <si>
    <t>Date:                                                                       Principal Officer:</t>
  </si>
  <si>
    <t>Total Assets</t>
  </si>
  <si>
    <t>Under Section 50(4)</t>
  </si>
  <si>
    <t>The Government</t>
  </si>
  <si>
    <t xml:space="preserve">Prescribed Institutions </t>
  </si>
  <si>
    <t>fa+ca-Group ca</t>
  </si>
  <si>
    <t>Total</t>
  </si>
  <si>
    <t>Investment Type-General Business</t>
  </si>
  <si>
    <t>Investment Type-Life Business</t>
  </si>
  <si>
    <t>Group Shares</t>
  </si>
  <si>
    <t>Investment Type-General Business-Workings</t>
  </si>
  <si>
    <t>Prescribed Institutions -HFCK Investments</t>
  </si>
  <si>
    <t>Prescribed Institutions -HFCK Deposits</t>
  </si>
  <si>
    <t>Less:HFCK Invest</t>
  </si>
  <si>
    <t>Total Deposits(As per B/s)</t>
  </si>
  <si>
    <t>Less:HFCK Deposits</t>
  </si>
  <si>
    <t>Fixed Assets</t>
  </si>
  <si>
    <t>Current Assets</t>
  </si>
  <si>
    <t>Less:Group Shares</t>
  </si>
  <si>
    <t>Less:Total Deposits</t>
  </si>
  <si>
    <t>Less:T/Bills</t>
  </si>
  <si>
    <t>The Government-T/Bills</t>
  </si>
  <si>
    <t>The Government-Securities</t>
  </si>
  <si>
    <t>Less:Securities</t>
  </si>
  <si>
    <t>Total Investments</t>
  </si>
  <si>
    <t>Less:Agents/Brokers&gt;60Days</t>
  </si>
  <si>
    <t>Investment Type-Life Business-Workings</t>
  </si>
  <si>
    <t xml:space="preserve">AS AT </t>
  </si>
  <si>
    <t>Code</t>
  </si>
  <si>
    <t>Month</t>
  </si>
  <si>
    <t>Enter the month here--------------------&gt;</t>
  </si>
  <si>
    <t>Less:Agents/Brokers&gt;90Days</t>
  </si>
  <si>
    <t xml:space="preserve"> </t>
  </si>
  <si>
    <t>Agents/Brokers&gt;90 Days</t>
  </si>
  <si>
    <t>govt securities or prescribed organisation</t>
  </si>
  <si>
    <t>govt sec/prescribed org;mortgages,comm paper,pref/ord shares of quoted cos, properties,fixed deposit</t>
  </si>
  <si>
    <t>requirements-life</t>
  </si>
  <si>
    <t>per discretion</t>
  </si>
  <si>
    <t>General</t>
  </si>
  <si>
    <t>fixed deposit in one bank not to exceed 5% of total assets</t>
  </si>
  <si>
    <t>1A</t>
  </si>
  <si>
    <t>B</t>
  </si>
  <si>
    <t>c</t>
  </si>
  <si>
    <t>fixed deposit in one bank not to exceed 10% of total assets</t>
  </si>
  <si>
    <t>Group Shares-admmited assets</t>
  </si>
  <si>
    <t>ADMITTED ASSETS</t>
  </si>
  <si>
    <t>KSH</t>
  </si>
  <si>
    <t>GENERAL</t>
  </si>
  <si>
    <t xml:space="preserve">LIFE </t>
  </si>
  <si>
    <t>TOTAL</t>
  </si>
  <si>
    <t>5% LIEN REQUIREMENT</t>
  </si>
  <si>
    <t xml:space="preserve">      (1) (a) or (2) (a) of Section 50</t>
  </si>
  <si>
    <t xml:space="preserve">      In securities of:</t>
  </si>
  <si>
    <t xml:space="preserve">B.   As Per Section 50(4) </t>
  </si>
  <si>
    <t>1   Admitted Assets</t>
  </si>
  <si>
    <t>Sub-total (a) +(b)</t>
  </si>
  <si>
    <t>Sub-total (A) +(B)</t>
  </si>
  <si>
    <t>C.  All Other Investments (excluding</t>
  </si>
  <si>
    <t xml:space="preserve">       cash in accounts with banks)</t>
  </si>
  <si>
    <t>D. Total Admitted Assets</t>
  </si>
  <si>
    <t xml:space="preserve">      Admitted Assets</t>
  </si>
  <si>
    <t>E.  Any other assets which are not</t>
  </si>
  <si>
    <t>F. TOTAL ASSETS</t>
  </si>
  <si>
    <t>Cash in  accounts with banks</t>
  </si>
  <si>
    <t>TO CIRCULAR NO. IC &amp; RE 02/2009</t>
  </si>
  <si>
    <t>Required 5%</t>
  </si>
  <si>
    <t>Current Holding</t>
  </si>
  <si>
    <t>INSURER:  ICEA LION LIFE ASSURANCE COMPANY LTD</t>
  </si>
  <si>
    <t xml:space="preserve">No. </t>
  </si>
  <si>
    <t xml:space="preserve">Issue Date </t>
  </si>
  <si>
    <t xml:space="preserve">Description </t>
  </si>
  <si>
    <t xml:space="preserve">Investment Date </t>
  </si>
  <si>
    <t xml:space="preserve">Ten (Yrs) </t>
  </si>
  <si>
    <t xml:space="preserve">Maturity Date </t>
  </si>
  <si>
    <t xml:space="preserve">LastRepricing Date </t>
  </si>
  <si>
    <t xml:space="preserve">Interest Rate Type </t>
  </si>
  <si>
    <t xml:space="preserve">% C. Rate </t>
  </si>
  <si>
    <t xml:space="preserve">Face Value </t>
  </si>
  <si>
    <t xml:space="preserve">CENTRAL BANK OF KENYA </t>
  </si>
  <si>
    <t xml:space="preserve">Fixed </t>
  </si>
  <si>
    <t xml:space="preserve">FXD 1/2006/11 DA </t>
  </si>
  <si>
    <t xml:space="preserve">FXD3/2007/15 - DA </t>
  </si>
  <si>
    <t xml:space="preserve">FXD3/2007/15 DA </t>
  </si>
  <si>
    <t xml:space="preserve">FXD3/2007/15 DA 1 </t>
  </si>
  <si>
    <t xml:space="preserve">FXD3/2007/15 DA 2 </t>
  </si>
  <si>
    <t xml:space="preserve">FXD3/2007/15-DA </t>
  </si>
  <si>
    <t xml:space="preserve">CENTRAL BANK </t>
  </si>
  <si>
    <t xml:space="preserve">FXD1/2008/15-476 DA </t>
  </si>
  <si>
    <t xml:space="preserve">FXD1/2008/15-DA </t>
  </si>
  <si>
    <t xml:space="preserve">FXD 3/2007/15GD </t>
  </si>
  <si>
    <t xml:space="preserve">CENTRAL BANK OF KENYA - LIEN </t>
  </si>
  <si>
    <t xml:space="preserve">FXD3/2007/15-GD </t>
  </si>
  <si>
    <t xml:space="preserve">FXD3/2007/15-GD-A </t>
  </si>
  <si>
    <t xml:space="preserve">FXD 1/2007/15-A-INS </t>
  </si>
  <si>
    <t xml:space="preserve">Ann. CENTRAL BANK OF KENYA </t>
  </si>
  <si>
    <t xml:space="preserve">FXD1/2008/20 INS </t>
  </si>
  <si>
    <t>SHAREHOLDERS ACCOUNT</t>
  </si>
  <si>
    <t xml:space="preserve">                                                                                                                                                                                                                          </t>
  </si>
  <si>
    <t xml:space="preserve">FXD1/2011/20 INS </t>
  </si>
  <si>
    <t xml:space="preserve">CENTRAL BANK OF KENYA LTD. </t>
  </si>
  <si>
    <t>Addational LIEN</t>
  </si>
  <si>
    <t>Group Shares-addmited assets</t>
  </si>
  <si>
    <t>FXD1/2012/20</t>
  </si>
  <si>
    <t>FXD1/2011/20</t>
  </si>
  <si>
    <t xml:space="preserve">FXD1/2012/20 INS H </t>
  </si>
  <si>
    <t>Total amount in Lien</t>
  </si>
  <si>
    <t>Surplus/(Deficit)</t>
  </si>
  <si>
    <t>CURRENT HOLDING</t>
  </si>
  <si>
    <t>SURPLUS/( DEFICIT)</t>
  </si>
  <si>
    <t xml:space="preserve">FXD1/2012/20 INS B </t>
  </si>
  <si>
    <t xml:space="preserve">FXD2/2013/15-DA A </t>
  </si>
  <si>
    <t>Shareholders</t>
  </si>
  <si>
    <t>DA</t>
  </si>
  <si>
    <t>Insured</t>
  </si>
  <si>
    <t>ICEA LION LIFE ASSURANCE COMPANY LIMITED</t>
  </si>
  <si>
    <t>Schedule III</t>
  </si>
  <si>
    <t>Previous</t>
  </si>
  <si>
    <t>Current</t>
  </si>
  <si>
    <t>Group Credit Risk</t>
  </si>
  <si>
    <t>Permanent</t>
  </si>
  <si>
    <t xml:space="preserve">Personal </t>
  </si>
  <si>
    <t>Year</t>
  </si>
  <si>
    <t>Unit Linked</t>
  </si>
  <si>
    <t>Ordinary</t>
  </si>
  <si>
    <t xml:space="preserve"> Group </t>
  </si>
  <si>
    <t>Annuity</t>
  </si>
  <si>
    <t>&amp; Specialty</t>
  </si>
  <si>
    <t>Health</t>
  </si>
  <si>
    <t>Retirement</t>
  </si>
  <si>
    <t>Pensions</t>
  </si>
  <si>
    <t>Provident Fund</t>
  </si>
  <si>
    <t>Actual</t>
  </si>
  <si>
    <t>Budget</t>
  </si>
  <si>
    <t>Product</t>
  </si>
  <si>
    <t>Life</t>
  </si>
  <si>
    <t>Schemes</t>
  </si>
  <si>
    <t>Fund</t>
  </si>
  <si>
    <t>Kshs.</t>
  </si>
  <si>
    <t>Premium &amp; Contributions</t>
  </si>
  <si>
    <t>Reassurance Premium</t>
  </si>
  <si>
    <t>Net Premium</t>
  </si>
  <si>
    <t>Investment Income</t>
  </si>
  <si>
    <t>Commission Receivable</t>
  </si>
  <si>
    <t>Profit/(Loss) On sale of Investments</t>
  </si>
  <si>
    <t>Profit/(Loss) On Revaluation</t>
  </si>
  <si>
    <t>Paid Death  Claims</t>
  </si>
  <si>
    <t>Claims Recoverable</t>
  </si>
  <si>
    <t>Total Outstanding Claims 01.01.2016</t>
  </si>
  <si>
    <t>Death Claims Incurred</t>
  </si>
  <si>
    <t>Annuities</t>
  </si>
  <si>
    <t>Maturities</t>
  </si>
  <si>
    <t>Surrenders</t>
  </si>
  <si>
    <t>Total Claims</t>
  </si>
  <si>
    <t>Premium Tax</t>
  </si>
  <si>
    <t>Tax Charge</t>
  </si>
  <si>
    <t>PCF</t>
  </si>
  <si>
    <t>Commission Payable</t>
  </si>
  <si>
    <t>Medical Expenses</t>
  </si>
  <si>
    <t>Corporate Trustees Fees</t>
  </si>
  <si>
    <t>Operating Expenses</t>
  </si>
  <si>
    <t>Profit &amp; Loss</t>
  </si>
  <si>
    <t>Total Expenses</t>
  </si>
  <si>
    <t>Increase/(Decrease) Of funds</t>
  </si>
  <si>
    <t>Funds At The Beginning Of The Year</t>
  </si>
  <si>
    <t>Prior year's Adjustments</t>
  </si>
  <si>
    <t>Statutory Reserves</t>
  </si>
  <si>
    <t>Funds at the  end</t>
  </si>
  <si>
    <t>Of The Year</t>
  </si>
  <si>
    <t>BALANCE SHEET</t>
  </si>
  <si>
    <t>DEPOSIT ADMINISTRATION</t>
  </si>
  <si>
    <t>PERSONAL RETIREMENT SCHEMES</t>
  </si>
  <si>
    <t>INSURED SCHEMES</t>
  </si>
  <si>
    <t>TOTAL LIFE BUSINESS</t>
  </si>
  <si>
    <t>SHAREHOLDER'S FUND</t>
  </si>
  <si>
    <t>LIFE CONSOLIDATED</t>
  </si>
  <si>
    <t>Kshs</t>
  </si>
  <si>
    <t>LONG TERM ASSETS</t>
  </si>
  <si>
    <t>Ordinary Stock In Share</t>
  </si>
  <si>
    <t>Mortgages In Kenya</t>
  </si>
  <si>
    <t>Free Hold Properties</t>
  </si>
  <si>
    <t>Shares in Subsidiary Co.'s at cost</t>
  </si>
  <si>
    <t>Investment In Associate</t>
  </si>
  <si>
    <t>Computers and Equipments</t>
  </si>
  <si>
    <t>Intangible Assets</t>
  </si>
  <si>
    <t>CURRENT ASSETS</t>
  </si>
  <si>
    <t>Interfund A/c-Insured Schemes</t>
  </si>
  <si>
    <t>Reinsurers Balances</t>
  </si>
  <si>
    <t>Policy Loans</t>
  </si>
  <si>
    <t>Debtors &amp; Accrued Interest</t>
  </si>
  <si>
    <t>Corporate Bonds</t>
  </si>
  <si>
    <t>Treasury Bonds HTM</t>
  </si>
  <si>
    <t>Treasury Bonds HFT</t>
  </si>
  <si>
    <t>Treasury Bills</t>
  </si>
  <si>
    <t>Cash on Deposit</t>
  </si>
  <si>
    <t>Bank &amp; Cash In Hand</t>
  </si>
  <si>
    <t>Group Companies</t>
  </si>
  <si>
    <t>Tax Provision</t>
  </si>
  <si>
    <t>TOTAL ASSETS</t>
  </si>
  <si>
    <t>CURRENT LIABILITIES</t>
  </si>
  <si>
    <t>Death Claims Outstanding</t>
  </si>
  <si>
    <t>Agents &amp; Brokers Balances</t>
  </si>
  <si>
    <t>Deferred tax</t>
  </si>
  <si>
    <t>Sundry Creditors</t>
  </si>
  <si>
    <t>TOTAL NET ASSETS</t>
  </si>
  <si>
    <t>LESS:INSURANCE FUNDS</t>
  </si>
  <si>
    <t>Life And Pensions Division Statutory Reserve</t>
  </si>
  <si>
    <t>Unit Linked Fund</t>
  </si>
  <si>
    <t>Life And Pensions Capital Reserve</t>
  </si>
  <si>
    <t>NET ASSETS</t>
  </si>
  <si>
    <t>FINANCED BY:-</t>
  </si>
  <si>
    <t>SHARE CAPITAL</t>
  </si>
  <si>
    <t>RETAINED EARNINGS</t>
  </si>
  <si>
    <t>SHAREHOLDERS FUNDS</t>
  </si>
  <si>
    <t>ICEA LION LIFE : SHARE HOLDERS' FUNDS</t>
  </si>
  <si>
    <t>PROFIT &amp; LOSS ACCOUNT</t>
  </si>
  <si>
    <t>Schedule I</t>
  </si>
  <si>
    <t>INVESTMENT INCOME</t>
  </si>
  <si>
    <t>Profit Transferred From Life Fund</t>
  </si>
  <si>
    <t>Revaluation surplus</t>
  </si>
  <si>
    <t>KMPL</t>
  </si>
  <si>
    <t>Interest on goodwill</t>
  </si>
  <si>
    <t>Misceleneous Incomes</t>
  </si>
  <si>
    <t>Exchange Loss on Uganda</t>
  </si>
  <si>
    <t>MANAGEMENT EXPENSES</t>
  </si>
  <si>
    <t>Bank charges/ Directors fees</t>
  </si>
  <si>
    <t>Branches bank items w/off</t>
  </si>
  <si>
    <t>Provision for bad debts</t>
  </si>
  <si>
    <t>Africa private eqty fund Mgt w/off</t>
  </si>
  <si>
    <t>Miscelleneous Expenses</t>
  </si>
  <si>
    <t>Provision for bad debts written back on reinsurances</t>
  </si>
  <si>
    <t>Profit Before Tax</t>
  </si>
  <si>
    <t>Provision For Tax</t>
  </si>
  <si>
    <t>Profit After Taxation</t>
  </si>
  <si>
    <t xml:space="preserve">Share of Associate profit </t>
  </si>
  <si>
    <t>Adjusted Profit After Taxation</t>
  </si>
  <si>
    <t>APPROPRIATION</t>
  </si>
  <si>
    <t>Unappropriated Profit B/F</t>
  </si>
  <si>
    <t>Total Profit Available For Distribution</t>
  </si>
  <si>
    <t>Year Final 2014 dividends</t>
  </si>
  <si>
    <t>Proposed Dividend 2014</t>
  </si>
  <si>
    <t>Unappropriated Profit C/F</t>
  </si>
  <si>
    <t>Additional Lien 2016</t>
  </si>
  <si>
    <t>FXD1/2012/20 DA J</t>
  </si>
  <si>
    <t>FOR THE PERIOD ENDED 31.03.2016</t>
  </si>
  <si>
    <t>FXD2/2013/15-DA K</t>
  </si>
  <si>
    <t>Additional Lien 28.06.2016</t>
  </si>
  <si>
    <t>CENTRAL BANK OF KENYA</t>
  </si>
  <si>
    <t>Fixed</t>
  </si>
  <si>
    <t>REVENUE ACCOUNT AS AT 30/09/2016</t>
  </si>
  <si>
    <t>Total Outstanding Claims 30.09.2016</t>
  </si>
  <si>
    <t>AS AT 30TH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</si>
</sst>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-* #,##0.00_-;\-* #,##0.00_-;_-* &quot;-&quot;??_-;_-@_-"/>
    <numFmt numFmtId="165" formatCode="0.00_)"/>
    <numFmt numFmtId="166" formatCode="mmmm\ d\,\ yyyy"/>
    <numFmt numFmtId="167" formatCode="#,##0;[Red]#,##0"/>
    <numFmt numFmtId="168" formatCode="_-* #,##0_-;\-* #,##0_-;_-* &quot;-&quot;??_-;_-@_-"/>
    <numFmt numFmtId="169" formatCode="0_);\(0\)"/>
    <numFmt numFmtId="170" formatCode="_(* #,##0_);_(* \(#,##0\);_(* &quot;-&quot;??_);_(@_)"/>
    <numFmt numFmtId="171" formatCode="#,##0.0000000_);\(#,##0.0000000\)"/>
    <numFmt numFmtId="172" formatCode="0.0%"/>
    <numFmt numFmtId="173" formatCode="dd\-mmmm\-yy"/>
    <numFmt numFmtId="174" formatCode="0_)"/>
  </numFmts>
  <fonts count="29" x14ac:knownFonts="1">
    <font>
      <sz val="12"/>
      <name val="Helv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Helv"/>
    </font>
    <font>
      <sz val="12"/>
      <color indexed="10"/>
      <name val="Helv"/>
    </font>
    <font>
      <b/>
      <sz val="12"/>
      <name val="Helv"/>
    </font>
    <font>
      <sz val="8"/>
      <name val="Helv"/>
    </font>
    <font>
      <sz val="12"/>
      <color theme="6" tint="0.59999389629810485"/>
      <name val="Helv"/>
    </font>
    <font>
      <b/>
      <sz val="10"/>
      <name val="Bookman Old Style"/>
      <family val="1"/>
    </font>
    <font>
      <sz val="10"/>
      <name val="Garamond"/>
      <family val="1"/>
    </font>
    <font>
      <b/>
      <sz val="10"/>
      <name val="Garamond"/>
      <family val="1"/>
    </font>
    <font>
      <b/>
      <sz val="10"/>
      <color indexed="8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Garamond"/>
      <family val="1"/>
    </font>
    <font>
      <b/>
      <u/>
      <sz val="11"/>
      <name val="Garamond"/>
      <family val="1"/>
    </font>
    <font>
      <b/>
      <sz val="11"/>
      <name val="Garamond"/>
      <family val="1"/>
    </font>
    <font>
      <b/>
      <u/>
      <sz val="10"/>
      <name val="Garamond"/>
      <family val="1"/>
    </font>
    <font>
      <u/>
      <sz val="10"/>
      <name val="Garamond"/>
      <family val="1"/>
    </font>
    <font>
      <b/>
      <sz val="10"/>
      <name val="Bodoni MT"/>
      <family val="1"/>
    </font>
    <font>
      <sz val="10"/>
      <name val="Bodoni MT"/>
      <family val="1"/>
    </font>
    <font>
      <b/>
      <u/>
      <sz val="10"/>
      <name val="Bodoni MT"/>
      <family val="1"/>
    </font>
    <font>
      <b/>
      <sz val="10"/>
      <color indexed="9"/>
      <name val="Bodoni MT"/>
      <family val="1"/>
    </font>
    <font>
      <sz val="10"/>
      <name val="Helv"/>
    </font>
    <font>
      <sz val="11"/>
      <name val="Calibri"/>
      <family val="2"/>
    </font>
    <font>
      <b/>
      <sz val="9"/>
      <name val="Bodoni MT"/>
      <family val="1"/>
    </font>
    <font>
      <sz val="11"/>
      <name val="Calibri"/>
      <family val="2"/>
    </font>
    <font>
      <sz val="12"/>
      <color rgb="FFFF0000"/>
      <name val="Helv"/>
    </font>
    <font>
      <b/>
      <sz val="10"/>
      <color rgb="FFFF0000"/>
      <name val="Bodoni MT"/>
      <family val="1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37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266">
    <xf numFmtId="37" fontId="0" fillId="0" borderId="0" xfId="0"/>
    <xf numFmtId="39" fontId="0" fillId="0" borderId="0" xfId="0" applyNumberFormat="1" applyProtection="1"/>
    <xf numFmtId="37" fontId="0" fillId="0" borderId="1" xfId="0" applyBorder="1"/>
    <xf numFmtId="37" fontId="0" fillId="0" borderId="2" xfId="0" applyBorder="1"/>
    <xf numFmtId="37" fontId="0" fillId="0" borderId="3" xfId="0" applyBorder="1"/>
    <xf numFmtId="37" fontId="0" fillId="0" borderId="4" xfId="0" applyBorder="1"/>
    <xf numFmtId="37" fontId="0" fillId="0" borderId="5" xfId="0" applyBorder="1"/>
    <xf numFmtId="39" fontId="0" fillId="0" borderId="3" xfId="0" applyNumberFormat="1" applyBorder="1" applyProtection="1"/>
    <xf numFmtId="39" fontId="0" fillId="0" borderId="5" xfId="0" applyNumberFormat="1" applyBorder="1" applyProtection="1"/>
    <xf numFmtId="37" fontId="0" fillId="0" borderId="7" xfId="0" applyBorder="1" applyAlignment="1">
      <alignment horizontal="right"/>
    </xf>
    <xf numFmtId="37" fontId="0" fillId="0" borderId="7" xfId="0" applyBorder="1"/>
    <xf numFmtId="166" fontId="0" fillId="0" borderId="7" xfId="0" applyNumberFormat="1" applyBorder="1"/>
    <xf numFmtId="37" fontId="0" fillId="2" borderId="7" xfId="0" quotePrefix="1" applyFill="1" applyBorder="1" applyAlignment="1">
      <alignment horizontal="left"/>
    </xf>
    <xf numFmtId="37" fontId="4" fillId="0" borderId="7" xfId="0" applyFont="1" applyBorder="1"/>
    <xf numFmtId="37" fontId="0" fillId="0" borderId="8" xfId="0" applyBorder="1"/>
    <xf numFmtId="167" fontId="0" fillId="0" borderId="0" xfId="0" applyNumberFormat="1"/>
    <xf numFmtId="15" fontId="0" fillId="0" borderId="0" xfId="0" quotePrefix="1" applyNumberFormat="1" applyAlignment="1">
      <alignment horizontal="left"/>
    </xf>
    <xf numFmtId="37" fontId="0" fillId="2" borderId="0" xfId="0" applyFill="1"/>
    <xf numFmtId="9" fontId="0" fillId="0" borderId="0" xfId="2" applyFont="1"/>
    <xf numFmtId="9" fontId="0" fillId="0" borderId="10" xfId="2" applyFont="1" applyBorder="1"/>
    <xf numFmtId="168" fontId="0" fillId="0" borderId="3" xfId="1" applyNumberFormat="1" applyFont="1" applyBorder="1"/>
    <xf numFmtId="37" fontId="0" fillId="0" borderId="0" xfId="0" quotePrefix="1" applyAlignment="1">
      <alignment horizontal="center"/>
    </xf>
    <xf numFmtId="37" fontId="5" fillId="0" borderId="0" xfId="0" applyFont="1"/>
    <xf numFmtId="37" fontId="0" fillId="0" borderId="18" xfId="0" applyBorder="1"/>
    <xf numFmtId="37" fontId="5" fillId="0" borderId="4" xfId="0" applyFont="1" applyBorder="1"/>
    <xf numFmtId="37" fontId="5" fillId="0" borderId="2" xfId="0" applyFont="1" applyBorder="1"/>
    <xf numFmtId="37" fontId="5" fillId="0" borderId="1" xfId="0" applyFont="1" applyBorder="1"/>
    <xf numFmtId="37" fontId="5" fillId="0" borderId="5" xfId="0" applyFont="1" applyBorder="1"/>
    <xf numFmtId="39" fontId="5" fillId="0" borderId="5" xfId="0" applyNumberFormat="1" applyFont="1" applyBorder="1" applyProtection="1"/>
    <xf numFmtId="37" fontId="3" fillId="0" borderId="4" xfId="0" applyFont="1" applyBorder="1"/>
    <xf numFmtId="37" fontId="3" fillId="0" borderId="1" xfId="0" applyFont="1" applyBorder="1"/>
    <xf numFmtId="37" fontId="3" fillId="0" borderId="5" xfId="0" applyFont="1" applyBorder="1"/>
    <xf numFmtId="39" fontId="3" fillId="0" borderId="5" xfId="0" applyNumberFormat="1" applyFont="1" applyBorder="1" applyProtection="1"/>
    <xf numFmtId="165" fontId="5" fillId="0" borderId="5" xfId="0" applyNumberFormat="1" applyFont="1" applyBorder="1" applyProtection="1"/>
    <xf numFmtId="167" fontId="7" fillId="0" borderId="0" xfId="0" applyNumberFormat="1" applyFont="1"/>
    <xf numFmtId="170" fontId="8" fillId="3" borderId="7" xfId="1" quotePrefix="1" applyNumberFormat="1" applyFont="1" applyFill="1" applyBorder="1"/>
    <xf numFmtId="37" fontId="5" fillId="0" borderId="6" xfId="0" applyFont="1" applyBorder="1"/>
    <xf numFmtId="0" fontId="9" fillId="0" borderId="0" xfId="0" applyNumberFormat="1" applyFont="1"/>
    <xf numFmtId="14" fontId="9" fillId="0" borderId="0" xfId="0" applyNumberFormat="1" applyFont="1"/>
    <xf numFmtId="43" fontId="9" fillId="0" borderId="0" xfId="1" applyNumberFormat="1" applyFont="1"/>
    <xf numFmtId="164" fontId="10" fillId="0" borderId="0" xfId="1" applyFont="1"/>
    <xf numFmtId="37" fontId="9" fillId="0" borderId="0" xfId="0" applyFont="1"/>
    <xf numFmtId="164" fontId="10" fillId="0" borderId="0" xfId="1" applyFont="1" applyFill="1"/>
    <xf numFmtId="43" fontId="11" fillId="0" borderId="0" xfId="1" applyNumberFormat="1" applyFont="1"/>
    <xf numFmtId="37" fontId="9" fillId="0" borderId="0" xfId="0" applyNumberFormat="1" applyFont="1"/>
    <xf numFmtId="37" fontId="14" fillId="0" borderId="0" xfId="0" applyFont="1" applyBorder="1"/>
    <xf numFmtId="37" fontId="14" fillId="0" borderId="0" xfId="0" applyFont="1"/>
    <xf numFmtId="37" fontId="15" fillId="0" borderId="17" xfId="0" applyFont="1" applyBorder="1"/>
    <xf numFmtId="37" fontId="14" fillId="0" borderId="11" xfId="0" applyFont="1" applyBorder="1"/>
    <xf numFmtId="37" fontId="14" fillId="0" borderId="17" xfId="0" applyFont="1" applyBorder="1"/>
    <xf numFmtId="37" fontId="14" fillId="0" borderId="20" xfId="0" applyFont="1" applyBorder="1"/>
    <xf numFmtId="37" fontId="14" fillId="0" borderId="13" xfId="0" applyFont="1" applyBorder="1"/>
    <xf numFmtId="37" fontId="16" fillId="0" borderId="12" xfId="0" applyFont="1" applyBorder="1"/>
    <xf numFmtId="37" fontId="16" fillId="0" borderId="19" xfId="0" applyFont="1" applyBorder="1" applyAlignment="1">
      <alignment horizontal="center"/>
    </xf>
    <xf numFmtId="37" fontId="16" fillId="0" borderId="6" xfId="0" applyFont="1" applyBorder="1" applyAlignment="1">
      <alignment horizontal="center"/>
    </xf>
    <xf numFmtId="37" fontId="16" fillId="0" borderId="21" xfId="0" applyFont="1" applyBorder="1" applyAlignment="1">
      <alignment horizontal="center"/>
    </xf>
    <xf numFmtId="37" fontId="16" fillId="0" borderId="13" xfId="0" applyFont="1" applyBorder="1"/>
    <xf numFmtId="37" fontId="16" fillId="0" borderId="12" xfId="0" applyNumberFormat="1" applyFont="1" applyBorder="1"/>
    <xf numFmtId="37" fontId="14" fillId="0" borderId="12" xfId="0" applyFont="1" applyBorder="1"/>
    <xf numFmtId="37" fontId="15" fillId="0" borderId="12" xfId="0" applyNumberFormat="1" applyFont="1" applyBorder="1"/>
    <xf numFmtId="37" fontId="14" fillId="0" borderId="23" xfId="0" applyFont="1" applyBorder="1"/>
    <xf numFmtId="37" fontId="14" fillId="0" borderId="9" xfId="0" applyFont="1" applyBorder="1"/>
    <xf numFmtId="37" fontId="14" fillId="0" borderId="16" xfId="0" applyFont="1" applyBorder="1"/>
    <xf numFmtId="37" fontId="14" fillId="0" borderId="0" xfId="0" applyFont="1" applyFill="1" applyBorder="1"/>
    <xf numFmtId="168" fontId="16" fillId="0" borderId="16" xfId="1" applyNumberFormat="1" applyFont="1" applyBorder="1"/>
    <xf numFmtId="37" fontId="16" fillId="0" borderId="13" xfId="0" applyFont="1" applyFill="1" applyBorder="1"/>
    <xf numFmtId="37" fontId="14" fillId="0" borderId="14" xfId="0" applyFont="1" applyBorder="1"/>
    <xf numFmtId="37" fontId="14" fillId="0" borderId="15" xfId="0" applyFont="1" applyBorder="1"/>
    <xf numFmtId="37" fontId="14" fillId="0" borderId="22" xfId="0" applyFont="1" applyBorder="1"/>
    <xf numFmtId="37" fontId="17" fillId="0" borderId="0" xfId="0" quotePrefix="1" applyFont="1" applyBorder="1" applyAlignment="1">
      <alignment horizontal="left"/>
    </xf>
    <xf numFmtId="169" fontId="17" fillId="0" borderId="0" xfId="0" applyNumberFormat="1" applyFont="1" applyBorder="1"/>
    <xf numFmtId="37" fontId="9" fillId="0" borderId="6" xfId="0" applyFont="1" applyBorder="1"/>
    <xf numFmtId="37" fontId="9" fillId="0" borderId="0" xfId="0" applyFont="1" applyBorder="1"/>
    <xf numFmtId="37" fontId="9" fillId="0" borderId="0" xfId="0" applyFont="1" applyFill="1" applyBorder="1"/>
    <xf numFmtId="37" fontId="17" fillId="0" borderId="0" xfId="0" applyFont="1" applyBorder="1"/>
    <xf numFmtId="37" fontId="9" fillId="0" borderId="0" xfId="0" quotePrefix="1" applyFont="1" applyBorder="1" applyAlignment="1">
      <alignment horizontal="left"/>
    </xf>
    <xf numFmtId="37" fontId="9" fillId="0" borderId="0" xfId="0" applyFont="1" applyFill="1"/>
    <xf numFmtId="37" fontId="9" fillId="0" borderId="0" xfId="0" applyFont="1" applyBorder="1" applyAlignment="1">
      <alignment horizontal="left"/>
    </xf>
    <xf numFmtId="37" fontId="18" fillId="0" borderId="0" xfId="0" quotePrefix="1" applyFont="1" applyBorder="1" applyAlignment="1">
      <alignment horizontal="left"/>
    </xf>
    <xf numFmtId="37" fontId="9" fillId="4" borderId="9" xfId="0" applyFont="1" applyFill="1" applyBorder="1"/>
    <xf numFmtId="37" fontId="9" fillId="4" borderId="0" xfId="0" quotePrefix="1" applyFont="1" applyFill="1" applyBorder="1" applyAlignment="1">
      <alignment horizontal="left"/>
    </xf>
    <xf numFmtId="37" fontId="9" fillId="4" borderId="0" xfId="0" applyFont="1" applyFill="1" applyBorder="1"/>
    <xf numFmtId="37" fontId="9" fillId="4" borderId="0" xfId="0" applyFont="1" applyFill="1"/>
    <xf numFmtId="37" fontId="9" fillId="4" borderId="0" xfId="0" applyFont="1" applyFill="1" applyBorder="1" applyAlignment="1">
      <alignment horizontal="left"/>
    </xf>
    <xf numFmtId="37" fontId="9" fillId="0" borderId="0" xfId="0" applyFont="1" applyFill="1" applyBorder="1" applyAlignment="1">
      <alignment horizontal="left"/>
    </xf>
    <xf numFmtId="37" fontId="9" fillId="0" borderId="0" xfId="0" quotePrefix="1" applyFont="1" applyFill="1" applyBorder="1" applyAlignment="1">
      <alignment horizontal="left"/>
    </xf>
    <xf numFmtId="164" fontId="10" fillId="4" borderId="9" xfId="1" applyFont="1" applyFill="1" applyBorder="1"/>
    <xf numFmtId="37" fontId="10" fillId="4" borderId="0" xfId="0" applyFont="1" applyFill="1"/>
    <xf numFmtId="43" fontId="11" fillId="0" borderId="0" xfId="1" applyNumberFormat="1" applyFont="1" applyFill="1"/>
    <xf numFmtId="164" fontId="10" fillId="0" borderId="0" xfId="1" applyFont="1" applyFill="1" applyBorder="1"/>
    <xf numFmtId="164" fontId="9" fillId="0" borderId="0" xfId="1" applyFont="1" applyFill="1"/>
    <xf numFmtId="164" fontId="9" fillId="4" borderId="9" xfId="1" applyFont="1" applyFill="1" applyBorder="1"/>
    <xf numFmtId="37" fontId="20" fillId="0" borderId="0" xfId="0" applyFont="1"/>
    <xf numFmtId="37" fontId="20" fillId="0" borderId="0" xfId="0" applyFont="1" applyFill="1"/>
    <xf numFmtId="170" fontId="20" fillId="0" borderId="0" xfId="0" applyNumberFormat="1" applyFont="1"/>
    <xf numFmtId="37" fontId="20" fillId="0" borderId="26" xfId="0" applyFont="1" applyBorder="1"/>
    <xf numFmtId="170" fontId="19" fillId="0" borderId="0" xfId="1" applyNumberFormat="1" applyFont="1" applyFill="1" applyBorder="1" applyProtection="1"/>
    <xf numFmtId="39" fontId="21" fillId="0" borderId="34" xfId="4" applyNumberFormat="1" applyFont="1" applyBorder="1" applyProtection="1"/>
    <xf numFmtId="39" fontId="21" fillId="0" borderId="0" xfId="4" applyNumberFormat="1" applyFont="1" applyBorder="1" applyProtection="1"/>
    <xf numFmtId="39" fontId="19" fillId="0" borderId="34" xfId="4" applyNumberFormat="1" applyFont="1" applyBorder="1" applyProtection="1"/>
    <xf numFmtId="39" fontId="19" fillId="0" borderId="0" xfId="4" applyNumberFormat="1" applyFont="1" applyBorder="1" applyProtection="1"/>
    <xf numFmtId="170" fontId="19" fillId="9" borderId="25" xfId="1" applyNumberFormat="1" applyFont="1" applyFill="1" applyBorder="1" applyProtection="1"/>
    <xf numFmtId="170" fontId="19" fillId="10" borderId="25" xfId="1" applyNumberFormat="1" applyFont="1" applyFill="1" applyBorder="1" applyProtection="1"/>
    <xf numFmtId="170" fontId="19" fillId="11" borderId="29" xfId="1" applyNumberFormat="1" applyFont="1" applyFill="1" applyBorder="1" applyProtection="1"/>
    <xf numFmtId="170" fontId="19" fillId="9" borderId="26" xfId="1" applyNumberFormat="1" applyFont="1" applyFill="1" applyBorder="1" applyProtection="1"/>
    <xf numFmtId="170" fontId="19" fillId="0" borderId="26" xfId="1" applyNumberFormat="1" applyFont="1" applyFill="1" applyBorder="1" applyProtection="1"/>
    <xf numFmtId="170" fontId="19" fillId="11" borderId="31" xfId="1" applyNumberFormat="1" applyFont="1" applyFill="1" applyBorder="1" applyProtection="1"/>
    <xf numFmtId="170" fontId="19" fillId="9" borderId="0" xfId="1" applyNumberFormat="1" applyFont="1" applyFill="1" applyBorder="1" applyProtection="1"/>
    <xf numFmtId="170" fontId="19" fillId="10" borderId="0" xfId="1" applyNumberFormat="1" applyFont="1" applyFill="1" applyBorder="1" applyProtection="1"/>
    <xf numFmtId="170" fontId="19" fillId="11" borderId="35" xfId="1" applyNumberFormat="1" applyFont="1" applyFill="1" applyBorder="1" applyProtection="1"/>
    <xf numFmtId="170" fontId="19" fillId="9" borderId="9" xfId="1" applyNumberFormat="1" applyFont="1" applyFill="1" applyBorder="1" applyProtection="1"/>
    <xf numFmtId="170" fontId="19" fillId="10" borderId="9" xfId="1" applyNumberFormat="1" applyFont="1" applyFill="1" applyBorder="1" applyProtection="1"/>
    <xf numFmtId="170" fontId="19" fillId="11" borderId="41" xfId="1" applyNumberFormat="1" applyFont="1" applyFill="1" applyBorder="1" applyProtection="1"/>
    <xf numFmtId="37" fontId="20" fillId="0" borderId="24" xfId="0" applyFont="1" applyBorder="1"/>
    <xf numFmtId="37" fontId="20" fillId="0" borderId="34" xfId="0" applyFont="1" applyBorder="1"/>
    <xf numFmtId="37" fontId="19" fillId="0" borderId="0" xfId="0" applyFont="1"/>
    <xf numFmtId="37" fontId="19" fillId="0" borderId="35" xfId="0" applyFont="1" applyBorder="1"/>
    <xf numFmtId="170" fontId="19" fillId="0" borderId="35" xfId="1" applyNumberFormat="1" applyFont="1" applyFill="1" applyBorder="1" applyAlignment="1"/>
    <xf numFmtId="37" fontId="19" fillId="0" borderId="34" xfId="0" applyFont="1" applyFill="1" applyBorder="1"/>
    <xf numFmtId="170" fontId="22" fillId="5" borderId="0" xfId="1" applyNumberFormat="1" applyFont="1" applyFill="1" applyBorder="1"/>
    <xf numFmtId="170" fontId="19" fillId="0" borderId="0" xfId="1" applyNumberFormat="1" applyFont="1" applyFill="1" applyBorder="1"/>
    <xf numFmtId="170" fontId="19" fillId="6" borderId="0" xfId="1" applyNumberFormat="1" applyFont="1" applyFill="1" applyBorder="1"/>
    <xf numFmtId="170" fontId="19" fillId="0" borderId="0" xfId="1" applyNumberFormat="1" applyFont="1" applyFill="1" applyBorder="1" applyAlignment="1"/>
    <xf numFmtId="37" fontId="19" fillId="0" borderId="34" xfId="0" applyFont="1" applyBorder="1"/>
    <xf numFmtId="170" fontId="19" fillId="5" borderId="0" xfId="1" applyNumberFormat="1" applyFont="1" applyFill="1" applyBorder="1" applyAlignment="1">
      <alignment horizontal="right"/>
    </xf>
    <xf numFmtId="170" fontId="19" fillId="0" borderId="0" xfId="1" applyNumberFormat="1" applyFont="1" applyFill="1" applyBorder="1" applyAlignment="1">
      <alignment horizontal="right"/>
    </xf>
    <xf numFmtId="170" fontId="19" fillId="6" borderId="0" xfId="1" applyNumberFormat="1" applyFont="1" applyFill="1" applyBorder="1" applyAlignment="1">
      <alignment horizontal="right"/>
    </xf>
    <xf numFmtId="37" fontId="19" fillId="0" borderId="0" xfId="0" applyFont="1" applyFill="1" applyBorder="1" applyAlignment="1"/>
    <xf numFmtId="170" fontId="19" fillId="0" borderId="34" xfId="1" applyNumberFormat="1" applyFont="1" applyFill="1" applyBorder="1" applyProtection="1"/>
    <xf numFmtId="170" fontId="19" fillId="0" borderId="0" xfId="1" applyNumberFormat="1" applyFont="1" applyFill="1" applyBorder="1" applyAlignment="1">
      <alignment horizontal="center"/>
    </xf>
    <xf numFmtId="49" fontId="19" fillId="0" borderId="0" xfId="0" applyNumberFormat="1" applyFont="1" applyBorder="1"/>
    <xf numFmtId="170" fontId="19" fillId="0" borderId="34" xfId="0" applyNumberFormat="1" applyFont="1" applyBorder="1"/>
    <xf numFmtId="164" fontId="19" fillId="0" borderId="34" xfId="1" applyFont="1" applyBorder="1"/>
    <xf numFmtId="170" fontId="19" fillId="5" borderId="0" xfId="1" applyNumberFormat="1" applyFont="1" applyFill="1" applyBorder="1"/>
    <xf numFmtId="164" fontId="19" fillId="0" borderId="32" xfId="1" applyFont="1" applyBorder="1"/>
    <xf numFmtId="170" fontId="19" fillId="5" borderId="24" xfId="1" applyNumberFormat="1" applyFont="1" applyFill="1" applyBorder="1" applyAlignment="1">
      <alignment horizontal="right"/>
    </xf>
    <xf numFmtId="170" fontId="19" fillId="0" borderId="24" xfId="1" applyNumberFormat="1" applyFont="1" applyFill="1" applyBorder="1" applyAlignment="1">
      <alignment horizontal="right"/>
    </xf>
    <xf numFmtId="170" fontId="19" fillId="6" borderId="24" xfId="1" applyNumberFormat="1" applyFont="1" applyFill="1" applyBorder="1" applyAlignment="1">
      <alignment horizontal="right"/>
    </xf>
    <xf numFmtId="170" fontId="19" fillId="0" borderId="24" xfId="1" applyNumberFormat="1" applyFont="1" applyFill="1" applyBorder="1" applyAlignment="1"/>
    <xf numFmtId="37" fontId="19" fillId="0" borderId="34" xfId="0" applyFont="1" applyBorder="1" applyAlignment="1">
      <alignment horizontal="fill"/>
    </xf>
    <xf numFmtId="170" fontId="19" fillId="5" borderId="0" xfId="1" applyNumberFormat="1" applyFont="1" applyFill="1" applyBorder="1" applyAlignment="1">
      <alignment horizontal="fill"/>
    </xf>
    <xf numFmtId="170" fontId="19" fillId="0" borderId="0" xfId="1" applyNumberFormat="1" applyFont="1" applyFill="1" applyBorder="1" applyAlignment="1">
      <alignment horizontal="fill"/>
    </xf>
    <xf numFmtId="170" fontId="19" fillId="5" borderId="0" xfId="1" applyNumberFormat="1" applyFont="1" applyFill="1" applyBorder="1" applyProtection="1"/>
    <xf numFmtId="43" fontId="19" fillId="0" borderId="35" xfId="0" applyNumberFormat="1" applyFont="1" applyBorder="1"/>
    <xf numFmtId="37" fontId="19" fillId="0" borderId="34" xfId="0" applyNumberFormat="1" applyFont="1" applyBorder="1" applyAlignment="1">
      <alignment horizontal="fill"/>
    </xf>
    <xf numFmtId="170" fontId="19" fillId="0" borderId="0" xfId="1" applyNumberFormat="1" applyFont="1" applyFill="1" applyBorder="1" applyAlignment="1" applyProtection="1"/>
    <xf numFmtId="37" fontId="19" fillId="0" borderId="28" xfId="0" applyFont="1" applyBorder="1"/>
    <xf numFmtId="170" fontId="19" fillId="5" borderId="25" xfId="1" applyNumberFormat="1" applyFont="1" applyFill="1" applyBorder="1" applyProtection="1"/>
    <xf numFmtId="170" fontId="19" fillId="0" borderId="25" xfId="1" applyNumberFormat="1" applyFont="1" applyFill="1" applyBorder="1" applyProtection="1"/>
    <xf numFmtId="37" fontId="19" fillId="0" borderId="34" xfId="0" applyFont="1" applyBorder="1" applyAlignment="1"/>
    <xf numFmtId="37" fontId="19" fillId="0" borderId="30" xfId="0" applyNumberFormat="1" applyFont="1" applyBorder="1" applyAlignment="1"/>
    <xf numFmtId="37" fontId="19" fillId="0" borderId="30" xfId="0" applyFont="1" applyBorder="1" applyAlignment="1"/>
    <xf numFmtId="37" fontId="19" fillId="0" borderId="32" xfId="0" applyFont="1" applyBorder="1" applyAlignment="1"/>
    <xf numFmtId="37" fontId="19" fillId="0" borderId="28" xfId="0" applyFont="1" applyBorder="1" applyAlignment="1"/>
    <xf numFmtId="170" fontId="19" fillId="6" borderId="0" xfId="1" applyNumberFormat="1" applyFont="1" applyFill="1" applyBorder="1" applyProtection="1"/>
    <xf numFmtId="170" fontId="19" fillId="0" borderId="34" xfId="1" applyNumberFormat="1" applyFont="1" applyBorder="1" applyAlignment="1"/>
    <xf numFmtId="170" fontId="19" fillId="0" borderId="35" xfId="0" applyNumberFormat="1" applyFont="1" applyBorder="1"/>
    <xf numFmtId="170" fontId="19" fillId="7" borderId="25" xfId="1" applyNumberFormat="1" applyFont="1" applyFill="1" applyBorder="1" applyProtection="1"/>
    <xf numFmtId="168" fontId="19" fillId="0" borderId="0" xfId="1" applyNumberFormat="1" applyFont="1" applyFill="1" applyBorder="1" applyProtection="1"/>
    <xf numFmtId="164" fontId="19" fillId="0" borderId="0" xfId="1" applyNumberFormat="1" applyFont="1" applyFill="1" applyBorder="1" applyProtection="1"/>
    <xf numFmtId="171" fontId="19" fillId="0" borderId="34" xfId="0" applyNumberFormat="1" applyFont="1" applyBorder="1" applyAlignment="1">
      <alignment horizontal="fill"/>
    </xf>
    <xf numFmtId="170" fontId="19" fillId="6" borderId="0" xfId="1" applyNumberFormat="1" applyFont="1" applyFill="1" applyBorder="1" applyAlignment="1">
      <alignment horizontal="fill"/>
    </xf>
    <xf numFmtId="170" fontId="19" fillId="6" borderId="25" xfId="1" applyNumberFormat="1" applyFont="1" applyFill="1" applyBorder="1" applyAlignment="1">
      <alignment horizontal="right"/>
    </xf>
    <xf numFmtId="170" fontId="19" fillId="0" borderId="25" xfId="1" applyNumberFormat="1" applyFont="1" applyFill="1" applyBorder="1" applyAlignment="1">
      <alignment horizontal="right"/>
    </xf>
    <xf numFmtId="170" fontId="19" fillId="7" borderId="0" xfId="1" applyNumberFormat="1" applyFont="1" applyFill="1" applyBorder="1" applyProtection="1"/>
    <xf numFmtId="37" fontId="19" fillId="0" borderId="30" xfId="0" applyFont="1" applyBorder="1"/>
    <xf numFmtId="170" fontId="19" fillId="6" borderId="26" xfId="1" applyNumberFormat="1" applyFont="1" applyFill="1" applyBorder="1" applyProtection="1"/>
    <xf numFmtId="170" fontId="19" fillId="0" borderId="26" xfId="1" applyNumberFormat="1" applyFont="1" applyFill="1" applyBorder="1" applyAlignment="1" applyProtection="1"/>
    <xf numFmtId="37" fontId="19" fillId="0" borderId="42" xfId="0" applyFont="1" applyBorder="1"/>
    <xf numFmtId="170" fontId="19" fillId="6" borderId="27" xfId="1" applyNumberFormat="1" applyFont="1" applyFill="1" applyBorder="1" applyProtection="1"/>
    <xf numFmtId="170" fontId="19" fillId="0" borderId="27" xfId="1" applyNumberFormat="1" applyFont="1" applyFill="1" applyBorder="1" applyProtection="1"/>
    <xf numFmtId="164" fontId="19" fillId="0" borderId="35" xfId="1" applyFont="1" applyBorder="1"/>
    <xf numFmtId="37" fontId="19" fillId="0" borderId="32" xfId="0" applyFont="1" applyBorder="1"/>
    <xf numFmtId="37" fontId="19" fillId="0" borderId="24" xfId="0" applyFont="1" applyBorder="1"/>
    <xf numFmtId="37" fontId="19" fillId="0" borderId="33" xfId="0" applyFont="1" applyBorder="1"/>
    <xf numFmtId="172" fontId="19" fillId="0" borderId="0" xfId="2" applyNumberFormat="1" applyFont="1"/>
    <xf numFmtId="37" fontId="23" fillId="0" borderId="0" xfId="0" applyFont="1"/>
    <xf numFmtId="37" fontId="22" fillId="0" borderId="0" xfId="0" applyFont="1"/>
    <xf numFmtId="174" fontId="19" fillId="0" borderId="30" xfId="0" quotePrefix="1" applyNumberFormat="1" applyFont="1" applyFill="1" applyBorder="1" applyAlignment="1" applyProtection="1">
      <alignment horizontal="center"/>
    </xf>
    <xf numFmtId="0" fontId="19" fillId="8" borderId="31" xfId="0" applyNumberFormat="1" applyFont="1" applyFill="1" applyBorder="1" applyAlignment="1" applyProtection="1">
      <alignment horizontal="center"/>
    </xf>
    <xf numFmtId="174" fontId="19" fillId="0" borderId="32" xfId="0" applyNumberFormat="1" applyFont="1" applyFill="1" applyBorder="1" applyAlignment="1" applyProtection="1">
      <alignment horizontal="center"/>
    </xf>
    <xf numFmtId="39" fontId="19" fillId="8" borderId="33" xfId="0" applyNumberFormat="1" applyFont="1" applyFill="1" applyBorder="1" applyAlignment="1" applyProtection="1">
      <alignment horizontal="center"/>
    </xf>
    <xf numFmtId="37" fontId="19" fillId="0" borderId="34" xfId="0" applyNumberFormat="1" applyFont="1" applyFill="1" applyBorder="1" applyAlignment="1" applyProtection="1">
      <alignment horizontal="fill"/>
    </xf>
    <xf numFmtId="39" fontId="20" fillId="8" borderId="35" xfId="0" applyNumberFormat="1" applyFont="1" applyFill="1" applyBorder="1" applyAlignment="1" applyProtection="1">
      <alignment horizontal="fill"/>
    </xf>
    <xf numFmtId="37" fontId="20" fillId="8" borderId="35" xfId="0" applyFont="1" applyFill="1" applyBorder="1"/>
    <xf numFmtId="170" fontId="19" fillId="0" borderId="34" xfId="3" applyNumberFormat="1" applyFont="1" applyFill="1" applyBorder="1" applyProtection="1"/>
    <xf numFmtId="170" fontId="19" fillId="8" borderId="35" xfId="3" applyNumberFormat="1" applyFont="1" applyFill="1" applyBorder="1" applyProtection="1"/>
    <xf numFmtId="170" fontId="19" fillId="0" borderId="34" xfId="3" applyNumberFormat="1" applyFont="1" applyFill="1" applyBorder="1" applyAlignment="1" applyProtection="1">
      <alignment horizontal="fill"/>
    </xf>
    <xf numFmtId="170" fontId="19" fillId="8" borderId="35" xfId="3" applyNumberFormat="1" applyFont="1" applyFill="1" applyBorder="1" applyAlignment="1" applyProtection="1">
      <alignment horizontal="fill"/>
    </xf>
    <xf numFmtId="170" fontId="19" fillId="0" borderId="28" xfId="3" applyNumberFormat="1" applyFont="1" applyFill="1" applyBorder="1" applyProtection="1"/>
    <xf numFmtId="170" fontId="19" fillId="8" borderId="29" xfId="3" applyNumberFormat="1" applyFont="1" applyFill="1" applyBorder="1" applyProtection="1"/>
    <xf numFmtId="170" fontId="20" fillId="0" borderId="0" xfId="3" applyNumberFormat="1" applyFont="1" applyFill="1" applyProtection="1"/>
    <xf numFmtId="170" fontId="19" fillId="0" borderId="36" xfId="3" applyNumberFormat="1" applyFont="1" applyFill="1" applyBorder="1" applyProtection="1"/>
    <xf numFmtId="170" fontId="19" fillId="8" borderId="37" xfId="3" applyNumberFormat="1" applyFont="1" applyFill="1" applyBorder="1" applyProtection="1"/>
    <xf numFmtId="37" fontId="20" fillId="0" borderId="22" xfId="0" applyFont="1" applyBorder="1"/>
    <xf numFmtId="37" fontId="20" fillId="8" borderId="37" xfId="0" applyFont="1" applyFill="1" applyBorder="1"/>
    <xf numFmtId="170" fontId="19" fillId="0" borderId="38" xfId="3" applyNumberFormat="1" applyFont="1" applyFill="1" applyBorder="1" applyProtection="1"/>
    <xf numFmtId="170" fontId="19" fillId="8" borderId="39" xfId="3" applyNumberFormat="1" applyFont="1" applyFill="1" applyBorder="1" applyProtection="1"/>
    <xf numFmtId="37" fontId="20" fillId="0" borderId="10" xfId="0" applyFont="1" applyBorder="1"/>
    <xf numFmtId="170" fontId="20" fillId="8" borderId="35" xfId="3" applyNumberFormat="1" applyFont="1" applyFill="1" applyBorder="1" applyAlignment="1" applyProtection="1">
      <alignment horizontal="fill"/>
    </xf>
    <xf numFmtId="170" fontId="19" fillId="0" borderId="40" xfId="3" applyNumberFormat="1" applyFont="1" applyFill="1" applyBorder="1" applyProtection="1"/>
    <xf numFmtId="170" fontId="19" fillId="8" borderId="41" xfId="3" applyNumberFormat="1" applyFont="1" applyFill="1" applyBorder="1" applyProtection="1"/>
    <xf numFmtId="170" fontId="20" fillId="8" borderId="35" xfId="3" applyNumberFormat="1" applyFont="1" applyFill="1" applyBorder="1"/>
    <xf numFmtId="170" fontId="20" fillId="8" borderId="35" xfId="3" applyNumberFormat="1" applyFont="1" applyFill="1" applyBorder="1" applyProtection="1"/>
    <xf numFmtId="170" fontId="23" fillId="0" borderId="0" xfId="1" applyNumberFormat="1" applyFont="1"/>
    <xf numFmtId="37" fontId="19" fillId="0" borderId="0" xfId="4" applyNumberFormat="1" applyFont="1" applyBorder="1" applyProtection="1"/>
    <xf numFmtId="170" fontId="19" fillId="0" borderId="0" xfId="1" applyNumberFormat="1" applyFont="1" applyBorder="1" applyProtection="1"/>
    <xf numFmtId="170" fontId="19" fillId="0" borderId="35" xfId="1" applyNumberFormat="1" applyFont="1" applyBorder="1"/>
    <xf numFmtId="170" fontId="19" fillId="0" borderId="35" xfId="1" applyNumberFormat="1" applyFont="1" applyBorder="1" applyProtection="1"/>
    <xf numFmtId="39" fontId="19" fillId="0" borderId="30" xfId="4" applyNumberFormat="1" applyFont="1" applyBorder="1" applyProtection="1"/>
    <xf numFmtId="39" fontId="19" fillId="0" borderId="26" xfId="4" applyNumberFormat="1" applyFont="1" applyBorder="1" applyProtection="1"/>
    <xf numFmtId="170" fontId="19" fillId="9" borderId="26" xfId="1" applyNumberFormat="1" applyFont="1" applyFill="1" applyBorder="1" applyAlignment="1" applyProtection="1">
      <alignment horizontal="center"/>
    </xf>
    <xf numFmtId="170" fontId="19" fillId="10" borderId="26" xfId="1" applyNumberFormat="1" applyFont="1" applyFill="1" applyBorder="1" applyAlignment="1" applyProtection="1">
      <alignment horizontal="center"/>
    </xf>
    <xf numFmtId="170" fontId="19" fillId="11" borderId="31" xfId="1" applyNumberFormat="1" applyFont="1" applyFill="1" applyBorder="1" applyAlignment="1" applyProtection="1">
      <alignment horizontal="center"/>
    </xf>
    <xf numFmtId="1" fontId="19" fillId="9" borderId="0" xfId="1" applyNumberFormat="1" applyFont="1" applyFill="1" applyBorder="1" applyAlignment="1" applyProtection="1">
      <alignment horizontal="center"/>
    </xf>
    <xf numFmtId="1" fontId="19" fillId="10" borderId="0" xfId="1" applyNumberFormat="1" applyFont="1" applyFill="1" applyBorder="1" applyAlignment="1" applyProtection="1">
      <alignment horizontal="center"/>
    </xf>
    <xf numFmtId="1" fontId="19" fillId="11" borderId="35" xfId="1" applyNumberFormat="1" applyFont="1" applyFill="1" applyBorder="1" applyAlignment="1" applyProtection="1">
      <alignment horizontal="center"/>
    </xf>
    <xf numFmtId="170" fontId="19" fillId="10" borderId="0" xfId="1" applyNumberFormat="1" applyFont="1" applyFill="1" applyBorder="1" applyAlignment="1" applyProtection="1">
      <alignment horizontal="center"/>
    </xf>
    <xf numFmtId="39" fontId="19" fillId="0" borderId="32" xfId="4" applyNumberFormat="1" applyFont="1" applyBorder="1" applyProtection="1"/>
    <xf numFmtId="39" fontId="19" fillId="0" borderId="24" xfId="4" applyNumberFormat="1" applyFont="1" applyBorder="1" applyProtection="1"/>
    <xf numFmtId="170" fontId="19" fillId="9" borderId="24" xfId="1" applyNumberFormat="1" applyFont="1" applyFill="1" applyBorder="1" applyAlignment="1" applyProtection="1">
      <alignment horizontal="center"/>
    </xf>
    <xf numFmtId="170" fontId="19" fillId="10" borderId="24" xfId="1" applyNumberFormat="1" applyFont="1" applyFill="1" applyBorder="1" applyAlignment="1" applyProtection="1">
      <alignment horizontal="center"/>
    </xf>
    <xf numFmtId="170" fontId="19" fillId="11" borderId="33" xfId="1" applyNumberFormat="1" applyFont="1" applyFill="1" applyBorder="1" applyAlignment="1" applyProtection="1">
      <alignment horizontal="center"/>
    </xf>
    <xf numFmtId="39" fontId="19" fillId="0" borderId="34" xfId="4" applyNumberFormat="1" applyFont="1" applyBorder="1" applyAlignment="1" applyProtection="1">
      <alignment horizontal="left"/>
    </xf>
    <xf numFmtId="170" fontId="19" fillId="12" borderId="35" xfId="1" applyNumberFormat="1" applyFont="1" applyFill="1" applyBorder="1" applyProtection="1"/>
    <xf numFmtId="164" fontId="19" fillId="9" borderId="0" xfId="1" applyFont="1" applyFill="1" applyBorder="1" applyProtection="1"/>
    <xf numFmtId="37" fontId="9" fillId="13" borderId="0" xfId="0" applyFont="1" applyFill="1"/>
    <xf numFmtId="37" fontId="9" fillId="13" borderId="0" xfId="0" applyFont="1" applyFill="1" applyBorder="1"/>
    <xf numFmtId="164" fontId="9" fillId="0" borderId="0" xfId="1" applyFont="1"/>
    <xf numFmtId="164" fontId="9" fillId="0" borderId="0" xfId="1" applyFont="1" applyBorder="1"/>
    <xf numFmtId="170" fontId="19" fillId="0" borderId="0" xfId="1" applyNumberFormat="1" applyFont="1"/>
    <xf numFmtId="164" fontId="9" fillId="13" borderId="0" xfId="1" applyFont="1" applyFill="1"/>
    <xf numFmtId="14" fontId="24" fillId="0" borderId="0" xfId="0" applyNumberFormat="1" applyFont="1" applyFill="1" applyBorder="1"/>
    <xf numFmtId="0" fontId="9" fillId="14" borderId="0" xfId="0" applyNumberFormat="1" applyFont="1" applyFill="1"/>
    <xf numFmtId="170" fontId="25" fillId="0" borderId="34" xfId="3" applyNumberFormat="1" applyFont="1" applyFill="1" applyBorder="1" applyProtection="1"/>
    <xf numFmtId="0" fontId="26" fillId="0" borderId="0" xfId="0" applyNumberFormat="1" applyFont="1" applyFill="1" applyBorder="1"/>
    <xf numFmtId="14" fontId="9" fillId="13" borderId="0" xfId="0" applyNumberFormat="1" applyFont="1" applyFill="1"/>
    <xf numFmtId="164" fontId="10" fillId="13" borderId="0" xfId="1" applyFont="1" applyFill="1"/>
    <xf numFmtId="37" fontId="27" fillId="0" borderId="3" xfId="0" applyFont="1" applyBorder="1"/>
    <xf numFmtId="37" fontId="0" fillId="0" borderId="5" xfId="0" applyFont="1" applyBorder="1"/>
    <xf numFmtId="37" fontId="28" fillId="0" borderId="0" xfId="0" applyFont="1"/>
    <xf numFmtId="37" fontId="0" fillId="0" borderId="0" xfId="0" applyAlignment="1">
      <alignment horizontal="center"/>
    </xf>
    <xf numFmtId="37" fontId="19" fillId="0" borderId="0" xfId="0" applyFont="1" applyAlignment="1">
      <alignment horizontal="center"/>
    </xf>
    <xf numFmtId="173" fontId="19" fillId="0" borderId="0" xfId="0" applyNumberFormat="1" applyFont="1" applyAlignment="1">
      <alignment horizontal="center"/>
    </xf>
    <xf numFmtId="37" fontId="19" fillId="0" borderId="28" xfId="0" applyFont="1" applyFill="1" applyBorder="1" applyAlignment="1">
      <alignment horizontal="center"/>
    </xf>
    <xf numFmtId="37" fontId="19" fillId="0" borderId="29" xfId="0" applyFont="1" applyFill="1" applyBorder="1" applyAlignment="1">
      <alignment horizontal="center"/>
    </xf>
    <xf numFmtId="170" fontId="19" fillId="14" borderId="28" xfId="1" applyNumberFormat="1" applyFont="1" applyFill="1" applyBorder="1" applyAlignment="1">
      <alignment horizontal="center"/>
    </xf>
    <xf numFmtId="170" fontId="19" fillId="14" borderId="29" xfId="1" applyNumberFormat="1" applyFont="1" applyFill="1" applyBorder="1" applyAlignment="1">
      <alignment horizontal="center"/>
    </xf>
    <xf numFmtId="37" fontId="19" fillId="14" borderId="28" xfId="0" applyFont="1" applyFill="1" applyBorder="1" applyAlignment="1">
      <alignment horizontal="center"/>
    </xf>
    <xf numFmtId="37" fontId="19" fillId="14" borderId="29" xfId="0" applyFont="1" applyFill="1" applyBorder="1" applyAlignment="1">
      <alignment horizontal="center"/>
    </xf>
    <xf numFmtId="37" fontId="19" fillId="0" borderId="30" xfId="0" applyFont="1" applyBorder="1" applyAlignment="1">
      <alignment horizontal="center"/>
    </xf>
    <xf numFmtId="37" fontId="19" fillId="0" borderId="26" xfId="0" applyFont="1" applyBorder="1" applyAlignment="1">
      <alignment horizontal="center"/>
    </xf>
    <xf numFmtId="37" fontId="19" fillId="0" borderId="31" xfId="0" applyFont="1" applyBorder="1" applyAlignment="1">
      <alignment horizontal="center"/>
    </xf>
    <xf numFmtId="37" fontId="19" fillId="0" borderId="34" xfId="0" applyFont="1" applyBorder="1" applyAlignment="1">
      <alignment horizontal="center"/>
    </xf>
    <xf numFmtId="37" fontId="19" fillId="0" borderId="0" xfId="0" applyFont="1" applyBorder="1" applyAlignment="1">
      <alignment horizontal="center"/>
    </xf>
    <xf numFmtId="37" fontId="19" fillId="0" borderId="32" xfId="0" applyFont="1" applyBorder="1" applyAlignment="1">
      <alignment horizontal="center"/>
    </xf>
    <xf numFmtId="37" fontId="19" fillId="0" borderId="24" xfId="0" applyFont="1" applyBorder="1" applyAlignment="1">
      <alignment horizontal="center"/>
    </xf>
    <xf numFmtId="39" fontId="19" fillId="0" borderId="30" xfId="4" applyNumberFormat="1" applyFont="1" applyBorder="1" applyAlignment="1" applyProtection="1">
      <alignment horizontal="center"/>
    </xf>
    <xf numFmtId="39" fontId="19" fillId="0" borderId="26" xfId="4" applyNumberFormat="1" applyFont="1" applyBorder="1" applyAlignment="1" applyProtection="1">
      <alignment horizontal="center"/>
    </xf>
    <xf numFmtId="39" fontId="19" fillId="0" borderId="31" xfId="4" applyNumberFormat="1" applyFont="1" applyBorder="1" applyAlignment="1" applyProtection="1">
      <alignment horizontal="center"/>
    </xf>
    <xf numFmtId="39" fontId="19" fillId="0" borderId="34" xfId="4" applyNumberFormat="1" applyFont="1" applyBorder="1" applyAlignment="1" applyProtection="1">
      <alignment horizontal="center"/>
    </xf>
    <xf numFmtId="39" fontId="19" fillId="0" borderId="0" xfId="4" applyNumberFormat="1" applyFont="1" applyBorder="1" applyAlignment="1" applyProtection="1">
      <alignment horizontal="center"/>
    </xf>
    <xf numFmtId="39" fontId="19" fillId="0" borderId="35" xfId="4" applyNumberFormat="1" applyFont="1" applyBorder="1" applyAlignment="1" applyProtection="1">
      <alignment horizontal="center"/>
    </xf>
    <xf numFmtId="39" fontId="19" fillId="0" borderId="34" xfId="4" quotePrefix="1" applyNumberFormat="1" applyFont="1" applyBorder="1" applyAlignment="1" applyProtection="1">
      <alignment horizontal="center"/>
    </xf>
    <xf numFmtId="39" fontId="19" fillId="0" borderId="0" xfId="4" quotePrefix="1" applyNumberFormat="1" applyFont="1" applyBorder="1" applyAlignment="1" applyProtection="1">
      <alignment horizontal="center"/>
    </xf>
    <xf numFmtId="39" fontId="19" fillId="0" borderId="35" xfId="4" quotePrefix="1" applyNumberFormat="1" applyFont="1" applyBorder="1" applyAlignment="1" applyProtection="1">
      <alignment horizontal="center"/>
    </xf>
  </cellXfs>
  <cellStyles count="5">
    <cellStyle name="Comma" xfId="1" builtinId="3"/>
    <cellStyle name="Comma 2 4" xfId="3"/>
    <cellStyle name="Normal" xfId="0" builtinId="0"/>
    <cellStyle name="Normal 6" xfId="4"/>
    <cellStyle name="Percent" xfId="2" builtinId="5"/>
  </cellStyles>
  <dxfs count="0"/>
  <tableStyles count="0" defaultTableStyle="TableStyleMedium9" defaultPivotStyle="PivotStyleLight16"/>
  <colors>
    <mruColors>
      <color rgb="FF00FF00"/>
      <color rgb="FF33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G25"/>
  <sheetViews>
    <sheetView zoomScale="90" zoomScaleNormal="90" workbookViewId="0">
      <selection activeCell="B26" sqref="B26"/>
    </sheetView>
  </sheetViews>
  <sheetFormatPr defaultRowHeight="15" x14ac:dyDescent="0.25"/>
  <cols>
    <col min="1" max="1" width="8.88671875" style="46"/>
    <col min="2" max="2" width="22" style="46" bestFit="1" customWidth="1"/>
    <col min="3" max="3" width="11.21875" style="46" bestFit="1" customWidth="1"/>
    <col min="4" max="4" width="10" style="46" bestFit="1" customWidth="1"/>
    <col min="5" max="5" width="12.44140625" style="46" bestFit="1" customWidth="1"/>
    <col min="6" max="6" width="13" style="46" bestFit="1" customWidth="1"/>
    <col min="7" max="7" width="12" style="46" bestFit="1" customWidth="1"/>
    <col min="8" max="8" width="16.21875" style="46" customWidth="1"/>
    <col min="9" max="16384" width="8.88671875" style="46"/>
  </cols>
  <sheetData>
    <row r="5" spans="2:7" ht="15.75" thickBot="1" x14ac:dyDescent="0.3">
      <c r="B5" s="45"/>
      <c r="C5" s="45"/>
    </row>
    <row r="6" spans="2:7" x14ac:dyDescent="0.25">
      <c r="B6" s="47" t="s">
        <v>60</v>
      </c>
      <c r="C6" s="48"/>
      <c r="D6" s="49"/>
      <c r="E6" s="50"/>
      <c r="F6" s="48"/>
    </row>
    <row r="7" spans="2:7" x14ac:dyDescent="0.25">
      <c r="B7" s="51"/>
      <c r="C7" s="52" t="s">
        <v>61</v>
      </c>
      <c r="D7" s="53" t="s">
        <v>80</v>
      </c>
      <c r="E7" s="54" t="s">
        <v>81</v>
      </c>
      <c r="F7" s="55" t="s">
        <v>121</v>
      </c>
    </row>
    <row r="8" spans="2:7" x14ac:dyDescent="0.25">
      <c r="B8" s="56" t="s">
        <v>62</v>
      </c>
      <c r="C8" s="57">
        <f>'Formlink-Gd'!B34</f>
        <v>2665405636.6289997</v>
      </c>
      <c r="D8" s="51">
        <f>C8*5%</f>
        <v>133270281.83144999</v>
      </c>
      <c r="E8" s="45">
        <f>'Lien Bonds'!J23</f>
        <v>139000000</v>
      </c>
      <c r="F8" s="58">
        <f>E8-D8</f>
        <v>5729718.1685500145</v>
      </c>
    </row>
    <row r="9" spans="2:7" x14ac:dyDescent="0.25">
      <c r="B9" s="56" t="s">
        <v>63</v>
      </c>
      <c r="C9" s="59">
        <f>'Formlink-Ld'!B34</f>
        <v>52864944580.053268</v>
      </c>
      <c r="D9" s="51">
        <f>C9*5%</f>
        <v>2643247229.0026636</v>
      </c>
      <c r="E9" s="45">
        <f>'Lien Bonds'!J17+'Lien Bonds'!J30</f>
        <v>2700000000</v>
      </c>
      <c r="F9" s="58">
        <f>E9-D9</f>
        <v>56752770.997336388</v>
      </c>
    </row>
    <row r="10" spans="2:7" ht="15.75" thickBot="1" x14ac:dyDescent="0.3">
      <c r="B10" s="56" t="s">
        <v>64</v>
      </c>
      <c r="C10" s="57">
        <f>SUM(C8:C9)</f>
        <v>55530350216.682266</v>
      </c>
      <c r="D10" s="60">
        <f>SUM(D8:D9)</f>
        <v>2776517510.8341136</v>
      </c>
      <c r="E10" s="61">
        <f>SUM(E8:E9)</f>
        <v>2839000000</v>
      </c>
      <c r="F10" s="62">
        <f>SUM(F8:F9)</f>
        <v>62482489.165886402</v>
      </c>
      <c r="G10" s="63"/>
    </row>
    <row r="11" spans="2:7" ht="15.75" thickTop="1" x14ac:dyDescent="0.25">
      <c r="B11" s="56"/>
      <c r="C11" s="52"/>
      <c r="D11" s="51"/>
      <c r="E11" s="45"/>
      <c r="F11" s="58"/>
    </row>
    <row r="12" spans="2:7" ht="15.75" thickBot="1" x14ac:dyDescent="0.3">
      <c r="B12" s="56" t="s">
        <v>65</v>
      </c>
      <c r="C12" s="64">
        <f>+C10*5%</f>
        <v>2776517510.8341136</v>
      </c>
      <c r="D12" s="51"/>
      <c r="E12" s="45"/>
      <c r="F12" s="58"/>
    </row>
    <row r="13" spans="2:7" ht="15.75" thickTop="1" x14ac:dyDescent="0.25">
      <c r="B13" s="51"/>
      <c r="C13" s="58"/>
      <c r="D13" s="51"/>
      <c r="E13" s="45"/>
      <c r="F13" s="58"/>
    </row>
    <row r="14" spans="2:7" x14ac:dyDescent="0.25">
      <c r="B14" s="65" t="s">
        <v>122</v>
      </c>
      <c r="C14" s="52">
        <f>'Lien Bonds'!J33</f>
        <v>2839000000</v>
      </c>
      <c r="D14" s="51"/>
      <c r="E14" s="45"/>
      <c r="F14" s="58"/>
    </row>
    <row r="15" spans="2:7" x14ac:dyDescent="0.25">
      <c r="B15" s="65" t="s">
        <v>123</v>
      </c>
      <c r="C15" s="52">
        <f>+C14-C12</f>
        <v>62482489.165886402</v>
      </c>
      <c r="D15" s="51"/>
      <c r="E15" s="45"/>
      <c r="F15" s="58"/>
    </row>
    <row r="16" spans="2:7" ht="15.75" thickBot="1" x14ac:dyDescent="0.3">
      <c r="B16" s="66"/>
      <c r="C16" s="67"/>
      <c r="D16" s="66"/>
      <c r="E16" s="68"/>
      <c r="F16" s="67"/>
    </row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I87"/>
  <sheetViews>
    <sheetView showGridLines="0" showZeros="0" tabSelected="1" workbookViewId="0">
      <selection activeCell="H19" sqref="H19"/>
    </sheetView>
  </sheetViews>
  <sheetFormatPr defaultColWidth="9.77734375" defaultRowHeight="15.75" x14ac:dyDescent="0.25"/>
  <cols>
    <col min="1" max="1" width="32.6640625" customWidth="1"/>
    <col min="2" max="2" width="4.88671875" customWidth="1"/>
    <col min="3" max="3" width="16.88671875" customWidth="1"/>
    <col min="4" max="4" width="10.77734375" customWidth="1"/>
    <col min="5" max="5" width="1.77734375" customWidth="1"/>
    <col min="6" max="6" width="15.5546875" customWidth="1"/>
    <col min="7" max="7" width="9.88671875" customWidth="1"/>
  </cols>
  <sheetData>
    <row r="1" spans="1:7" x14ac:dyDescent="0.25">
      <c r="A1" s="12" t="s">
        <v>45</v>
      </c>
      <c r="B1" s="13">
        <v>9</v>
      </c>
    </row>
    <row r="2" spans="1:7" x14ac:dyDescent="0.25">
      <c r="A2" s="241" t="s">
        <v>0</v>
      </c>
      <c r="B2" s="241"/>
      <c r="C2" s="241"/>
      <c r="D2" s="241"/>
      <c r="E2" s="241"/>
      <c r="F2" s="241"/>
      <c r="G2" s="241"/>
    </row>
    <row r="3" spans="1:7" x14ac:dyDescent="0.25">
      <c r="C3" s="21" t="s">
        <v>42</v>
      </c>
      <c r="D3" s="16">
        <v>42643</v>
      </c>
    </row>
    <row r="5" spans="1:7" x14ac:dyDescent="0.25">
      <c r="D5" t="s">
        <v>1</v>
      </c>
    </row>
    <row r="6" spans="1:7" x14ac:dyDescent="0.25">
      <c r="D6" t="s">
        <v>79</v>
      </c>
    </row>
    <row r="7" spans="1:7" x14ac:dyDescent="0.25">
      <c r="D7" t="s">
        <v>2</v>
      </c>
    </row>
    <row r="9" spans="1:7" x14ac:dyDescent="0.25">
      <c r="A9" s="2" t="s">
        <v>82</v>
      </c>
      <c r="B9" s="2"/>
      <c r="C9" s="2"/>
      <c r="D9" s="2"/>
      <c r="E9" s="2"/>
      <c r="F9" s="2"/>
      <c r="G9" s="2"/>
    </row>
    <row r="10" spans="1:7" x14ac:dyDescent="0.25">
      <c r="A10" s="3"/>
      <c r="D10" s="4"/>
      <c r="G10" s="4"/>
    </row>
    <row r="11" spans="1:7" s="22" customFormat="1" x14ac:dyDescent="0.25">
      <c r="A11" s="24" t="s">
        <v>3</v>
      </c>
      <c r="B11" s="26"/>
      <c r="C11" s="26" t="s">
        <v>4</v>
      </c>
      <c r="D11" s="27"/>
      <c r="E11" s="26" t="s">
        <v>111</v>
      </c>
      <c r="F11" s="36"/>
      <c r="G11" s="27"/>
    </row>
    <row r="12" spans="1:7" x14ac:dyDescent="0.25">
      <c r="A12" s="3"/>
      <c r="C12" s="4"/>
      <c r="D12" s="4"/>
      <c r="F12" s="4"/>
      <c r="G12" s="4"/>
    </row>
    <row r="13" spans="1:7" x14ac:dyDescent="0.25">
      <c r="A13" s="3" t="s">
        <v>5</v>
      </c>
      <c r="C13" s="4" t="s">
        <v>6</v>
      </c>
      <c r="D13" s="4" t="s">
        <v>7</v>
      </c>
      <c r="F13" s="4" t="s">
        <v>6</v>
      </c>
      <c r="G13" s="4" t="s">
        <v>7</v>
      </c>
    </row>
    <row r="14" spans="1:7" x14ac:dyDescent="0.25">
      <c r="A14" s="3"/>
      <c r="C14" s="4" t="s">
        <v>8</v>
      </c>
      <c r="D14" s="4" t="s">
        <v>9</v>
      </c>
      <c r="F14" s="4" t="s">
        <v>8</v>
      </c>
      <c r="G14" s="4" t="s">
        <v>9</v>
      </c>
    </row>
    <row r="15" spans="1:7" x14ac:dyDescent="0.25">
      <c r="A15" s="5"/>
      <c r="B15" s="2"/>
      <c r="C15" s="6"/>
      <c r="D15" s="6" t="s">
        <v>10</v>
      </c>
      <c r="E15" s="2"/>
      <c r="F15" s="6"/>
      <c r="G15" s="6" t="s">
        <v>10</v>
      </c>
    </row>
    <row r="16" spans="1:7" x14ac:dyDescent="0.25">
      <c r="A16" s="3"/>
      <c r="C16" s="4"/>
      <c r="D16" s="4"/>
      <c r="F16" s="4"/>
      <c r="G16" s="4"/>
    </row>
    <row r="17" spans="1:9" x14ac:dyDescent="0.25">
      <c r="A17" s="25" t="s">
        <v>69</v>
      </c>
      <c r="C17" s="4"/>
      <c r="D17" s="4"/>
      <c r="F17" s="4"/>
      <c r="G17" s="4"/>
    </row>
    <row r="18" spans="1:9" x14ac:dyDescent="0.25">
      <c r="A18" s="3"/>
      <c r="C18" s="4"/>
      <c r="D18" s="4"/>
      <c r="F18" s="4"/>
      <c r="G18" s="4"/>
    </row>
    <row r="19" spans="1:9" x14ac:dyDescent="0.25">
      <c r="A19" s="3" t="s">
        <v>11</v>
      </c>
      <c r="C19" s="4"/>
      <c r="D19" s="4"/>
      <c r="F19" s="4"/>
      <c r="G19" s="4"/>
      <c r="I19" t="s">
        <v>112</v>
      </c>
    </row>
    <row r="20" spans="1:9" x14ac:dyDescent="0.25">
      <c r="A20" s="3" t="s">
        <v>66</v>
      </c>
      <c r="C20" s="4"/>
      <c r="D20" s="7"/>
      <c r="F20" s="4"/>
      <c r="G20" s="7"/>
    </row>
    <row r="21" spans="1:9" x14ac:dyDescent="0.25">
      <c r="A21" s="3" t="s">
        <v>67</v>
      </c>
      <c r="C21" s="4"/>
      <c r="D21" s="7"/>
      <c r="F21" s="4"/>
      <c r="G21" s="7"/>
    </row>
    <row r="22" spans="1:9" x14ac:dyDescent="0.25">
      <c r="A22" s="3"/>
      <c r="C22" s="4"/>
      <c r="D22" s="7"/>
      <c r="F22" s="4"/>
      <c r="G22" s="7"/>
    </row>
    <row r="23" spans="1:9" x14ac:dyDescent="0.25">
      <c r="A23" s="3" t="s">
        <v>12</v>
      </c>
      <c r="C23" s="20">
        <f>HLOOKUP($B$1,'Formlink-Ld'!$B$39:$B$45,3)</f>
        <v>34940931256.030006</v>
      </c>
      <c r="D23" s="7">
        <f>+C23/C47*100</f>
        <v>66.094708948609664</v>
      </c>
      <c r="F23" s="238">
        <f>HLOOKUP($B$1,'Formlink-Gd'!$B$39:$B$46,3)</f>
        <v>0</v>
      </c>
      <c r="G23" s="7">
        <f>+F23/F47*100</f>
        <v>0</v>
      </c>
    </row>
    <row r="24" spans="1:9" x14ac:dyDescent="0.25">
      <c r="A24" s="3" t="s">
        <v>13</v>
      </c>
      <c r="C24" s="4"/>
      <c r="D24" s="7"/>
      <c r="F24" s="4"/>
      <c r="G24" s="7"/>
    </row>
    <row r="25" spans="1:9" x14ac:dyDescent="0.25">
      <c r="A25" s="5"/>
      <c r="B25" s="2"/>
      <c r="C25" s="6">
        <f>HLOOKUP($B$1,'Formlink-Ld'!$B$39:$B$45,4)</f>
        <v>0</v>
      </c>
      <c r="D25" s="8">
        <f>+C25/C47*100</f>
        <v>0</v>
      </c>
      <c r="E25" s="2"/>
      <c r="F25" s="6">
        <f>HLOOKUP($B$1,'Formlink-Gd'!$B$39:$B$46,4)</f>
        <v>0</v>
      </c>
      <c r="G25" s="8">
        <f>+F25/F47*100</f>
        <v>0</v>
      </c>
    </row>
    <row r="26" spans="1:9" x14ac:dyDescent="0.25">
      <c r="A26" s="3"/>
      <c r="C26" s="4"/>
      <c r="D26" s="7"/>
      <c r="F26" s="4"/>
      <c r="G26" s="7"/>
    </row>
    <row r="27" spans="1:9" x14ac:dyDescent="0.25">
      <c r="A27" s="24" t="s">
        <v>70</v>
      </c>
      <c r="B27" s="26"/>
      <c r="C27" s="27">
        <f>SUM(C23:C25)</f>
        <v>34940931256.030006</v>
      </c>
      <c r="D27" s="28">
        <f>+C27/C47*100</f>
        <v>66.094708948609664</v>
      </c>
      <c r="E27" s="26"/>
      <c r="F27" s="27">
        <f>SUM(F23:F25)</f>
        <v>0</v>
      </c>
      <c r="G27" s="28">
        <f>+F27/F47*100</f>
        <v>0</v>
      </c>
    </row>
    <row r="28" spans="1:9" x14ac:dyDescent="0.25">
      <c r="A28" s="3"/>
      <c r="C28" s="4"/>
      <c r="D28" s="7"/>
      <c r="F28" s="4"/>
      <c r="G28" s="7"/>
    </row>
    <row r="29" spans="1:9" x14ac:dyDescent="0.25">
      <c r="A29" s="3"/>
      <c r="C29" s="4"/>
      <c r="D29" s="7"/>
      <c r="F29" s="4"/>
      <c r="G29" s="7"/>
    </row>
    <row r="30" spans="1:9" x14ac:dyDescent="0.25">
      <c r="A30" s="3"/>
      <c r="C30" s="4"/>
      <c r="D30" s="7"/>
      <c r="F30" s="4"/>
      <c r="G30" s="7"/>
    </row>
    <row r="31" spans="1:9" x14ac:dyDescent="0.25">
      <c r="A31" s="3"/>
      <c r="C31" s="4"/>
      <c r="D31" s="7"/>
      <c r="F31" s="4"/>
      <c r="G31" s="7"/>
    </row>
    <row r="32" spans="1:9" x14ac:dyDescent="0.25">
      <c r="A32" s="3"/>
      <c r="C32" s="4"/>
      <c r="D32" s="4"/>
      <c r="F32" s="4"/>
      <c r="G32" s="4"/>
    </row>
    <row r="33" spans="1:7" x14ac:dyDescent="0.25">
      <c r="A33" s="3"/>
      <c r="C33" s="4"/>
      <c r="D33" s="7"/>
      <c r="F33" s="4"/>
      <c r="G33" s="7"/>
    </row>
    <row r="34" spans="1:7" x14ac:dyDescent="0.25">
      <c r="A34" s="3"/>
      <c r="C34" s="4"/>
      <c r="D34" s="7"/>
      <c r="F34" s="4"/>
      <c r="G34" s="7"/>
    </row>
    <row r="35" spans="1:7" x14ac:dyDescent="0.25">
      <c r="A35" s="23" t="s">
        <v>68</v>
      </c>
      <c r="B35" s="2"/>
      <c r="C35" s="14">
        <f>HLOOKUP($B$1,'Formlink-Ld'!$B$39:$B$45,5)</f>
        <v>16021430749.83</v>
      </c>
      <c r="D35" s="8">
        <f>+C35/C47*100</f>
        <v>30.306341711129164</v>
      </c>
      <c r="E35" s="2"/>
      <c r="F35" s="6">
        <f>HLOOKUP($B$1,'Formlink-Gd'!$B$39:$B$46,5)</f>
        <v>1576673111.5550001</v>
      </c>
      <c r="G35" s="8">
        <f>+F35/F47*100</f>
        <v>59.153214425893353</v>
      </c>
    </row>
    <row r="36" spans="1:7" x14ac:dyDescent="0.25">
      <c r="A36" s="3"/>
      <c r="C36" s="4"/>
      <c r="D36" s="7"/>
      <c r="F36" s="4"/>
      <c r="G36" s="7"/>
    </row>
    <row r="37" spans="1:7" x14ac:dyDescent="0.25">
      <c r="A37" s="5" t="s">
        <v>71</v>
      </c>
      <c r="B37" s="2"/>
      <c r="C37" s="6">
        <f>C27+C35</f>
        <v>50962362005.860008</v>
      </c>
      <c r="D37" s="8">
        <f>+C37/C47*100</f>
        <v>96.401050659738829</v>
      </c>
      <c r="E37" s="2"/>
      <c r="F37" s="6">
        <f>F27+F35</f>
        <v>1576673111.5550001</v>
      </c>
      <c r="G37" s="8">
        <f>+F37/F47*100</f>
        <v>59.153214425893353</v>
      </c>
    </row>
    <row r="38" spans="1:7" ht="20.25" customHeight="1" x14ac:dyDescent="0.25">
      <c r="A38" s="3" t="s">
        <v>72</v>
      </c>
      <c r="C38" s="4"/>
      <c r="D38" s="7"/>
      <c r="F38" s="4"/>
      <c r="G38" s="7"/>
    </row>
    <row r="39" spans="1:7" ht="19.5" customHeight="1" x14ac:dyDescent="0.25">
      <c r="A39" s="5" t="s">
        <v>73</v>
      </c>
      <c r="B39" s="2"/>
      <c r="C39" s="14">
        <f>HLOOKUP($B$1,'Formlink-Ld'!$B$39:$B$45,6)</f>
        <v>1799812078.2712479</v>
      </c>
      <c r="D39" s="8">
        <f>+C39/C47*100</f>
        <v>3.4045473660637184</v>
      </c>
      <c r="E39" s="2"/>
      <c r="F39" s="6">
        <f>HLOOKUP($B$1,'Formlink-Gd'!$B$39:$B$46,6)</f>
        <v>96251414.139000028</v>
      </c>
      <c r="G39" s="8">
        <f>+F39/F47*100</f>
        <v>3.6111356866766227</v>
      </c>
    </row>
    <row r="40" spans="1:7" x14ac:dyDescent="0.25">
      <c r="A40" s="3"/>
      <c r="C40" s="4"/>
      <c r="D40" s="7"/>
      <c r="F40" s="4"/>
      <c r="G40" s="7"/>
    </row>
    <row r="41" spans="1:7" x14ac:dyDescent="0.25">
      <c r="A41" s="29" t="s">
        <v>74</v>
      </c>
      <c r="B41" s="30"/>
      <c r="C41" s="31">
        <f>+C37+C39</f>
        <v>52762174084.131256</v>
      </c>
      <c r="D41" s="32">
        <f>+C41/C47*100</f>
        <v>99.805598025802539</v>
      </c>
      <c r="E41" s="30"/>
      <c r="F41" s="31">
        <f>+F37+F39</f>
        <v>1672924525.694</v>
      </c>
      <c r="G41" s="32">
        <f>+F41/F47*100</f>
        <v>62.764350112569979</v>
      </c>
    </row>
    <row r="42" spans="1:7" x14ac:dyDescent="0.25">
      <c r="A42" s="3"/>
      <c r="C42" s="4"/>
      <c r="D42" s="7"/>
      <c r="F42" s="4"/>
      <c r="G42" s="7"/>
    </row>
    <row r="43" spans="1:7" x14ac:dyDescent="0.25">
      <c r="A43" s="3"/>
      <c r="C43" s="4"/>
      <c r="D43" s="7"/>
      <c r="F43" s="4"/>
      <c r="G43" s="7"/>
    </row>
    <row r="44" spans="1:7" x14ac:dyDescent="0.25">
      <c r="A44" s="3" t="s">
        <v>76</v>
      </c>
      <c r="C44" s="4"/>
      <c r="D44" s="7"/>
      <c r="F44" s="4"/>
      <c r="G44" s="7"/>
    </row>
    <row r="45" spans="1:7" x14ac:dyDescent="0.25">
      <c r="A45" s="5" t="s">
        <v>75</v>
      </c>
      <c r="B45" s="2"/>
      <c r="C45" s="239">
        <f>HLOOKUP($B$1,'Formlink-Ld'!$B$39:$B$45,7)</f>
        <v>102770495.92201057</v>
      </c>
      <c r="D45" s="8">
        <f>+C45/C47*100</f>
        <v>0.19440197419744845</v>
      </c>
      <c r="E45" s="2"/>
      <c r="F45" s="6">
        <f>HLOOKUP($B$1,'Formlink-Gd'!$B$39:$B$46,7)</f>
        <v>992481110.93499994</v>
      </c>
      <c r="G45" s="8">
        <f>+F45/F47*100</f>
        <v>37.235649887430036</v>
      </c>
    </row>
    <row r="46" spans="1:7" x14ac:dyDescent="0.25">
      <c r="A46" s="3"/>
      <c r="C46" s="4"/>
      <c r="D46" s="7"/>
      <c r="F46" s="4"/>
      <c r="G46" s="7"/>
    </row>
    <row r="47" spans="1:7" x14ac:dyDescent="0.25">
      <c r="A47" s="24" t="s">
        <v>77</v>
      </c>
      <c r="B47" s="2"/>
      <c r="C47" s="27">
        <f>C45+C41</f>
        <v>52864944580.053268</v>
      </c>
      <c r="D47" s="33">
        <f>+C47/C47*100</f>
        <v>100</v>
      </c>
      <c r="E47" s="26"/>
      <c r="F47" s="27">
        <f>F45+F41</f>
        <v>2665405636.6289997</v>
      </c>
      <c r="G47" s="33">
        <f>+F47/F47*100</f>
        <v>100</v>
      </c>
    </row>
    <row r="48" spans="1:7" hidden="1" x14ac:dyDescent="0.25">
      <c r="A48" s="3"/>
      <c r="C48" s="4"/>
      <c r="D48" s="7"/>
      <c r="F48" s="4"/>
      <c r="G48" s="7"/>
    </row>
    <row r="49" spans="1:7" hidden="1" x14ac:dyDescent="0.25">
      <c r="A49" s="3"/>
      <c r="C49" s="4"/>
      <c r="D49" s="7"/>
      <c r="F49" s="4"/>
      <c r="G49" s="7"/>
    </row>
    <row r="50" spans="1:7" hidden="1" x14ac:dyDescent="0.25">
      <c r="A50" s="5" t="s">
        <v>14</v>
      </c>
      <c r="B50" s="2"/>
      <c r="C50" s="6">
        <f>HLOOKUP($B$1,'Formlink-Ld'!$B$39:$B$45,7)</f>
        <v>102770495.92201057</v>
      </c>
      <c r="D50" s="8"/>
      <c r="E50" s="2"/>
      <c r="F50" s="6"/>
      <c r="G50" s="8"/>
    </row>
    <row r="51" spans="1:7" x14ac:dyDescent="0.25">
      <c r="C51" s="34"/>
      <c r="D51" s="1"/>
      <c r="F51" s="15">
        <f>HLOOKUP($B$1,'Formlink-Gd'!$B$39:$B$46,8)-(F50+F47)</f>
        <v>0</v>
      </c>
      <c r="G51" s="1"/>
    </row>
    <row r="52" spans="1:7" x14ac:dyDescent="0.25">
      <c r="D52" s="1"/>
      <c r="G52" s="1"/>
    </row>
    <row r="53" spans="1:7" x14ac:dyDescent="0.25">
      <c r="D53" s="1"/>
      <c r="G53" s="1"/>
    </row>
    <row r="54" spans="1:7" x14ac:dyDescent="0.25">
      <c r="D54" s="1"/>
      <c r="G54" s="1"/>
    </row>
    <row r="55" spans="1:7" x14ac:dyDescent="0.25">
      <c r="A55" t="s">
        <v>15</v>
      </c>
      <c r="D55" s="1"/>
      <c r="G55" s="1"/>
    </row>
    <row r="69" spans="1:4" x14ac:dyDescent="0.25">
      <c r="A69" s="17" t="s">
        <v>51</v>
      </c>
    </row>
    <row r="70" spans="1:4" x14ac:dyDescent="0.25">
      <c r="A70" t="s">
        <v>49</v>
      </c>
      <c r="C70" s="18">
        <v>0.2</v>
      </c>
      <c r="D70" t="s">
        <v>55</v>
      </c>
    </row>
    <row r="71" spans="1:4" x14ac:dyDescent="0.25">
      <c r="A71" t="s">
        <v>50</v>
      </c>
      <c r="C71" s="18">
        <v>0.65</v>
      </c>
      <c r="D71" t="s">
        <v>56</v>
      </c>
    </row>
    <row r="72" spans="1:4" x14ac:dyDescent="0.25">
      <c r="A72" t="s">
        <v>52</v>
      </c>
      <c r="C72" s="18">
        <v>0.15</v>
      </c>
      <c r="D72" t="s">
        <v>57</v>
      </c>
    </row>
    <row r="73" spans="1:4" ht="16.5" thickBot="1" x14ac:dyDescent="0.3">
      <c r="C73" s="19">
        <f>SUM(C70:C72)</f>
        <v>1</v>
      </c>
    </row>
    <row r="74" spans="1:4" x14ac:dyDescent="0.25">
      <c r="A74" t="s">
        <v>54</v>
      </c>
    </row>
    <row r="77" spans="1:4" x14ac:dyDescent="0.25">
      <c r="A77" s="17" t="s">
        <v>53</v>
      </c>
    </row>
    <row r="78" spans="1:4" x14ac:dyDescent="0.25">
      <c r="A78" t="s">
        <v>49</v>
      </c>
      <c r="C78" s="18">
        <v>0.1</v>
      </c>
      <c r="D78" t="s">
        <v>55</v>
      </c>
    </row>
    <row r="79" spans="1:4" x14ac:dyDescent="0.25">
      <c r="A79" t="s">
        <v>50</v>
      </c>
      <c r="C79" s="18">
        <v>0.3</v>
      </c>
      <c r="D79" t="s">
        <v>56</v>
      </c>
    </row>
    <row r="80" spans="1:4" x14ac:dyDescent="0.25">
      <c r="A80" t="s">
        <v>52</v>
      </c>
      <c r="C80" s="18">
        <v>0.6</v>
      </c>
      <c r="D80" t="s">
        <v>57</v>
      </c>
    </row>
    <row r="81" spans="1:6" ht="16.5" thickBot="1" x14ac:dyDescent="0.3">
      <c r="C81" s="19">
        <f>SUM(C78:C80)</f>
        <v>1</v>
      </c>
    </row>
    <row r="82" spans="1:6" x14ac:dyDescent="0.25">
      <c r="A82" t="s">
        <v>58</v>
      </c>
    </row>
    <row r="85" spans="1:6" x14ac:dyDescent="0.25">
      <c r="F85" s="35">
        <v>1903336215.8624997</v>
      </c>
    </row>
    <row r="87" spans="1:6" x14ac:dyDescent="0.25">
      <c r="F87">
        <f>F85-F41</f>
        <v>230411690.16849971</v>
      </c>
    </row>
  </sheetData>
  <mergeCells count="1">
    <mergeCell ref="A2:G2"/>
  </mergeCells>
  <phoneticPr fontId="0" type="noConversion"/>
  <pageMargins left="0.78" right="0.5" top="0.25" bottom="0.55000000000000004" header="0.54" footer="0.5"/>
  <pageSetup paperSize="9" scale="80" orientation="portrait" copies="2" r:id="rId1"/>
  <headerFooter alignWithMargins="0"/>
  <rowBreaks count="1" manualBreakCount="1">
    <brk id="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workbookViewId="0">
      <selection activeCell="C5" sqref="C5"/>
    </sheetView>
  </sheetViews>
  <sheetFormatPr defaultRowHeight="15.75" x14ac:dyDescent="0.25"/>
  <cols>
    <col min="2" max="2" width="16.88671875" customWidth="1"/>
  </cols>
  <sheetData>
    <row r="1" spans="1:2" x14ac:dyDescent="0.25">
      <c r="A1" s="9" t="s">
        <v>43</v>
      </c>
      <c r="B1" s="9" t="s">
        <v>44</v>
      </c>
    </row>
    <row r="2" spans="1:2" x14ac:dyDescent="0.25">
      <c r="A2" s="10">
        <v>1</v>
      </c>
      <c r="B2" s="11">
        <f>DATE(2016,1,31)</f>
        <v>42400</v>
      </c>
    </row>
    <row r="3" spans="1:2" x14ac:dyDescent="0.25">
      <c r="A3" s="10">
        <v>2</v>
      </c>
      <c r="B3" s="11">
        <f>DATE(2016,2,29)</f>
        <v>42429</v>
      </c>
    </row>
    <row r="4" spans="1:2" x14ac:dyDescent="0.25">
      <c r="A4" s="10">
        <v>3</v>
      </c>
      <c r="B4" s="11">
        <f>DATE(2016,3,31)</f>
        <v>42460</v>
      </c>
    </row>
    <row r="5" spans="1:2" x14ac:dyDescent="0.25">
      <c r="A5" s="10">
        <v>4</v>
      </c>
      <c r="B5" s="11">
        <f>DATE(2016,4,30)</f>
        <v>42490</v>
      </c>
    </row>
    <row r="6" spans="1:2" x14ac:dyDescent="0.25">
      <c r="A6" s="10">
        <v>5</v>
      </c>
      <c r="B6" s="11">
        <f>DATE(2016,5,31)</f>
        <v>42521</v>
      </c>
    </row>
    <row r="7" spans="1:2" x14ac:dyDescent="0.25">
      <c r="A7" s="10">
        <v>6</v>
      </c>
      <c r="B7" s="11">
        <f>DATE(2016,6,30)</f>
        <v>42551</v>
      </c>
    </row>
    <row r="8" spans="1:2" x14ac:dyDescent="0.25">
      <c r="A8" s="10">
        <v>7</v>
      </c>
      <c r="B8" s="11">
        <f>DATE(2016,7,31)</f>
        <v>42582</v>
      </c>
    </row>
    <row r="9" spans="1:2" x14ac:dyDescent="0.25">
      <c r="A9" s="10">
        <v>8</v>
      </c>
      <c r="B9" s="11">
        <f>DATE(2016,8,31)</f>
        <v>42613</v>
      </c>
    </row>
    <row r="10" spans="1:2" x14ac:dyDescent="0.25">
      <c r="A10" s="10">
        <v>9</v>
      </c>
      <c r="B10" s="11">
        <f>DATE(2016,9,30)</f>
        <v>42643</v>
      </c>
    </row>
    <row r="11" spans="1:2" x14ac:dyDescent="0.25">
      <c r="A11" s="10">
        <v>10</v>
      </c>
      <c r="B11" s="11">
        <f>DATE(2016,10,31)</f>
        <v>42674</v>
      </c>
    </row>
    <row r="12" spans="1:2" x14ac:dyDescent="0.25">
      <c r="A12" s="10">
        <v>11</v>
      </c>
      <c r="B12" s="11">
        <f>DATE(2016,11,30)</f>
        <v>42704</v>
      </c>
    </row>
    <row r="13" spans="1:2" x14ac:dyDescent="0.25">
      <c r="A13" s="10">
        <v>12</v>
      </c>
      <c r="B13" s="11">
        <f>DATE(2016,12,31)</f>
        <v>42735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4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21" sqref="P21"/>
    </sheetView>
  </sheetViews>
  <sheetFormatPr defaultRowHeight="12.75" x14ac:dyDescent="0.2"/>
  <cols>
    <col min="1" max="1" width="26.44140625" style="41" bestFit="1" customWidth="1"/>
    <col min="2" max="2" width="10" style="41" bestFit="1" customWidth="1"/>
    <col min="3" max="13" width="3.44140625" style="41" bestFit="1" customWidth="1"/>
    <col min="14" max="14" width="3.88671875" style="41" customWidth="1"/>
    <col min="15" max="15" width="15.33203125" style="41" customWidth="1"/>
    <col min="16" max="16" width="11" style="41" bestFit="1" customWidth="1"/>
    <col min="17" max="17" width="11.88671875" style="41" customWidth="1"/>
    <col min="18" max="18" width="8.88671875" style="41"/>
    <col min="19" max="19" width="12.88671875" style="41" bestFit="1" customWidth="1"/>
    <col min="20" max="20" width="8.88671875" style="41"/>
    <col min="21" max="21" width="18.109375" style="41" customWidth="1"/>
    <col min="22" max="16384" width="8.88671875" style="41"/>
  </cols>
  <sheetData>
    <row r="1" spans="1:13" x14ac:dyDescent="0.2">
      <c r="A1" s="69" t="s">
        <v>41</v>
      </c>
    </row>
    <row r="2" spans="1:13" x14ac:dyDescent="0.2">
      <c r="A2" s="70">
        <v>2016</v>
      </c>
      <c r="B2" s="71">
        <v>1</v>
      </c>
      <c r="C2" s="71">
        <v>2</v>
      </c>
      <c r="D2" s="71">
        <v>3</v>
      </c>
      <c r="E2" s="71">
        <v>4</v>
      </c>
      <c r="F2" s="71">
        <v>5</v>
      </c>
      <c r="G2" s="41">
        <f t="shared" ref="G2:M2" si="0">F2+1</f>
        <v>6</v>
      </c>
      <c r="H2" s="41">
        <f t="shared" si="0"/>
        <v>7</v>
      </c>
      <c r="I2" s="41">
        <f t="shared" si="0"/>
        <v>8</v>
      </c>
      <c r="J2" s="41">
        <f t="shared" si="0"/>
        <v>9</v>
      </c>
      <c r="K2" s="41">
        <f t="shared" si="0"/>
        <v>10</v>
      </c>
      <c r="L2" s="41">
        <f t="shared" si="0"/>
        <v>11</v>
      </c>
      <c r="M2" s="41">
        <f t="shared" si="0"/>
        <v>12</v>
      </c>
    </row>
    <row r="3" spans="1:13" x14ac:dyDescent="0.2">
      <c r="A3" s="72" t="s">
        <v>16</v>
      </c>
      <c r="B3" s="227">
        <f>'BS - 30.09.2016'!K33+-'BS - 30.09.2016'!K18+-'BS - 30.09.2016'!K28</f>
        <v>52762174084.131256</v>
      </c>
      <c r="C3" s="229">
        <v>0</v>
      </c>
      <c r="D3" s="229">
        <v>0</v>
      </c>
      <c r="E3" s="229">
        <v>0</v>
      </c>
      <c r="F3" s="229">
        <v>0</v>
      </c>
      <c r="G3" s="229">
        <v>0</v>
      </c>
      <c r="H3" s="229">
        <v>0</v>
      </c>
      <c r="I3" s="229">
        <v>0</v>
      </c>
      <c r="J3" s="229">
        <v>0</v>
      </c>
      <c r="K3" s="229">
        <v>0</v>
      </c>
      <c r="L3" s="229">
        <v>0</v>
      </c>
      <c r="M3" s="229">
        <v>0</v>
      </c>
    </row>
    <row r="4" spans="1:13" x14ac:dyDescent="0.2">
      <c r="A4" s="74"/>
      <c r="B4" s="72"/>
      <c r="C4" s="72"/>
      <c r="D4" s="72"/>
      <c r="E4" s="72"/>
      <c r="F4" s="73"/>
      <c r="G4" s="73"/>
      <c r="H4" s="73"/>
      <c r="I4" s="73"/>
      <c r="J4" s="73"/>
      <c r="K4" s="73"/>
      <c r="L4" s="73"/>
      <c r="M4" s="73"/>
    </row>
    <row r="5" spans="1:13" x14ac:dyDescent="0.2">
      <c r="A5" s="75" t="s">
        <v>36</v>
      </c>
      <c r="B5" s="226">
        <f>'BS - 30.09.2016'!K23+'BS - 30.09.2016'!K24+'BS - 30.09.2016'!K25</f>
        <v>34940931256.030006</v>
      </c>
      <c r="C5" s="228">
        <v>0</v>
      </c>
      <c r="D5" s="228">
        <v>0</v>
      </c>
      <c r="E5" s="228">
        <v>0</v>
      </c>
      <c r="F5" s="228">
        <v>0</v>
      </c>
      <c r="G5" s="228">
        <v>0</v>
      </c>
      <c r="H5" s="228">
        <v>0</v>
      </c>
      <c r="I5" s="228">
        <v>0</v>
      </c>
      <c r="J5" s="228">
        <v>0</v>
      </c>
      <c r="K5" s="228">
        <v>0</v>
      </c>
      <c r="L5" s="228">
        <v>0</v>
      </c>
      <c r="M5" s="228">
        <v>0</v>
      </c>
    </row>
    <row r="6" spans="1:13" x14ac:dyDescent="0.2">
      <c r="A6" s="75" t="s">
        <v>37</v>
      </c>
    </row>
    <row r="7" spans="1:13" ht="13.5" thickBot="1" x14ac:dyDescent="0.25">
      <c r="A7" s="83"/>
      <c r="B7" s="79">
        <f>SUM(B5:B6)</f>
        <v>34940931256.030006</v>
      </c>
      <c r="C7" s="91">
        <f t="shared" ref="C7:M7" si="1">SUM(C5:C6)</f>
        <v>0</v>
      </c>
      <c r="D7" s="91">
        <f t="shared" si="1"/>
        <v>0</v>
      </c>
      <c r="E7" s="91">
        <f t="shared" si="1"/>
        <v>0</v>
      </c>
      <c r="F7" s="91">
        <f t="shared" si="1"/>
        <v>0</v>
      </c>
      <c r="G7" s="91">
        <f t="shared" si="1"/>
        <v>0</v>
      </c>
      <c r="H7" s="91">
        <f t="shared" si="1"/>
        <v>0</v>
      </c>
      <c r="I7" s="91">
        <f t="shared" si="1"/>
        <v>0</v>
      </c>
      <c r="J7" s="91">
        <f t="shared" si="1"/>
        <v>0</v>
      </c>
      <c r="K7" s="91">
        <f t="shared" si="1"/>
        <v>0</v>
      </c>
      <c r="L7" s="91">
        <f t="shared" si="1"/>
        <v>0</v>
      </c>
      <c r="M7" s="91">
        <f t="shared" si="1"/>
        <v>0</v>
      </c>
    </row>
    <row r="8" spans="1:13" ht="13.5" thickTop="1" x14ac:dyDescent="0.2">
      <c r="A8" s="77"/>
    </row>
    <row r="9" spans="1:13" x14ac:dyDescent="0.2">
      <c r="A9" s="77"/>
    </row>
    <row r="10" spans="1:13" x14ac:dyDescent="0.2">
      <c r="A10" s="75" t="s">
        <v>26</v>
      </c>
    </row>
    <row r="11" spans="1:13" x14ac:dyDescent="0.2">
      <c r="A11" s="75" t="s">
        <v>27</v>
      </c>
    </row>
    <row r="12" spans="1:13" ht="13.5" thickBot="1" x14ac:dyDescent="0.25">
      <c r="A12" s="80"/>
      <c r="B12" s="91">
        <f>+B10+B11</f>
        <v>0</v>
      </c>
      <c r="C12" s="91">
        <f t="shared" ref="C12:M12" si="2">+C10+C11</f>
        <v>0</v>
      </c>
      <c r="D12" s="91">
        <f t="shared" si="2"/>
        <v>0</v>
      </c>
      <c r="E12" s="91">
        <f t="shared" si="2"/>
        <v>0</v>
      </c>
      <c r="F12" s="91">
        <f t="shared" si="2"/>
        <v>0</v>
      </c>
      <c r="G12" s="91">
        <f t="shared" si="2"/>
        <v>0</v>
      </c>
      <c r="H12" s="91">
        <f t="shared" si="2"/>
        <v>0</v>
      </c>
      <c r="I12" s="91">
        <f t="shared" si="2"/>
        <v>0</v>
      </c>
      <c r="J12" s="91">
        <f t="shared" si="2"/>
        <v>0</v>
      </c>
      <c r="K12" s="91">
        <f t="shared" si="2"/>
        <v>0</v>
      </c>
      <c r="L12" s="91">
        <f t="shared" si="2"/>
        <v>0</v>
      </c>
      <c r="M12" s="91">
        <f t="shared" si="2"/>
        <v>0</v>
      </c>
    </row>
    <row r="13" spans="1:13" ht="13.5" thickTop="1" x14ac:dyDescent="0.2">
      <c r="A13" s="77"/>
    </row>
    <row r="14" spans="1:13" x14ac:dyDescent="0.2">
      <c r="A14" s="78" t="s">
        <v>17</v>
      </c>
    </row>
    <row r="15" spans="1:13" x14ac:dyDescent="0.2">
      <c r="A15" s="75" t="s">
        <v>39</v>
      </c>
      <c r="B15" s="226">
        <f>'BS - 30.09.2016'!K16</f>
        <v>13855806154.76</v>
      </c>
      <c r="C15" s="228">
        <v>0</v>
      </c>
      <c r="D15" s="228">
        <v>0</v>
      </c>
      <c r="E15" s="228">
        <v>0</v>
      </c>
      <c r="F15" s="228">
        <v>0</v>
      </c>
      <c r="G15" s="228">
        <v>0</v>
      </c>
      <c r="H15" s="228">
        <v>0</v>
      </c>
      <c r="I15" s="228">
        <v>0</v>
      </c>
      <c r="J15" s="228">
        <v>0</v>
      </c>
      <c r="K15" s="228">
        <v>0</v>
      </c>
      <c r="L15" s="228">
        <v>0</v>
      </c>
      <c r="M15" s="228">
        <v>0</v>
      </c>
    </row>
    <row r="16" spans="1:13" x14ac:dyDescent="0.2">
      <c r="A16" s="85" t="s">
        <v>38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</row>
    <row r="17" spans="1:13" x14ac:dyDescent="0.2">
      <c r="A17" s="85" t="s">
        <v>33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</row>
    <row r="18" spans="1:13" x14ac:dyDescent="0.2">
      <c r="A18" s="73" t="s">
        <v>28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</row>
    <row r="19" spans="1:13" x14ac:dyDescent="0.2">
      <c r="A19" s="85" t="s">
        <v>29</v>
      </c>
      <c r="B19" s="226">
        <f>'BS - 30.09.2016'!K26</f>
        <v>2165624595.0699997</v>
      </c>
      <c r="C19" s="228">
        <v>0</v>
      </c>
      <c r="D19" s="228">
        <v>0</v>
      </c>
      <c r="E19" s="228">
        <v>0</v>
      </c>
      <c r="F19" s="228">
        <v>0</v>
      </c>
      <c r="G19" s="228">
        <v>0</v>
      </c>
      <c r="H19" s="228">
        <v>0</v>
      </c>
      <c r="I19" s="228">
        <v>0</v>
      </c>
      <c r="J19" s="228">
        <v>0</v>
      </c>
      <c r="K19" s="228">
        <v>0</v>
      </c>
      <c r="L19" s="228">
        <v>0</v>
      </c>
      <c r="M19" s="228">
        <v>0</v>
      </c>
    </row>
    <row r="20" spans="1:13" x14ac:dyDescent="0.2">
      <c r="A20" s="85" t="s">
        <v>30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 ht="13.5" thickBot="1" x14ac:dyDescent="0.25">
      <c r="A21" s="83" t="s">
        <v>47</v>
      </c>
      <c r="B21" s="79">
        <f t="shared" ref="B21:M21" si="3">SUM(B15:B20)</f>
        <v>16021430749.83</v>
      </c>
      <c r="C21" s="91">
        <f t="shared" si="3"/>
        <v>0</v>
      </c>
      <c r="D21" s="91">
        <f t="shared" si="3"/>
        <v>0</v>
      </c>
      <c r="E21" s="91">
        <f t="shared" si="3"/>
        <v>0</v>
      </c>
      <c r="F21" s="91">
        <f t="shared" si="3"/>
        <v>0</v>
      </c>
      <c r="G21" s="91">
        <f t="shared" si="3"/>
        <v>0</v>
      </c>
      <c r="H21" s="91">
        <f t="shared" si="3"/>
        <v>0</v>
      </c>
      <c r="I21" s="91">
        <f t="shared" si="3"/>
        <v>0</v>
      </c>
      <c r="J21" s="91">
        <f t="shared" si="3"/>
        <v>0</v>
      </c>
      <c r="K21" s="91">
        <f t="shared" si="3"/>
        <v>0</v>
      </c>
      <c r="L21" s="91">
        <f t="shared" si="3"/>
        <v>0</v>
      </c>
      <c r="M21" s="91">
        <f t="shared" si="3"/>
        <v>0</v>
      </c>
    </row>
    <row r="22" spans="1:13" ht="13.5" thickTop="1" x14ac:dyDescent="0.2">
      <c r="A22" s="77" t="s">
        <v>78</v>
      </c>
    </row>
    <row r="23" spans="1:13" x14ac:dyDescent="0.2">
      <c r="A23" s="77" t="s">
        <v>31</v>
      </c>
    </row>
    <row r="24" spans="1:13" x14ac:dyDescent="0.2">
      <c r="A24" s="73" t="s">
        <v>32</v>
      </c>
      <c r="B24" s="226">
        <f>'BS - 30.09.2016'!K31-B30</f>
        <v>38906367929.371254</v>
      </c>
      <c r="C24" s="228">
        <v>0</v>
      </c>
      <c r="D24" s="228">
        <v>0</v>
      </c>
      <c r="E24" s="228">
        <v>0</v>
      </c>
      <c r="F24" s="228">
        <v>0</v>
      </c>
      <c r="G24" s="228">
        <v>0</v>
      </c>
      <c r="H24" s="228">
        <v>0</v>
      </c>
      <c r="I24" s="228">
        <v>0</v>
      </c>
      <c r="J24" s="228">
        <v>0</v>
      </c>
      <c r="K24" s="228">
        <v>0</v>
      </c>
      <c r="L24" s="228">
        <v>0</v>
      </c>
      <c r="M24" s="228">
        <v>0</v>
      </c>
    </row>
    <row r="25" spans="1:13" x14ac:dyDescent="0.2">
      <c r="A25" s="85" t="s">
        <v>40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x14ac:dyDescent="0.2">
      <c r="A26" s="85" t="s">
        <v>34</v>
      </c>
      <c r="B26" s="226">
        <f t="shared" ref="B26:M26" si="4">-B19</f>
        <v>-2165624595.0699997</v>
      </c>
      <c r="C26" s="90">
        <f t="shared" si="4"/>
        <v>0</v>
      </c>
      <c r="D26" s="90">
        <f t="shared" si="4"/>
        <v>0</v>
      </c>
      <c r="E26" s="90">
        <f t="shared" si="4"/>
        <v>0</v>
      </c>
      <c r="F26" s="90">
        <f t="shared" si="4"/>
        <v>0</v>
      </c>
      <c r="G26" s="90">
        <f t="shared" si="4"/>
        <v>0</v>
      </c>
      <c r="H26" s="90">
        <f t="shared" si="4"/>
        <v>0</v>
      </c>
      <c r="I26" s="90">
        <f t="shared" si="4"/>
        <v>0</v>
      </c>
      <c r="J26" s="90">
        <f t="shared" si="4"/>
        <v>0</v>
      </c>
      <c r="K26" s="90">
        <f t="shared" si="4"/>
        <v>0</v>
      </c>
      <c r="L26" s="90">
        <f t="shared" si="4"/>
        <v>0</v>
      </c>
      <c r="M26" s="90">
        <f t="shared" si="4"/>
        <v>0</v>
      </c>
    </row>
    <row r="27" spans="1:13" x14ac:dyDescent="0.2">
      <c r="A27" s="85" t="s">
        <v>35</v>
      </c>
      <c r="B27" s="226">
        <f t="shared" ref="B27:M27" si="5">-B5</f>
        <v>-34940931256.030006</v>
      </c>
      <c r="C27" s="90">
        <f t="shared" si="5"/>
        <v>0</v>
      </c>
      <c r="D27" s="90">
        <f t="shared" si="5"/>
        <v>0</v>
      </c>
      <c r="E27" s="90">
        <f t="shared" si="5"/>
        <v>0</v>
      </c>
      <c r="F27" s="90">
        <f t="shared" si="5"/>
        <v>0</v>
      </c>
      <c r="G27" s="90">
        <f t="shared" si="5"/>
        <v>0</v>
      </c>
      <c r="H27" s="90">
        <f t="shared" si="5"/>
        <v>0</v>
      </c>
      <c r="I27" s="90">
        <f t="shared" si="5"/>
        <v>0</v>
      </c>
      <c r="J27" s="90">
        <f t="shared" si="5"/>
        <v>0</v>
      </c>
      <c r="K27" s="90">
        <f t="shared" si="5"/>
        <v>0</v>
      </c>
      <c r="L27" s="90">
        <f t="shared" si="5"/>
        <v>0</v>
      </c>
      <c r="M27" s="90">
        <f t="shared" si="5"/>
        <v>0</v>
      </c>
    </row>
    <row r="28" spans="1:13" ht="13.5" thickBot="1" x14ac:dyDescent="0.25">
      <c r="A28" s="80"/>
      <c r="B28" s="79">
        <f t="shared" ref="B28:M28" si="6">SUM(B23:B27)</f>
        <v>1799812078.2712479</v>
      </c>
      <c r="C28" s="91">
        <f t="shared" si="6"/>
        <v>0</v>
      </c>
      <c r="D28" s="91">
        <f t="shared" si="6"/>
        <v>0</v>
      </c>
      <c r="E28" s="91">
        <f t="shared" si="6"/>
        <v>0</v>
      </c>
      <c r="F28" s="91">
        <f t="shared" si="6"/>
        <v>0</v>
      </c>
      <c r="G28" s="91">
        <f t="shared" si="6"/>
        <v>0</v>
      </c>
      <c r="H28" s="91">
        <f t="shared" si="6"/>
        <v>0</v>
      </c>
      <c r="I28" s="91">
        <f t="shared" si="6"/>
        <v>0</v>
      </c>
      <c r="J28" s="91">
        <f t="shared" si="6"/>
        <v>0</v>
      </c>
      <c r="K28" s="91">
        <f t="shared" si="6"/>
        <v>0</v>
      </c>
      <c r="L28" s="91">
        <f t="shared" si="6"/>
        <v>0</v>
      </c>
      <c r="M28" s="91">
        <f t="shared" si="6"/>
        <v>0</v>
      </c>
    </row>
    <row r="29" spans="1:13" ht="13.5" thickTop="1" x14ac:dyDescent="0.2">
      <c r="A29" s="77" t="s">
        <v>78</v>
      </c>
    </row>
    <row r="30" spans="1:13" x14ac:dyDescent="0.2">
      <c r="A30" s="75" t="s">
        <v>116</v>
      </c>
      <c r="B30" s="231">
        <f>('BS - 30.09.2016'!K18+'BS - 30.09.2016'!K28)</f>
        <v>102770495.92201057</v>
      </c>
      <c r="C30" s="228">
        <v>0</v>
      </c>
      <c r="D30" s="228">
        <v>0</v>
      </c>
      <c r="E30" s="228">
        <v>0</v>
      </c>
      <c r="F30" s="228">
        <v>0</v>
      </c>
      <c r="G30" s="228">
        <v>0</v>
      </c>
      <c r="H30" s="228">
        <v>0</v>
      </c>
      <c r="I30" s="228">
        <v>0</v>
      </c>
      <c r="J30" s="228">
        <v>0</v>
      </c>
      <c r="K30" s="228">
        <v>0</v>
      </c>
      <c r="L30" s="228">
        <v>0</v>
      </c>
      <c r="M30" s="228">
        <v>0</v>
      </c>
    </row>
    <row r="31" spans="1:13" x14ac:dyDescent="0.2">
      <c r="A31" s="85" t="s">
        <v>48</v>
      </c>
      <c r="B31" s="90">
        <f t="shared" ref="B31:D31" si="7">-B25</f>
        <v>0</v>
      </c>
      <c r="C31" s="90">
        <f t="shared" si="7"/>
        <v>0</v>
      </c>
      <c r="D31" s="90">
        <f t="shared" si="7"/>
        <v>0</v>
      </c>
      <c r="E31" s="90">
        <f t="shared" ref="E31:F31" si="8">-E25</f>
        <v>0</v>
      </c>
      <c r="F31" s="90">
        <f t="shared" si="8"/>
        <v>0</v>
      </c>
      <c r="G31" s="90">
        <f t="shared" ref="G31:H31" si="9">-G25</f>
        <v>0</v>
      </c>
      <c r="H31" s="90">
        <f t="shared" si="9"/>
        <v>0</v>
      </c>
      <c r="I31" s="90">
        <f t="shared" ref="I31" si="10">-I25</f>
        <v>0</v>
      </c>
      <c r="J31" s="90">
        <v>0</v>
      </c>
      <c r="K31" s="90">
        <f t="shared" ref="K31" si="11">-K25</f>
        <v>0</v>
      </c>
      <c r="L31" s="90">
        <f t="shared" ref="L31" si="12">-L25</f>
        <v>0</v>
      </c>
      <c r="M31" s="90">
        <f t="shared" ref="M31" si="13">-M25</f>
        <v>0</v>
      </c>
    </row>
    <row r="32" spans="1:13" ht="13.5" thickBot="1" x14ac:dyDescent="0.25">
      <c r="A32" s="80"/>
      <c r="B32" s="79">
        <f t="shared" ref="B32:M32" si="14">SUM(B30:B31)</f>
        <v>102770495.92201057</v>
      </c>
      <c r="C32" s="91">
        <f t="shared" si="14"/>
        <v>0</v>
      </c>
      <c r="D32" s="91">
        <f t="shared" si="14"/>
        <v>0</v>
      </c>
      <c r="E32" s="91">
        <f t="shared" si="14"/>
        <v>0</v>
      </c>
      <c r="F32" s="91">
        <f t="shared" si="14"/>
        <v>0</v>
      </c>
      <c r="G32" s="91">
        <f t="shared" si="14"/>
        <v>0</v>
      </c>
      <c r="H32" s="91">
        <f t="shared" si="14"/>
        <v>0</v>
      </c>
      <c r="I32" s="91">
        <f t="shared" si="14"/>
        <v>0</v>
      </c>
      <c r="J32" s="91">
        <f t="shared" si="14"/>
        <v>0</v>
      </c>
      <c r="K32" s="91">
        <f t="shared" si="14"/>
        <v>0</v>
      </c>
      <c r="L32" s="91">
        <f t="shared" si="14"/>
        <v>0</v>
      </c>
      <c r="M32" s="91">
        <f t="shared" si="14"/>
        <v>0</v>
      </c>
    </row>
    <row r="33" spans="1:13" ht="13.5" thickTop="1" x14ac:dyDescent="0.2">
      <c r="A33" s="75"/>
    </row>
    <row r="34" spans="1:13" ht="13.5" thickBot="1" x14ac:dyDescent="0.25">
      <c r="A34" s="81" t="s">
        <v>21</v>
      </c>
      <c r="B34" s="79">
        <f>+B32+B28+B21+B12+B7</f>
        <v>52864944580.053268</v>
      </c>
      <c r="C34" s="91">
        <f t="shared" ref="C34:M34" si="15">+C32+C28+C21+C12+C7</f>
        <v>0</v>
      </c>
      <c r="D34" s="91">
        <f t="shared" si="15"/>
        <v>0</v>
      </c>
      <c r="E34" s="91">
        <f t="shared" si="15"/>
        <v>0</v>
      </c>
      <c r="F34" s="91">
        <f t="shared" si="15"/>
        <v>0</v>
      </c>
      <c r="G34" s="91">
        <f t="shared" si="15"/>
        <v>0</v>
      </c>
      <c r="H34" s="91">
        <f t="shared" si="15"/>
        <v>0</v>
      </c>
      <c r="I34" s="91">
        <f t="shared" si="15"/>
        <v>0</v>
      </c>
      <c r="J34" s="91">
        <f t="shared" si="15"/>
        <v>0</v>
      </c>
      <c r="K34" s="91">
        <f t="shared" si="15"/>
        <v>0</v>
      </c>
      <c r="L34" s="91">
        <f t="shared" si="15"/>
        <v>0</v>
      </c>
      <c r="M34" s="91">
        <f t="shared" si="15"/>
        <v>0</v>
      </c>
    </row>
    <row r="35" spans="1:13" ht="13.5" thickTop="1" x14ac:dyDescent="0.2">
      <c r="B35" s="228">
        <f t="shared" ref="B35:M35" si="16">B34-B46</f>
        <v>0</v>
      </c>
      <c r="C35" s="228">
        <f t="shared" si="16"/>
        <v>0</v>
      </c>
      <c r="D35" s="228">
        <f t="shared" si="16"/>
        <v>0</v>
      </c>
      <c r="E35" s="228">
        <f t="shared" si="16"/>
        <v>0</v>
      </c>
      <c r="F35" s="228">
        <f t="shared" si="16"/>
        <v>0</v>
      </c>
      <c r="G35" s="228">
        <f t="shared" si="16"/>
        <v>0</v>
      </c>
      <c r="H35" s="228">
        <f t="shared" si="16"/>
        <v>0</v>
      </c>
      <c r="I35" s="228">
        <f t="shared" si="16"/>
        <v>0</v>
      </c>
      <c r="J35" s="228">
        <f t="shared" si="16"/>
        <v>0</v>
      </c>
      <c r="K35" s="228">
        <f t="shared" si="16"/>
        <v>0</v>
      </c>
      <c r="L35" s="228">
        <f t="shared" si="16"/>
        <v>0</v>
      </c>
      <c r="M35" s="228">
        <f t="shared" si="16"/>
        <v>0</v>
      </c>
    </row>
    <row r="38" spans="1:13" x14ac:dyDescent="0.2">
      <c r="A38" s="69" t="s">
        <v>23</v>
      </c>
    </row>
    <row r="39" spans="1:13" x14ac:dyDescent="0.2">
      <c r="A39" s="74"/>
      <c r="B39" s="71">
        <f>B2</f>
        <v>1</v>
      </c>
      <c r="C39" s="71">
        <f t="shared" ref="C39:I39" si="17">C2</f>
        <v>2</v>
      </c>
      <c r="D39" s="71">
        <f t="shared" si="17"/>
        <v>3</v>
      </c>
      <c r="E39" s="71">
        <f t="shared" si="17"/>
        <v>4</v>
      </c>
      <c r="F39" s="71">
        <f t="shared" si="17"/>
        <v>5</v>
      </c>
      <c r="G39" s="71">
        <f t="shared" si="17"/>
        <v>6</v>
      </c>
      <c r="H39" s="71">
        <f t="shared" si="17"/>
        <v>7</v>
      </c>
      <c r="I39" s="71">
        <f t="shared" si="17"/>
        <v>8</v>
      </c>
      <c r="J39" s="71">
        <v>9</v>
      </c>
      <c r="K39" s="71">
        <f t="shared" ref="K39" si="18">K2</f>
        <v>10</v>
      </c>
      <c r="L39" s="71">
        <f t="shared" ref="L39" si="19">L2</f>
        <v>11</v>
      </c>
      <c r="M39" s="71">
        <f t="shared" ref="M39" si="20">M2</f>
        <v>12</v>
      </c>
    </row>
    <row r="40" spans="1:13" x14ac:dyDescent="0.2">
      <c r="A40" s="74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</row>
    <row r="41" spans="1:13" x14ac:dyDescent="0.2">
      <c r="A41" s="84" t="s">
        <v>18</v>
      </c>
      <c r="B41" s="76">
        <f t="shared" ref="B41:C41" si="21">+B7</f>
        <v>34940931256.030006</v>
      </c>
      <c r="C41" s="90">
        <f t="shared" si="21"/>
        <v>0</v>
      </c>
      <c r="D41" s="90">
        <f t="shared" ref="D41:M41" si="22">+D7</f>
        <v>0</v>
      </c>
      <c r="E41" s="90">
        <f t="shared" si="22"/>
        <v>0</v>
      </c>
      <c r="F41" s="90">
        <f t="shared" si="22"/>
        <v>0</v>
      </c>
      <c r="G41" s="90">
        <f t="shared" si="22"/>
        <v>0</v>
      </c>
      <c r="H41" s="90">
        <f t="shared" si="22"/>
        <v>0</v>
      </c>
      <c r="I41" s="90">
        <f t="shared" si="22"/>
        <v>0</v>
      </c>
      <c r="J41" s="90">
        <f t="shared" si="22"/>
        <v>0</v>
      </c>
      <c r="K41" s="90">
        <f t="shared" si="22"/>
        <v>0</v>
      </c>
      <c r="L41" s="90">
        <f t="shared" si="22"/>
        <v>0</v>
      </c>
      <c r="M41" s="90">
        <f t="shared" si="22"/>
        <v>0</v>
      </c>
    </row>
    <row r="42" spans="1:13" x14ac:dyDescent="0.2">
      <c r="A42" s="84" t="s">
        <v>19</v>
      </c>
      <c r="B42" s="90">
        <f t="shared" ref="B42:C42" si="23">+B12</f>
        <v>0</v>
      </c>
      <c r="C42" s="90">
        <f t="shared" si="23"/>
        <v>0</v>
      </c>
      <c r="D42" s="90">
        <f t="shared" ref="D42:M42" si="24">+D12</f>
        <v>0</v>
      </c>
      <c r="E42" s="90">
        <f t="shared" si="24"/>
        <v>0</v>
      </c>
      <c r="F42" s="90">
        <f t="shared" si="24"/>
        <v>0</v>
      </c>
      <c r="G42" s="90">
        <f t="shared" si="24"/>
        <v>0</v>
      </c>
      <c r="H42" s="90">
        <f t="shared" si="24"/>
        <v>0</v>
      </c>
      <c r="I42" s="90">
        <f t="shared" si="24"/>
        <v>0</v>
      </c>
      <c r="J42" s="90">
        <f t="shared" si="24"/>
        <v>0</v>
      </c>
      <c r="K42" s="90">
        <f t="shared" si="24"/>
        <v>0</v>
      </c>
      <c r="L42" s="90">
        <f t="shared" si="24"/>
        <v>0</v>
      </c>
      <c r="M42" s="90">
        <f t="shared" si="24"/>
        <v>0</v>
      </c>
    </row>
    <row r="43" spans="1:13" x14ac:dyDescent="0.2">
      <c r="A43" s="73" t="s">
        <v>17</v>
      </c>
      <c r="B43" s="76">
        <f t="shared" ref="B43:C43" si="25">+B21</f>
        <v>16021430749.83</v>
      </c>
      <c r="C43" s="90">
        <f t="shared" si="25"/>
        <v>0</v>
      </c>
      <c r="D43" s="90">
        <f t="shared" ref="D43:M43" si="26">+D21</f>
        <v>0</v>
      </c>
      <c r="E43" s="90">
        <f t="shared" si="26"/>
        <v>0</v>
      </c>
      <c r="F43" s="90">
        <f t="shared" si="26"/>
        <v>0</v>
      </c>
      <c r="G43" s="90">
        <f t="shared" si="26"/>
        <v>0</v>
      </c>
      <c r="H43" s="90">
        <f t="shared" si="26"/>
        <v>0</v>
      </c>
      <c r="I43" s="90">
        <f t="shared" si="26"/>
        <v>0</v>
      </c>
      <c r="J43" s="90">
        <f t="shared" si="26"/>
        <v>0</v>
      </c>
      <c r="K43" s="90">
        <f t="shared" si="26"/>
        <v>0</v>
      </c>
      <c r="L43" s="90">
        <f t="shared" si="26"/>
        <v>0</v>
      </c>
      <c r="M43" s="90">
        <f t="shared" si="26"/>
        <v>0</v>
      </c>
    </row>
    <row r="44" spans="1:13" x14ac:dyDescent="0.2">
      <c r="A44" s="85" t="s">
        <v>20</v>
      </c>
      <c r="B44" s="76">
        <f t="shared" ref="B44:C44" si="27">+B28</f>
        <v>1799812078.2712479</v>
      </c>
      <c r="C44" s="90">
        <f t="shared" si="27"/>
        <v>0</v>
      </c>
      <c r="D44" s="90">
        <f t="shared" ref="D44:M44" si="28">+D28</f>
        <v>0</v>
      </c>
      <c r="E44" s="90">
        <f t="shared" si="28"/>
        <v>0</v>
      </c>
      <c r="F44" s="90">
        <f t="shared" si="28"/>
        <v>0</v>
      </c>
      <c r="G44" s="90">
        <f t="shared" si="28"/>
        <v>0</v>
      </c>
      <c r="H44" s="90">
        <f t="shared" si="28"/>
        <v>0</v>
      </c>
      <c r="I44" s="90">
        <f t="shared" si="28"/>
        <v>0</v>
      </c>
      <c r="J44" s="90">
        <f t="shared" si="28"/>
        <v>0</v>
      </c>
      <c r="K44" s="90">
        <f t="shared" si="28"/>
        <v>0</v>
      </c>
      <c r="L44" s="90">
        <f t="shared" si="28"/>
        <v>0</v>
      </c>
      <c r="M44" s="90">
        <f t="shared" si="28"/>
        <v>0</v>
      </c>
    </row>
    <row r="45" spans="1:13" x14ac:dyDescent="0.2">
      <c r="A45" s="85" t="s">
        <v>24</v>
      </c>
      <c r="B45" s="76">
        <f t="shared" ref="B45:C45" si="29">+B32</f>
        <v>102770495.92201057</v>
      </c>
      <c r="C45" s="90">
        <f t="shared" si="29"/>
        <v>0</v>
      </c>
      <c r="D45" s="90">
        <f t="shared" ref="D45:M45" si="30">+D32</f>
        <v>0</v>
      </c>
      <c r="E45" s="90">
        <f t="shared" si="30"/>
        <v>0</v>
      </c>
      <c r="F45" s="90">
        <f t="shared" si="30"/>
        <v>0</v>
      </c>
      <c r="G45" s="90">
        <f t="shared" si="30"/>
        <v>0</v>
      </c>
      <c r="H45" s="90">
        <f t="shared" si="30"/>
        <v>0</v>
      </c>
      <c r="I45" s="90">
        <f t="shared" si="30"/>
        <v>0</v>
      </c>
      <c r="J45" s="90">
        <f t="shared" si="30"/>
        <v>0</v>
      </c>
      <c r="K45" s="90">
        <f t="shared" si="30"/>
        <v>0</v>
      </c>
      <c r="L45" s="90">
        <f t="shared" si="30"/>
        <v>0</v>
      </c>
      <c r="M45" s="90">
        <f t="shared" si="30"/>
        <v>0</v>
      </c>
    </row>
    <row r="46" spans="1:13" ht="13.5" thickBot="1" x14ac:dyDescent="0.25">
      <c r="A46" s="81" t="s">
        <v>21</v>
      </c>
      <c r="B46" s="79">
        <f t="shared" ref="B46:C46" si="31">SUM(B41:B45)</f>
        <v>52864944580.053268</v>
      </c>
      <c r="C46" s="91">
        <f t="shared" si="31"/>
        <v>0</v>
      </c>
      <c r="D46" s="91">
        <f t="shared" ref="D46:M46" si="32">SUM(D41:D45)</f>
        <v>0</v>
      </c>
      <c r="E46" s="91">
        <f t="shared" si="32"/>
        <v>0</v>
      </c>
      <c r="F46" s="91">
        <f t="shared" si="32"/>
        <v>0</v>
      </c>
      <c r="G46" s="91">
        <f t="shared" si="32"/>
        <v>0</v>
      </c>
      <c r="H46" s="91">
        <f t="shared" si="32"/>
        <v>0</v>
      </c>
      <c r="I46" s="91">
        <f t="shared" si="32"/>
        <v>0</v>
      </c>
      <c r="J46" s="91">
        <f t="shared" si="32"/>
        <v>0</v>
      </c>
      <c r="K46" s="91">
        <f t="shared" si="32"/>
        <v>0</v>
      </c>
      <c r="L46" s="91">
        <f t="shared" si="32"/>
        <v>0</v>
      </c>
      <c r="M46" s="91">
        <f t="shared" si="32"/>
        <v>0</v>
      </c>
    </row>
    <row r="47" spans="1:13" ht="13.5" thickTop="1" x14ac:dyDescent="0.2">
      <c r="B47" s="90">
        <f t="shared" ref="B47:C47" si="33">+B34-B46</f>
        <v>0</v>
      </c>
      <c r="C47" s="90">
        <f t="shared" si="33"/>
        <v>0</v>
      </c>
      <c r="D47" s="90">
        <f t="shared" ref="D47:M47" si="34">+D34-D46</f>
        <v>0</v>
      </c>
      <c r="E47" s="90">
        <f t="shared" si="34"/>
        <v>0</v>
      </c>
      <c r="F47" s="90">
        <f t="shared" si="34"/>
        <v>0</v>
      </c>
      <c r="G47" s="90">
        <f t="shared" si="34"/>
        <v>0</v>
      </c>
      <c r="H47" s="90">
        <f t="shared" si="34"/>
        <v>0</v>
      </c>
      <c r="I47" s="90">
        <f t="shared" si="34"/>
        <v>0</v>
      </c>
      <c r="J47" s="90">
        <f t="shared" si="34"/>
        <v>0</v>
      </c>
      <c r="K47" s="90">
        <f t="shared" si="34"/>
        <v>0</v>
      </c>
      <c r="L47" s="90">
        <f t="shared" si="34"/>
        <v>0</v>
      </c>
      <c r="M47" s="90">
        <f t="shared" si="34"/>
        <v>0</v>
      </c>
    </row>
  </sheetData>
  <phoneticPr fontId="0" type="noConversion"/>
  <printOptions gridLines="1"/>
  <pageMargins left="0.75" right="0.75" top="1" bottom="1" header="0.5" footer="0.5"/>
  <pageSetup paperSize="9" scale="7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4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34.77734375" style="41" customWidth="1"/>
    <col min="2" max="2" width="11.109375" style="41" customWidth="1"/>
    <col min="3" max="13" width="3.44140625" style="41" bestFit="1" customWidth="1"/>
    <col min="14" max="16384" width="8.88671875" style="41"/>
  </cols>
  <sheetData>
    <row r="1" spans="1:13" x14ac:dyDescent="0.2">
      <c r="A1" s="69" t="s">
        <v>25</v>
      </c>
    </row>
    <row r="2" spans="1:13" x14ac:dyDescent="0.2">
      <c r="A2" s="70">
        <v>2016</v>
      </c>
      <c r="B2" s="71">
        <v>1</v>
      </c>
      <c r="C2" s="71">
        <v>2</v>
      </c>
      <c r="D2" s="71">
        <v>3</v>
      </c>
      <c r="E2" s="71">
        <v>4</v>
      </c>
      <c r="F2" s="71">
        <v>5</v>
      </c>
      <c r="G2" s="71">
        <v>6</v>
      </c>
      <c r="H2" s="71">
        <v>7</v>
      </c>
      <c r="I2" s="71">
        <v>8</v>
      </c>
      <c r="J2" s="71">
        <v>9</v>
      </c>
      <c r="K2" s="71">
        <v>10</v>
      </c>
      <c r="L2" s="71">
        <v>11</v>
      </c>
      <c r="M2" s="71">
        <v>12</v>
      </c>
    </row>
    <row r="3" spans="1:13" x14ac:dyDescent="0.2">
      <c r="A3" s="72" t="s">
        <v>16</v>
      </c>
      <c r="B3" s="227">
        <f>'BS - 30.09.2016'!N33</f>
        <v>2665405636.6289997</v>
      </c>
      <c r="C3" s="229">
        <v>0</v>
      </c>
      <c r="D3" s="229">
        <v>0</v>
      </c>
      <c r="E3" s="229">
        <v>0</v>
      </c>
      <c r="F3" s="229">
        <v>0</v>
      </c>
      <c r="G3" s="229">
        <v>0</v>
      </c>
      <c r="H3" s="229">
        <v>0</v>
      </c>
      <c r="I3" s="229">
        <v>0</v>
      </c>
      <c r="J3" s="229">
        <v>0</v>
      </c>
      <c r="K3" s="229">
        <v>0</v>
      </c>
      <c r="L3" s="229">
        <v>0</v>
      </c>
      <c r="M3" s="229">
        <v>0</v>
      </c>
    </row>
    <row r="4" spans="1:13" x14ac:dyDescent="0.2">
      <c r="A4" s="74"/>
      <c r="B4" s="72"/>
      <c r="C4" s="72"/>
      <c r="D4" s="72"/>
      <c r="E4" s="72"/>
      <c r="F4" s="73"/>
      <c r="G4" s="73"/>
      <c r="H4" s="72"/>
      <c r="I4" s="72"/>
      <c r="J4" s="72"/>
      <c r="K4" s="72"/>
      <c r="L4" s="73"/>
      <c r="M4" s="73"/>
    </row>
    <row r="5" spans="1:13" x14ac:dyDescent="0.2">
      <c r="A5" s="75" t="s">
        <v>36</v>
      </c>
      <c r="B5" s="226">
        <f>'BS - 30.09.2016'!N23+'BS - 30.09.2016'!N24+'BS - 30.09.2016'!N25</f>
        <v>0</v>
      </c>
      <c r="C5" s="228">
        <v>0</v>
      </c>
      <c r="D5" s="228">
        <v>0</v>
      </c>
      <c r="E5" s="228">
        <v>0</v>
      </c>
      <c r="F5" s="228">
        <v>0</v>
      </c>
      <c r="G5" s="228">
        <v>0</v>
      </c>
      <c r="H5" s="228">
        <v>0</v>
      </c>
      <c r="I5" s="228">
        <v>0</v>
      </c>
      <c r="J5" s="228">
        <v>0</v>
      </c>
      <c r="K5" s="228">
        <v>0</v>
      </c>
      <c r="L5" s="228">
        <v>0</v>
      </c>
      <c r="M5" s="228">
        <v>0</v>
      </c>
    </row>
    <row r="6" spans="1:13" x14ac:dyDescent="0.2">
      <c r="A6" s="75" t="s">
        <v>37</v>
      </c>
    </row>
    <row r="7" spans="1:13" ht="13.5" thickBot="1" x14ac:dyDescent="0.25">
      <c r="A7" s="83"/>
      <c r="B7" s="79">
        <f t="shared" ref="B7:M7" si="0">SUM(B5:B6)</f>
        <v>0</v>
      </c>
      <c r="C7" s="91">
        <f t="shared" si="0"/>
        <v>0</v>
      </c>
      <c r="D7" s="91">
        <f t="shared" si="0"/>
        <v>0</v>
      </c>
      <c r="E7" s="91">
        <f t="shared" si="0"/>
        <v>0</v>
      </c>
      <c r="F7" s="91">
        <f t="shared" si="0"/>
        <v>0</v>
      </c>
      <c r="G7" s="91">
        <f t="shared" si="0"/>
        <v>0</v>
      </c>
      <c r="H7" s="91">
        <f t="shared" si="0"/>
        <v>0</v>
      </c>
      <c r="I7" s="91">
        <f t="shared" si="0"/>
        <v>0</v>
      </c>
      <c r="J7" s="91">
        <f t="shared" si="0"/>
        <v>0</v>
      </c>
      <c r="K7" s="91">
        <f t="shared" si="0"/>
        <v>0</v>
      </c>
      <c r="L7" s="91">
        <f t="shared" si="0"/>
        <v>0</v>
      </c>
      <c r="M7" s="91">
        <f t="shared" si="0"/>
        <v>0</v>
      </c>
    </row>
    <row r="8" spans="1:13" ht="13.5" thickTop="1" x14ac:dyDescent="0.2">
      <c r="A8" s="77"/>
    </row>
    <row r="9" spans="1:13" x14ac:dyDescent="0.2">
      <c r="A9" s="77"/>
    </row>
    <row r="10" spans="1:13" x14ac:dyDescent="0.2">
      <c r="A10" s="75" t="s">
        <v>26</v>
      </c>
    </row>
    <row r="11" spans="1:13" x14ac:dyDescent="0.2">
      <c r="A11" s="75" t="s">
        <v>27</v>
      </c>
      <c r="B11" s="228">
        <v>0</v>
      </c>
      <c r="C11" s="228">
        <v>0</v>
      </c>
      <c r="D11" s="228">
        <v>0</v>
      </c>
      <c r="E11" s="228">
        <v>0</v>
      </c>
      <c r="F11" s="228">
        <v>0</v>
      </c>
      <c r="G11" s="228">
        <v>0</v>
      </c>
      <c r="H11" s="228">
        <v>0</v>
      </c>
      <c r="I11" s="228">
        <v>0</v>
      </c>
      <c r="J11" s="228">
        <v>0</v>
      </c>
      <c r="K11" s="228">
        <v>0</v>
      </c>
      <c r="L11" s="228">
        <v>0</v>
      </c>
      <c r="M11" s="228">
        <v>0</v>
      </c>
    </row>
    <row r="12" spans="1:13" ht="13.5" thickBot="1" x14ac:dyDescent="0.25">
      <c r="A12" s="80"/>
      <c r="B12" s="91">
        <f t="shared" ref="B12:M12" si="1">+B10+B11</f>
        <v>0</v>
      </c>
      <c r="C12" s="91">
        <f t="shared" si="1"/>
        <v>0</v>
      </c>
      <c r="D12" s="91">
        <f t="shared" si="1"/>
        <v>0</v>
      </c>
      <c r="E12" s="91">
        <f t="shared" si="1"/>
        <v>0</v>
      </c>
      <c r="F12" s="91">
        <f t="shared" si="1"/>
        <v>0</v>
      </c>
      <c r="G12" s="91">
        <f t="shared" si="1"/>
        <v>0</v>
      </c>
      <c r="H12" s="91">
        <f t="shared" si="1"/>
        <v>0</v>
      </c>
      <c r="I12" s="91">
        <f t="shared" si="1"/>
        <v>0</v>
      </c>
      <c r="J12" s="91">
        <f t="shared" si="1"/>
        <v>0</v>
      </c>
      <c r="K12" s="91">
        <f t="shared" si="1"/>
        <v>0</v>
      </c>
      <c r="L12" s="91">
        <f t="shared" si="1"/>
        <v>0</v>
      </c>
      <c r="M12" s="91">
        <f t="shared" si="1"/>
        <v>0</v>
      </c>
    </row>
    <row r="13" spans="1:13" ht="13.5" thickTop="1" x14ac:dyDescent="0.2">
      <c r="A13" s="77"/>
    </row>
    <row r="14" spans="1:13" x14ac:dyDescent="0.2">
      <c r="A14" s="78" t="s">
        <v>17</v>
      </c>
    </row>
    <row r="15" spans="1:13" x14ac:dyDescent="0.2">
      <c r="A15" s="75" t="s">
        <v>39</v>
      </c>
      <c r="B15" s="226">
        <f>'BS - 30.09.2016'!N16-('BS - 30.09.2016'!N11+'BS - 30.09.2016'!N12)/2</f>
        <v>1503333748.395</v>
      </c>
      <c r="C15" s="228">
        <v>0</v>
      </c>
      <c r="D15" s="228">
        <v>0</v>
      </c>
      <c r="E15" s="228">
        <v>0</v>
      </c>
      <c r="F15" s="228">
        <v>0</v>
      </c>
      <c r="G15" s="228">
        <v>0</v>
      </c>
      <c r="H15" s="228">
        <v>0</v>
      </c>
      <c r="I15" s="228">
        <v>0</v>
      </c>
      <c r="J15" s="228">
        <v>0</v>
      </c>
      <c r="K15" s="228">
        <v>0</v>
      </c>
      <c r="L15" s="228">
        <v>0</v>
      </c>
      <c r="M15" s="228">
        <v>0</v>
      </c>
    </row>
    <row r="16" spans="1:13" x14ac:dyDescent="0.2">
      <c r="A16" s="75" t="s">
        <v>38</v>
      </c>
      <c r="B16" s="76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</row>
    <row r="17" spans="1:13" x14ac:dyDescent="0.2">
      <c r="A17" s="75" t="s">
        <v>33</v>
      </c>
      <c r="B17" s="76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</row>
    <row r="18" spans="1:13" x14ac:dyDescent="0.2">
      <c r="A18" s="72" t="s">
        <v>28</v>
      </c>
      <c r="B18" s="76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</row>
    <row r="19" spans="1:13" x14ac:dyDescent="0.2">
      <c r="A19" s="75" t="s">
        <v>29</v>
      </c>
      <c r="B19" s="226">
        <f>'BS - 30.09.2016'!N26</f>
        <v>73339363.159999996</v>
      </c>
      <c r="C19" s="90">
        <v>0</v>
      </c>
      <c r="D19" s="90">
        <v>0</v>
      </c>
      <c r="E19" s="90">
        <v>0</v>
      </c>
      <c r="F19" s="90">
        <v>0</v>
      </c>
      <c r="G19" s="90">
        <v>0</v>
      </c>
      <c r="H19" s="90">
        <v>0</v>
      </c>
      <c r="I19" s="90">
        <v>0</v>
      </c>
      <c r="J19" s="90">
        <v>0</v>
      </c>
      <c r="K19" s="90">
        <v>0</v>
      </c>
      <c r="L19" s="90">
        <v>0</v>
      </c>
      <c r="M19" s="90">
        <v>0</v>
      </c>
    </row>
    <row r="20" spans="1:13" x14ac:dyDescent="0.2">
      <c r="A20" s="75" t="s">
        <v>30</v>
      </c>
      <c r="B20" s="90">
        <f>-B11</f>
        <v>0</v>
      </c>
      <c r="C20" s="90">
        <f t="shared" ref="C20" si="2">-C11</f>
        <v>0</v>
      </c>
      <c r="D20" s="90">
        <f t="shared" ref="D20:M20" si="3">-D11</f>
        <v>0</v>
      </c>
      <c r="E20" s="90">
        <f t="shared" si="3"/>
        <v>0</v>
      </c>
      <c r="F20" s="90">
        <f t="shared" si="3"/>
        <v>0</v>
      </c>
      <c r="G20" s="90">
        <f t="shared" si="3"/>
        <v>0</v>
      </c>
      <c r="H20" s="90">
        <f t="shared" si="3"/>
        <v>0</v>
      </c>
      <c r="I20" s="90">
        <f t="shared" si="3"/>
        <v>0</v>
      </c>
      <c r="J20" s="90">
        <f t="shared" si="3"/>
        <v>0</v>
      </c>
      <c r="K20" s="90">
        <f t="shared" si="3"/>
        <v>0</v>
      </c>
      <c r="L20" s="90">
        <f t="shared" si="3"/>
        <v>0</v>
      </c>
      <c r="M20" s="90">
        <f t="shared" si="3"/>
        <v>0</v>
      </c>
    </row>
    <row r="21" spans="1:13" ht="13.5" thickBot="1" x14ac:dyDescent="0.25">
      <c r="A21" s="80"/>
      <c r="B21" s="79">
        <f t="shared" ref="B21:M21" si="4">SUM(B15:B20)</f>
        <v>1576673111.5550001</v>
      </c>
      <c r="C21" s="91">
        <f t="shared" si="4"/>
        <v>0</v>
      </c>
      <c r="D21" s="91">
        <f t="shared" si="4"/>
        <v>0</v>
      </c>
      <c r="E21" s="91">
        <f t="shared" si="4"/>
        <v>0</v>
      </c>
      <c r="F21" s="91">
        <f t="shared" si="4"/>
        <v>0</v>
      </c>
      <c r="G21" s="91">
        <f t="shared" si="4"/>
        <v>0</v>
      </c>
      <c r="H21" s="91">
        <f t="shared" si="4"/>
        <v>0</v>
      </c>
      <c r="I21" s="91">
        <f t="shared" si="4"/>
        <v>0</v>
      </c>
      <c r="J21" s="91">
        <f t="shared" si="4"/>
        <v>0</v>
      </c>
      <c r="K21" s="91">
        <f t="shared" si="4"/>
        <v>0</v>
      </c>
      <c r="L21" s="91">
        <f t="shared" si="4"/>
        <v>0</v>
      </c>
      <c r="M21" s="91">
        <f t="shared" si="4"/>
        <v>0</v>
      </c>
    </row>
    <row r="22" spans="1:13" ht="13.5" thickTop="1" x14ac:dyDescent="0.2">
      <c r="A22" s="77" t="s">
        <v>78</v>
      </c>
    </row>
    <row r="23" spans="1:13" x14ac:dyDescent="0.2">
      <c r="A23" s="77" t="s">
        <v>31</v>
      </c>
    </row>
    <row r="24" spans="1:13" x14ac:dyDescent="0.2">
      <c r="A24" s="72" t="s">
        <v>32</v>
      </c>
      <c r="B24" s="226">
        <f>'BS - 30.09.2016'!N31-'BS - 30.09.2016'!N18-'BS - 30.09.2016'!N28</f>
        <v>169590777.29900002</v>
      </c>
      <c r="C24" s="228">
        <v>0</v>
      </c>
      <c r="D24" s="228">
        <v>0</v>
      </c>
      <c r="E24" s="228">
        <v>0</v>
      </c>
      <c r="F24" s="228">
        <v>0</v>
      </c>
      <c r="G24" s="228">
        <v>0</v>
      </c>
      <c r="H24" s="228">
        <v>0</v>
      </c>
      <c r="I24" s="228">
        <v>0</v>
      </c>
      <c r="J24" s="228">
        <v>0</v>
      </c>
      <c r="K24" s="228">
        <v>0</v>
      </c>
      <c r="L24" s="228">
        <v>0</v>
      </c>
      <c r="M24" s="228">
        <v>0</v>
      </c>
    </row>
    <row r="25" spans="1:13" x14ac:dyDescent="0.2">
      <c r="A25" s="75" t="s">
        <v>46</v>
      </c>
      <c r="B25" s="76">
        <f t="shared" ref="B25:C25" si="5">-B31</f>
        <v>0</v>
      </c>
      <c r="C25" s="90">
        <f t="shared" si="5"/>
        <v>0</v>
      </c>
      <c r="D25" s="90">
        <f t="shared" ref="D25:M25" si="6">-D31</f>
        <v>0</v>
      </c>
      <c r="E25" s="90">
        <f t="shared" si="6"/>
        <v>0</v>
      </c>
      <c r="F25" s="90">
        <f t="shared" si="6"/>
        <v>0</v>
      </c>
      <c r="G25" s="90">
        <f t="shared" si="6"/>
        <v>0</v>
      </c>
      <c r="H25" s="90">
        <f t="shared" si="6"/>
        <v>0</v>
      </c>
      <c r="I25" s="90">
        <f t="shared" si="6"/>
        <v>0</v>
      </c>
      <c r="J25" s="90">
        <f t="shared" si="6"/>
        <v>0</v>
      </c>
      <c r="K25" s="90">
        <f t="shared" si="6"/>
        <v>0</v>
      </c>
      <c r="L25" s="90">
        <f t="shared" si="6"/>
        <v>0</v>
      </c>
      <c r="M25" s="90">
        <f t="shared" si="6"/>
        <v>0</v>
      </c>
    </row>
    <row r="26" spans="1:13" x14ac:dyDescent="0.2">
      <c r="A26" s="75" t="s">
        <v>34</v>
      </c>
      <c r="B26" s="226">
        <f t="shared" ref="B26:C26" si="7">-B19</f>
        <v>-73339363.159999996</v>
      </c>
      <c r="C26" s="90">
        <f t="shared" si="7"/>
        <v>0</v>
      </c>
      <c r="D26" s="90">
        <f t="shared" ref="D26:M26" si="8">-D19</f>
        <v>0</v>
      </c>
      <c r="E26" s="90">
        <f t="shared" si="8"/>
        <v>0</v>
      </c>
      <c r="F26" s="90">
        <f t="shared" si="8"/>
        <v>0</v>
      </c>
      <c r="G26" s="90">
        <f t="shared" si="8"/>
        <v>0</v>
      </c>
      <c r="H26" s="90">
        <f t="shared" si="8"/>
        <v>0</v>
      </c>
      <c r="I26" s="90">
        <f t="shared" si="8"/>
        <v>0</v>
      </c>
      <c r="J26" s="90">
        <f t="shared" si="8"/>
        <v>0</v>
      </c>
      <c r="K26" s="90">
        <f t="shared" si="8"/>
        <v>0</v>
      </c>
      <c r="L26" s="90">
        <f t="shared" si="8"/>
        <v>0</v>
      </c>
      <c r="M26" s="90">
        <f t="shared" si="8"/>
        <v>0</v>
      </c>
    </row>
    <row r="27" spans="1:13" x14ac:dyDescent="0.2">
      <c r="A27" s="75" t="s">
        <v>35</v>
      </c>
      <c r="B27" s="226">
        <f t="shared" ref="B27:C27" si="9">-B5</f>
        <v>0</v>
      </c>
      <c r="C27" s="90">
        <f t="shared" si="9"/>
        <v>0</v>
      </c>
      <c r="D27" s="90">
        <f t="shared" ref="D27:M27" si="10">-D5</f>
        <v>0</v>
      </c>
      <c r="E27" s="90">
        <f t="shared" si="10"/>
        <v>0</v>
      </c>
      <c r="F27" s="90">
        <f t="shared" si="10"/>
        <v>0</v>
      </c>
      <c r="G27" s="90">
        <f t="shared" si="10"/>
        <v>0</v>
      </c>
      <c r="H27" s="90">
        <f t="shared" si="10"/>
        <v>0</v>
      </c>
      <c r="I27" s="90">
        <f t="shared" si="10"/>
        <v>0</v>
      </c>
      <c r="J27" s="90">
        <f t="shared" si="10"/>
        <v>0</v>
      </c>
      <c r="K27" s="90">
        <f t="shared" si="10"/>
        <v>0</v>
      </c>
      <c r="L27" s="90">
        <f t="shared" si="10"/>
        <v>0</v>
      </c>
      <c r="M27" s="90">
        <f t="shared" si="10"/>
        <v>0</v>
      </c>
    </row>
    <row r="28" spans="1:13" ht="13.5" thickBot="1" x14ac:dyDescent="0.25">
      <c r="A28" s="80"/>
      <c r="B28" s="79">
        <f>SUM(B22:B27)</f>
        <v>96251414.139000028</v>
      </c>
      <c r="C28" s="91">
        <f t="shared" ref="C28" si="11">SUM(C22:C27)</f>
        <v>0</v>
      </c>
      <c r="D28" s="91">
        <f t="shared" ref="D28:M28" si="12">SUM(D22:D27)</f>
        <v>0</v>
      </c>
      <c r="E28" s="91">
        <f t="shared" si="12"/>
        <v>0</v>
      </c>
      <c r="F28" s="91">
        <f t="shared" si="12"/>
        <v>0</v>
      </c>
      <c r="G28" s="91">
        <f t="shared" si="12"/>
        <v>0</v>
      </c>
      <c r="H28" s="91">
        <f t="shared" si="12"/>
        <v>0</v>
      </c>
      <c r="I28" s="91">
        <f t="shared" si="12"/>
        <v>0</v>
      </c>
      <c r="J28" s="91">
        <f t="shared" si="12"/>
        <v>0</v>
      </c>
      <c r="K28" s="91">
        <f t="shared" si="12"/>
        <v>0</v>
      </c>
      <c r="L28" s="91">
        <f t="shared" si="12"/>
        <v>0</v>
      </c>
      <c r="M28" s="91">
        <f t="shared" si="12"/>
        <v>0</v>
      </c>
    </row>
    <row r="29" spans="1:13" ht="13.5" thickTop="1" x14ac:dyDescent="0.2">
      <c r="A29" s="77" t="s">
        <v>78</v>
      </c>
    </row>
    <row r="30" spans="1:13" x14ac:dyDescent="0.2">
      <c r="A30" s="75" t="s">
        <v>59</v>
      </c>
      <c r="B30" s="226">
        <f>'BS - 30.09.2016'!N18+'BS - 30.09.2016'!N28+('BS - 30.09.2016'!N11+'BS - 30.09.2016'!N12)/2</f>
        <v>992481110.93499994</v>
      </c>
      <c r="C30" s="228">
        <v>0</v>
      </c>
      <c r="D30" s="228">
        <v>0</v>
      </c>
      <c r="E30" s="228">
        <v>0</v>
      </c>
      <c r="F30" s="228">
        <v>0</v>
      </c>
      <c r="G30" s="228">
        <v>0</v>
      </c>
      <c r="H30" s="228">
        <v>0</v>
      </c>
      <c r="I30" s="228">
        <v>0</v>
      </c>
      <c r="J30" s="228">
        <v>0</v>
      </c>
      <c r="K30" s="228">
        <v>0</v>
      </c>
      <c r="L30" s="228">
        <v>0</v>
      </c>
      <c r="M30" s="228">
        <v>0</v>
      </c>
    </row>
    <row r="31" spans="1:13" x14ac:dyDescent="0.2">
      <c r="A31" s="75" t="s">
        <v>48</v>
      </c>
    </row>
    <row r="32" spans="1:13" ht="13.5" thickBot="1" x14ac:dyDescent="0.25">
      <c r="A32" s="80"/>
      <c r="B32" s="79">
        <f t="shared" ref="B32:M32" si="13">SUM(B29:B31)</f>
        <v>992481110.93499994</v>
      </c>
      <c r="C32" s="91">
        <f t="shared" si="13"/>
        <v>0</v>
      </c>
      <c r="D32" s="91">
        <f t="shared" si="13"/>
        <v>0</v>
      </c>
      <c r="E32" s="91">
        <f t="shared" si="13"/>
        <v>0</v>
      </c>
      <c r="F32" s="91">
        <f t="shared" si="13"/>
        <v>0</v>
      </c>
      <c r="G32" s="91">
        <f t="shared" si="13"/>
        <v>0</v>
      </c>
      <c r="H32" s="91">
        <f t="shared" si="13"/>
        <v>0</v>
      </c>
      <c r="I32" s="91">
        <f t="shared" si="13"/>
        <v>0</v>
      </c>
      <c r="J32" s="91">
        <f t="shared" si="13"/>
        <v>0</v>
      </c>
      <c r="K32" s="91">
        <f t="shared" si="13"/>
        <v>0</v>
      </c>
      <c r="L32" s="91">
        <f t="shared" si="13"/>
        <v>0</v>
      </c>
      <c r="M32" s="91">
        <f t="shared" si="13"/>
        <v>0</v>
      </c>
    </row>
    <row r="33" spans="1:13" ht="13.5" thickTop="1" x14ac:dyDescent="0.2">
      <c r="A33" s="75"/>
    </row>
    <row r="34" spans="1:13" ht="13.5" thickBot="1" x14ac:dyDescent="0.25">
      <c r="A34" s="81" t="s">
        <v>21</v>
      </c>
      <c r="B34" s="79">
        <f>+B32+B28+B21+B12+B7</f>
        <v>2665405636.6289997</v>
      </c>
      <c r="C34" s="91">
        <f t="shared" ref="C34:M34" si="14">+C32+C28+C21+C12+C7</f>
        <v>0</v>
      </c>
      <c r="D34" s="91">
        <f t="shared" si="14"/>
        <v>0</v>
      </c>
      <c r="E34" s="91">
        <f t="shared" si="14"/>
        <v>0</v>
      </c>
      <c r="F34" s="91">
        <f t="shared" si="14"/>
        <v>0</v>
      </c>
      <c r="G34" s="91">
        <f t="shared" si="14"/>
        <v>0</v>
      </c>
      <c r="H34" s="91">
        <f t="shared" si="14"/>
        <v>0</v>
      </c>
      <c r="I34" s="91">
        <f t="shared" si="14"/>
        <v>0</v>
      </c>
      <c r="J34" s="91">
        <f t="shared" si="14"/>
        <v>0</v>
      </c>
      <c r="K34" s="91">
        <f t="shared" si="14"/>
        <v>0</v>
      </c>
      <c r="L34" s="91">
        <f t="shared" si="14"/>
        <v>0</v>
      </c>
      <c r="M34" s="91">
        <f t="shared" si="14"/>
        <v>0</v>
      </c>
    </row>
    <row r="35" spans="1:13" ht="13.5" thickTop="1" x14ac:dyDescent="0.2">
      <c r="B35" s="228">
        <f>+B3-B34</f>
        <v>0</v>
      </c>
      <c r="C35" s="228">
        <f t="shared" ref="C35:L35" si="15">+C3-C34</f>
        <v>0</v>
      </c>
      <c r="D35" s="228">
        <f t="shared" si="15"/>
        <v>0</v>
      </c>
      <c r="E35" s="228">
        <f t="shared" si="15"/>
        <v>0</v>
      </c>
      <c r="F35" s="228">
        <f t="shared" si="15"/>
        <v>0</v>
      </c>
      <c r="G35" s="228">
        <f t="shared" si="15"/>
        <v>0</v>
      </c>
      <c r="H35" s="228">
        <f t="shared" si="15"/>
        <v>0</v>
      </c>
      <c r="I35" s="228">
        <f t="shared" si="15"/>
        <v>0</v>
      </c>
      <c r="J35" s="228">
        <f t="shared" si="15"/>
        <v>0</v>
      </c>
      <c r="K35" s="228">
        <f t="shared" si="15"/>
        <v>0</v>
      </c>
      <c r="L35" s="228">
        <f t="shared" si="15"/>
        <v>0</v>
      </c>
      <c r="M35" s="228">
        <f>+M3-M34</f>
        <v>0</v>
      </c>
    </row>
    <row r="36" spans="1:13" x14ac:dyDescent="0.2">
      <c r="B36" s="228">
        <f>B34-'BS - 30.09.2016'!N33</f>
        <v>0</v>
      </c>
    </row>
    <row r="38" spans="1:13" x14ac:dyDescent="0.2">
      <c r="A38" s="69" t="s">
        <v>22</v>
      </c>
    </row>
    <row r="39" spans="1:13" x14ac:dyDescent="0.2">
      <c r="A39" s="74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</row>
    <row r="40" spans="1:13" x14ac:dyDescent="0.2">
      <c r="A40" s="74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</row>
    <row r="41" spans="1:13" x14ac:dyDescent="0.2">
      <c r="A41" s="77" t="s">
        <v>18</v>
      </c>
      <c r="B41" s="76">
        <f t="shared" ref="B41:C41" si="16">+B7</f>
        <v>0</v>
      </c>
      <c r="C41" s="90">
        <f t="shared" si="16"/>
        <v>0</v>
      </c>
      <c r="D41" s="90">
        <f t="shared" ref="D41:M41" si="17">+D7</f>
        <v>0</v>
      </c>
      <c r="E41" s="90">
        <f t="shared" si="17"/>
        <v>0</v>
      </c>
      <c r="F41" s="90">
        <f t="shared" si="17"/>
        <v>0</v>
      </c>
      <c r="G41" s="90">
        <f t="shared" si="17"/>
        <v>0</v>
      </c>
      <c r="H41" s="90">
        <f t="shared" si="17"/>
        <v>0</v>
      </c>
      <c r="I41" s="90">
        <f t="shared" si="17"/>
        <v>0</v>
      </c>
      <c r="J41" s="90">
        <f t="shared" si="17"/>
        <v>0</v>
      </c>
      <c r="K41" s="90">
        <f t="shared" si="17"/>
        <v>0</v>
      </c>
      <c r="L41" s="90">
        <f t="shared" si="17"/>
        <v>0</v>
      </c>
      <c r="M41" s="90">
        <f t="shared" si="17"/>
        <v>0</v>
      </c>
    </row>
    <row r="42" spans="1:13" x14ac:dyDescent="0.2">
      <c r="A42" s="77" t="s">
        <v>19</v>
      </c>
      <c r="B42" s="76">
        <f t="shared" ref="B42:C42" si="18">+B12</f>
        <v>0</v>
      </c>
      <c r="C42" s="90">
        <f t="shared" si="18"/>
        <v>0</v>
      </c>
      <c r="D42" s="90">
        <f t="shared" ref="D42:M42" si="19">+D12</f>
        <v>0</v>
      </c>
      <c r="E42" s="90">
        <f t="shared" si="19"/>
        <v>0</v>
      </c>
      <c r="F42" s="90">
        <f t="shared" si="19"/>
        <v>0</v>
      </c>
      <c r="G42" s="90">
        <f t="shared" si="19"/>
        <v>0</v>
      </c>
      <c r="H42" s="90">
        <f t="shared" si="19"/>
        <v>0</v>
      </c>
      <c r="I42" s="90">
        <f t="shared" si="19"/>
        <v>0</v>
      </c>
      <c r="J42" s="90">
        <f t="shared" si="19"/>
        <v>0</v>
      </c>
      <c r="K42" s="90">
        <f t="shared" si="19"/>
        <v>0</v>
      </c>
      <c r="L42" s="90">
        <f t="shared" si="19"/>
        <v>0</v>
      </c>
      <c r="M42" s="90">
        <f t="shared" si="19"/>
        <v>0</v>
      </c>
    </row>
    <row r="43" spans="1:13" x14ac:dyDescent="0.2">
      <c r="A43" s="72" t="s">
        <v>17</v>
      </c>
      <c r="B43" s="76">
        <f t="shared" ref="B43:C43" si="20">+B21</f>
        <v>1576673111.5550001</v>
      </c>
      <c r="C43" s="90">
        <f t="shared" si="20"/>
        <v>0</v>
      </c>
      <c r="D43" s="90">
        <f t="shared" ref="D43:M43" si="21">+D21</f>
        <v>0</v>
      </c>
      <c r="E43" s="90">
        <f t="shared" si="21"/>
        <v>0</v>
      </c>
      <c r="F43" s="90">
        <f t="shared" si="21"/>
        <v>0</v>
      </c>
      <c r="G43" s="90">
        <f t="shared" si="21"/>
        <v>0</v>
      </c>
      <c r="H43" s="90">
        <f t="shared" si="21"/>
        <v>0</v>
      </c>
      <c r="I43" s="90">
        <f t="shared" si="21"/>
        <v>0</v>
      </c>
      <c r="J43" s="90">
        <f t="shared" si="21"/>
        <v>0</v>
      </c>
      <c r="K43" s="90">
        <f t="shared" si="21"/>
        <v>0</v>
      </c>
      <c r="L43" s="90">
        <f t="shared" si="21"/>
        <v>0</v>
      </c>
      <c r="M43" s="90">
        <f t="shared" si="21"/>
        <v>0</v>
      </c>
    </row>
    <row r="44" spans="1:13" x14ac:dyDescent="0.2">
      <c r="A44" s="75" t="s">
        <v>20</v>
      </c>
      <c r="B44" s="76">
        <f t="shared" ref="B44:C44" si="22">+B28</f>
        <v>96251414.139000028</v>
      </c>
      <c r="C44" s="90">
        <f t="shared" si="22"/>
        <v>0</v>
      </c>
      <c r="D44" s="90">
        <f t="shared" ref="D44:M44" si="23">+D28</f>
        <v>0</v>
      </c>
      <c r="E44" s="90">
        <f t="shared" si="23"/>
        <v>0</v>
      </c>
      <c r="F44" s="90">
        <f t="shared" si="23"/>
        <v>0</v>
      </c>
      <c r="G44" s="90">
        <f t="shared" si="23"/>
        <v>0</v>
      </c>
      <c r="H44" s="90">
        <f t="shared" si="23"/>
        <v>0</v>
      </c>
      <c r="I44" s="90">
        <f t="shared" si="23"/>
        <v>0</v>
      </c>
      <c r="J44" s="90">
        <f t="shared" si="23"/>
        <v>0</v>
      </c>
      <c r="K44" s="90">
        <f t="shared" si="23"/>
        <v>0</v>
      </c>
      <c r="L44" s="90">
        <f t="shared" si="23"/>
        <v>0</v>
      </c>
      <c r="M44" s="90">
        <f t="shared" si="23"/>
        <v>0</v>
      </c>
    </row>
    <row r="45" spans="1:13" x14ac:dyDescent="0.2">
      <c r="A45" s="75" t="s">
        <v>24</v>
      </c>
      <c r="B45" s="76">
        <f t="shared" ref="B45:C45" si="24">+B32</f>
        <v>992481110.93499994</v>
      </c>
      <c r="C45" s="90">
        <f t="shared" si="24"/>
        <v>0</v>
      </c>
      <c r="D45" s="90">
        <f t="shared" ref="D45:M45" si="25">+D32</f>
        <v>0</v>
      </c>
      <c r="E45" s="90">
        <f t="shared" si="25"/>
        <v>0</v>
      </c>
      <c r="F45" s="90">
        <f t="shared" si="25"/>
        <v>0</v>
      </c>
      <c r="G45" s="90">
        <f t="shared" si="25"/>
        <v>0</v>
      </c>
      <c r="H45" s="90">
        <f t="shared" si="25"/>
        <v>0</v>
      </c>
      <c r="I45" s="90">
        <f t="shared" si="25"/>
        <v>0</v>
      </c>
      <c r="J45" s="90">
        <f t="shared" si="25"/>
        <v>0</v>
      </c>
      <c r="K45" s="90">
        <f t="shared" si="25"/>
        <v>0</v>
      </c>
      <c r="L45" s="90">
        <f t="shared" si="25"/>
        <v>0</v>
      </c>
      <c r="M45" s="90">
        <f t="shared" si="25"/>
        <v>0</v>
      </c>
    </row>
    <row r="46" spans="1:13" ht="13.5" thickBot="1" x14ac:dyDescent="0.25">
      <c r="A46" s="81" t="s">
        <v>21</v>
      </c>
      <c r="B46" s="79">
        <f t="shared" ref="B46:C46" si="26">SUM(B41:B45)</f>
        <v>2665405636.6289997</v>
      </c>
      <c r="C46" s="91">
        <f t="shared" si="26"/>
        <v>0</v>
      </c>
      <c r="D46" s="91">
        <f t="shared" ref="D46:M46" si="27">SUM(D41:D45)</f>
        <v>0</v>
      </c>
      <c r="E46" s="91">
        <f t="shared" si="27"/>
        <v>0</v>
      </c>
      <c r="F46" s="91">
        <f t="shared" si="27"/>
        <v>0</v>
      </c>
      <c r="G46" s="91">
        <f t="shared" si="27"/>
        <v>0</v>
      </c>
      <c r="H46" s="91">
        <f t="shared" si="27"/>
        <v>0</v>
      </c>
      <c r="I46" s="91">
        <f t="shared" si="27"/>
        <v>0</v>
      </c>
      <c r="J46" s="91">
        <f t="shared" si="27"/>
        <v>0</v>
      </c>
      <c r="K46" s="91">
        <f t="shared" si="27"/>
        <v>0</v>
      </c>
      <c r="L46" s="91">
        <f t="shared" si="27"/>
        <v>0</v>
      </c>
      <c r="M46" s="91">
        <f t="shared" si="27"/>
        <v>0</v>
      </c>
    </row>
    <row r="47" spans="1:13" ht="13.5" thickTop="1" x14ac:dyDescent="0.2">
      <c r="B47" s="90">
        <f t="shared" ref="B47:C47" si="28">+B34-B46</f>
        <v>0</v>
      </c>
      <c r="C47" s="90">
        <f t="shared" si="28"/>
        <v>0</v>
      </c>
      <c r="D47" s="90">
        <f t="shared" ref="D47:M47" si="29">+D34-D46</f>
        <v>0</v>
      </c>
      <c r="E47" s="90">
        <f t="shared" si="29"/>
        <v>0</v>
      </c>
      <c r="F47" s="90">
        <f t="shared" si="29"/>
        <v>0</v>
      </c>
      <c r="G47" s="90">
        <f t="shared" si="29"/>
        <v>0</v>
      </c>
      <c r="H47" s="90">
        <f t="shared" si="29"/>
        <v>0</v>
      </c>
      <c r="I47" s="90">
        <f t="shared" si="29"/>
        <v>0</v>
      </c>
      <c r="J47" s="90">
        <f t="shared" si="29"/>
        <v>0</v>
      </c>
      <c r="K47" s="90">
        <f t="shared" si="29"/>
        <v>0</v>
      </c>
      <c r="L47" s="90">
        <f t="shared" si="29"/>
        <v>0</v>
      </c>
      <c r="M47" s="90">
        <f t="shared" si="29"/>
        <v>0</v>
      </c>
    </row>
  </sheetData>
  <phoneticPr fontId="0" type="noConversion"/>
  <printOptions gridLines="1"/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41" sqref="E41"/>
    </sheetView>
  </sheetViews>
  <sheetFormatPr defaultRowHeight="12.75" x14ac:dyDescent="0.2"/>
  <cols>
    <col min="1" max="1" width="28.109375" style="176" bestFit="1" customWidth="1"/>
    <col min="2" max="3" width="10.77734375" style="176" bestFit="1" customWidth="1"/>
    <col min="4" max="4" width="2.44140625" style="176" customWidth="1"/>
    <col min="5" max="6" width="10.109375" style="176" bestFit="1" customWidth="1"/>
    <col min="7" max="7" width="2.77734375" style="176" customWidth="1"/>
    <col min="8" max="9" width="10.77734375" style="176" bestFit="1" customWidth="1"/>
    <col min="10" max="10" width="1.44140625" style="176" customWidth="1"/>
    <col min="11" max="11" width="10.6640625" style="204" customWidth="1"/>
    <col min="12" max="12" width="10.77734375" style="204" bestFit="1" customWidth="1"/>
    <col min="13" max="13" width="3" style="176" customWidth="1"/>
    <col min="14" max="15" width="10.109375" style="176" bestFit="1" customWidth="1"/>
    <col min="16" max="16" width="1.88671875" style="176" customWidth="1"/>
    <col min="17" max="18" width="10.77734375" style="176" bestFit="1" customWidth="1"/>
    <col min="19" max="16384" width="8.88671875" style="176"/>
  </cols>
  <sheetData>
    <row r="1" spans="1:18" ht="13.5" x14ac:dyDescent="0.25">
      <c r="A1" s="242" t="s">
        <v>129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</row>
    <row r="2" spans="1:18" ht="13.5" x14ac:dyDescent="0.25">
      <c r="A2" s="242" t="s">
        <v>183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</row>
    <row r="3" spans="1:18" ht="13.5" x14ac:dyDescent="0.25">
      <c r="A3" s="243" t="s">
        <v>265</v>
      </c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</row>
    <row r="4" spans="1:18" ht="13.5" x14ac:dyDescent="0.25">
      <c r="A4" s="177"/>
      <c r="B4" s="244" t="s">
        <v>184</v>
      </c>
      <c r="C4" s="245"/>
      <c r="D4" s="115"/>
      <c r="E4" s="244" t="s">
        <v>185</v>
      </c>
      <c r="F4" s="245"/>
      <c r="G4" s="115"/>
      <c r="H4" s="244" t="s">
        <v>186</v>
      </c>
      <c r="I4" s="245"/>
      <c r="J4" s="115"/>
      <c r="K4" s="246" t="s">
        <v>187</v>
      </c>
      <c r="L4" s="247"/>
      <c r="M4" s="115"/>
      <c r="N4" s="248" t="s">
        <v>188</v>
      </c>
      <c r="O4" s="249"/>
      <c r="P4" s="115"/>
      <c r="Q4" s="244" t="s">
        <v>189</v>
      </c>
      <c r="R4" s="245"/>
    </row>
    <row r="5" spans="1:18" ht="13.5" x14ac:dyDescent="0.25">
      <c r="A5" s="95"/>
      <c r="B5" s="178">
        <v>2016</v>
      </c>
      <c r="C5" s="179">
        <v>2015</v>
      </c>
      <c r="D5" s="92"/>
      <c r="E5" s="178">
        <v>2016</v>
      </c>
      <c r="F5" s="179">
        <v>2015</v>
      </c>
      <c r="G5" s="92"/>
      <c r="H5" s="178">
        <v>2016</v>
      </c>
      <c r="I5" s="179">
        <v>2015</v>
      </c>
      <c r="J5" s="92"/>
      <c r="K5" s="178">
        <v>2016</v>
      </c>
      <c r="L5" s="179">
        <v>2015</v>
      </c>
      <c r="M5" s="92"/>
      <c r="N5" s="178">
        <v>2016</v>
      </c>
      <c r="O5" s="179">
        <v>2015</v>
      </c>
      <c r="P5" s="92"/>
      <c r="Q5" s="178">
        <v>2016</v>
      </c>
      <c r="R5" s="179">
        <v>2015</v>
      </c>
    </row>
    <row r="6" spans="1:18" ht="13.5" x14ac:dyDescent="0.25">
      <c r="A6" s="113"/>
      <c r="B6" s="180" t="s">
        <v>190</v>
      </c>
      <c r="C6" s="181" t="s">
        <v>190</v>
      </c>
      <c r="D6" s="92"/>
      <c r="E6" s="180" t="s">
        <v>190</v>
      </c>
      <c r="F6" s="181" t="s">
        <v>190</v>
      </c>
      <c r="G6" s="92"/>
      <c r="H6" s="180" t="s">
        <v>190</v>
      </c>
      <c r="I6" s="181" t="s">
        <v>190</v>
      </c>
      <c r="J6" s="92"/>
      <c r="K6" s="180" t="s">
        <v>190</v>
      </c>
      <c r="L6" s="181" t="s">
        <v>190</v>
      </c>
      <c r="M6" s="92"/>
      <c r="N6" s="180" t="s">
        <v>190</v>
      </c>
      <c r="O6" s="181" t="s">
        <v>190</v>
      </c>
      <c r="P6" s="92"/>
      <c r="Q6" s="180" t="s">
        <v>190</v>
      </c>
      <c r="R6" s="181" t="s">
        <v>190</v>
      </c>
    </row>
    <row r="7" spans="1:18" ht="13.5" x14ac:dyDescent="0.25">
      <c r="A7" s="115" t="s">
        <v>191</v>
      </c>
      <c r="B7" s="182"/>
      <c r="C7" s="183"/>
      <c r="D7" s="92"/>
      <c r="E7" s="182"/>
      <c r="F7" s="183"/>
      <c r="G7" s="92"/>
      <c r="H7" s="182"/>
      <c r="I7" s="183"/>
      <c r="J7" s="92"/>
      <c r="K7" s="182"/>
      <c r="L7" s="183"/>
      <c r="M7" s="92"/>
      <c r="N7" s="114"/>
      <c r="O7" s="184"/>
      <c r="P7" s="92"/>
      <c r="Q7" s="182"/>
      <c r="R7" s="183"/>
    </row>
    <row r="8" spans="1:18" ht="13.5" x14ac:dyDescent="0.25">
      <c r="A8" s="92" t="s">
        <v>192</v>
      </c>
      <c r="B8" s="185">
        <v>3185909452.6500001</v>
      </c>
      <c r="C8" s="186">
        <v>3421428994.4000001</v>
      </c>
      <c r="D8" s="92"/>
      <c r="E8" s="185">
        <v>908132154.95000005</v>
      </c>
      <c r="F8" s="186">
        <v>971475804.60000002</v>
      </c>
      <c r="G8" s="92"/>
      <c r="H8" s="234">
        <v>1094254599.05</v>
      </c>
      <c r="I8" s="186">
        <v>1165982442.25</v>
      </c>
      <c r="J8" s="92"/>
      <c r="K8" s="185">
        <f>B8+E8+H8</f>
        <v>5188296206.6500006</v>
      </c>
      <c r="L8" s="186">
        <f>C8+F8+I8</f>
        <v>5558887241.25</v>
      </c>
      <c r="M8" s="92"/>
      <c r="N8" s="185"/>
      <c r="O8" s="186">
        <v>0</v>
      </c>
      <c r="P8" s="92"/>
      <c r="Q8" s="185">
        <f>K8+N8</f>
        <v>5188296206.6500006</v>
      </c>
      <c r="R8" s="186">
        <f>L8+O8</f>
        <v>5558887241.25</v>
      </c>
    </row>
    <row r="9" spans="1:18" ht="13.5" x14ac:dyDescent="0.25">
      <c r="A9" s="92" t="s">
        <v>193</v>
      </c>
      <c r="B9" s="185">
        <v>355508136.68000001</v>
      </c>
      <c r="C9" s="186">
        <v>353962540.33999997</v>
      </c>
      <c r="D9" s="92"/>
      <c r="E9" s="185">
        <v>0</v>
      </c>
      <c r="F9" s="186">
        <v>0</v>
      </c>
      <c r="G9" s="92"/>
      <c r="H9" s="234">
        <v>11471621</v>
      </c>
      <c r="I9" s="186">
        <v>11595033</v>
      </c>
      <c r="J9" s="92"/>
      <c r="K9" s="185">
        <f t="shared" ref="K9:K14" si="0">B9+E9+H9</f>
        <v>366979757.68000001</v>
      </c>
      <c r="L9" s="186">
        <f t="shared" ref="L9:L14" si="1">C9+F9+I9</f>
        <v>365557573.33999997</v>
      </c>
      <c r="M9" s="92"/>
      <c r="N9" s="185"/>
      <c r="O9" s="186">
        <v>0</v>
      </c>
      <c r="P9" s="92"/>
      <c r="Q9" s="185">
        <f t="shared" ref="Q9:Q14" si="2">K9+N9</f>
        <v>366979757.68000001</v>
      </c>
      <c r="R9" s="186">
        <f t="shared" ref="R9:R14" si="3">L9+O9</f>
        <v>365557573.33999997</v>
      </c>
    </row>
    <row r="10" spans="1:18" ht="13.5" x14ac:dyDescent="0.25">
      <c r="A10" s="92" t="s">
        <v>194</v>
      </c>
      <c r="B10" s="185">
        <v>5469507848.04</v>
      </c>
      <c r="C10" s="186">
        <v>5288514748</v>
      </c>
      <c r="D10" s="92"/>
      <c r="E10" s="185">
        <v>990957965</v>
      </c>
      <c r="F10" s="186">
        <v>990957965</v>
      </c>
      <c r="G10" s="92"/>
      <c r="H10" s="234">
        <v>1655277287</v>
      </c>
      <c r="I10" s="186">
        <v>1655277287</v>
      </c>
      <c r="J10" s="92"/>
      <c r="K10" s="185">
        <f t="shared" si="0"/>
        <v>8115743100.04</v>
      </c>
      <c r="L10" s="186">
        <f t="shared" si="1"/>
        <v>7934750000</v>
      </c>
      <c r="M10" s="92"/>
      <c r="N10" s="185">
        <v>1170000000</v>
      </c>
      <c r="O10" s="186">
        <v>1170000000</v>
      </c>
      <c r="P10" s="92"/>
      <c r="Q10" s="185">
        <f t="shared" si="2"/>
        <v>9285743100.0400009</v>
      </c>
      <c r="R10" s="186">
        <f t="shared" si="3"/>
        <v>9104750000</v>
      </c>
    </row>
    <row r="11" spans="1:18" ht="13.5" x14ac:dyDescent="0.25">
      <c r="A11" s="92" t="s">
        <v>195</v>
      </c>
      <c r="B11" s="185">
        <v>0</v>
      </c>
      <c r="C11" s="186">
        <v>0</v>
      </c>
      <c r="D11" s="92"/>
      <c r="E11" s="185">
        <v>0</v>
      </c>
      <c r="F11" s="186">
        <v>0</v>
      </c>
      <c r="G11" s="92"/>
      <c r="H11" s="234">
        <v>9822600.0099999998</v>
      </c>
      <c r="I11" s="186">
        <v>9822600.0099999998</v>
      </c>
      <c r="J11" s="92"/>
      <c r="K11" s="185">
        <f t="shared" si="0"/>
        <v>9822600.0099999998</v>
      </c>
      <c r="L11" s="186">
        <f t="shared" si="1"/>
        <v>9822600.0099999998</v>
      </c>
      <c r="M11" s="92"/>
      <c r="N11" s="185">
        <v>338100996.73000002</v>
      </c>
      <c r="O11" s="186">
        <v>338100996.73000002</v>
      </c>
      <c r="P11" s="92"/>
      <c r="Q11" s="185">
        <f t="shared" si="2"/>
        <v>347923596.74000001</v>
      </c>
      <c r="R11" s="186">
        <f t="shared" si="3"/>
        <v>347923596.74000001</v>
      </c>
    </row>
    <row r="12" spans="1:18" ht="13.5" x14ac:dyDescent="0.25">
      <c r="A12" s="92" t="s">
        <v>196</v>
      </c>
      <c r="B12" s="185">
        <v>0</v>
      </c>
      <c r="C12" s="186">
        <v>0</v>
      </c>
      <c r="D12" s="92"/>
      <c r="E12" s="185">
        <v>0</v>
      </c>
      <c r="F12" s="186">
        <v>0</v>
      </c>
      <c r="G12" s="92"/>
      <c r="H12" s="234"/>
      <c r="I12" s="186"/>
      <c r="J12" s="92"/>
      <c r="K12" s="185">
        <f t="shared" si="0"/>
        <v>0</v>
      </c>
      <c r="L12" s="186">
        <f t="shared" si="1"/>
        <v>0</v>
      </c>
      <c r="M12" s="92"/>
      <c r="N12" s="185">
        <v>328566500.06</v>
      </c>
      <c r="O12" s="186">
        <v>328566500.06</v>
      </c>
      <c r="P12" s="92"/>
      <c r="Q12" s="185">
        <f t="shared" si="2"/>
        <v>328566500.06</v>
      </c>
      <c r="R12" s="186">
        <f t="shared" si="3"/>
        <v>328566500.06</v>
      </c>
    </row>
    <row r="13" spans="1:18" ht="13.5" x14ac:dyDescent="0.25">
      <c r="A13" s="92" t="s">
        <v>197</v>
      </c>
      <c r="B13" s="185">
        <v>0</v>
      </c>
      <c r="C13" s="186">
        <v>0</v>
      </c>
      <c r="D13" s="92"/>
      <c r="E13" s="185">
        <v>0</v>
      </c>
      <c r="F13" s="186">
        <v>0</v>
      </c>
      <c r="G13" s="92"/>
      <c r="H13" s="234">
        <v>143827038.32000002</v>
      </c>
      <c r="I13" s="186">
        <v>174665124.53</v>
      </c>
      <c r="J13" s="92"/>
      <c r="K13" s="185">
        <f t="shared" si="0"/>
        <v>143827038.32000002</v>
      </c>
      <c r="L13" s="186">
        <f t="shared" si="1"/>
        <v>174665124.53</v>
      </c>
      <c r="M13" s="92"/>
      <c r="N13" s="185"/>
      <c r="O13" s="186"/>
      <c r="P13" s="92"/>
      <c r="Q13" s="185">
        <f t="shared" si="2"/>
        <v>143827038.32000002</v>
      </c>
      <c r="R13" s="186">
        <f t="shared" si="3"/>
        <v>174665124.53</v>
      </c>
    </row>
    <row r="14" spans="1:18" ht="13.5" x14ac:dyDescent="0.25">
      <c r="A14" s="92" t="s">
        <v>198</v>
      </c>
      <c r="B14" s="185">
        <v>0</v>
      </c>
      <c r="C14" s="186">
        <v>0</v>
      </c>
      <c r="D14" s="92"/>
      <c r="E14" s="185">
        <v>0</v>
      </c>
      <c r="F14" s="186">
        <v>0</v>
      </c>
      <c r="G14" s="92"/>
      <c r="H14" s="234">
        <v>31137452.06000001</v>
      </c>
      <c r="I14" s="186">
        <v>32642509.460000001</v>
      </c>
      <c r="J14" s="92"/>
      <c r="K14" s="185">
        <f t="shared" si="0"/>
        <v>31137452.06000001</v>
      </c>
      <c r="L14" s="186">
        <f t="shared" si="1"/>
        <v>32642509.460000001</v>
      </c>
      <c r="M14" s="92"/>
      <c r="N14" s="185"/>
      <c r="O14" s="186"/>
      <c r="P14" s="92"/>
      <c r="Q14" s="185">
        <f t="shared" si="2"/>
        <v>31137452.06000001</v>
      </c>
      <c r="R14" s="186">
        <f t="shared" si="3"/>
        <v>32642509.460000001</v>
      </c>
    </row>
    <row r="15" spans="1:18" ht="13.5" x14ac:dyDescent="0.25">
      <c r="A15" s="92"/>
      <c r="B15" s="187"/>
      <c r="C15" s="188"/>
      <c r="D15" s="92"/>
      <c r="E15" s="187"/>
      <c r="F15" s="188"/>
      <c r="G15" s="92"/>
      <c r="H15" s="187"/>
      <c r="I15" s="188"/>
      <c r="J15" s="92"/>
      <c r="K15" s="187"/>
      <c r="L15" s="188"/>
      <c r="M15" s="92"/>
      <c r="N15" s="187"/>
      <c r="O15" s="184"/>
      <c r="P15" s="92"/>
      <c r="Q15" s="187"/>
      <c r="R15" s="188"/>
    </row>
    <row r="16" spans="1:18" ht="13.5" x14ac:dyDescent="0.25">
      <c r="A16" s="92"/>
      <c r="B16" s="189">
        <f>SUM(B8:B15)</f>
        <v>9010925437.3699989</v>
      </c>
      <c r="C16" s="190">
        <f>SUM(C8:C15)</f>
        <v>9063906282.7399998</v>
      </c>
      <c r="D16" s="92"/>
      <c r="E16" s="189">
        <f>SUM(E8:E15)</f>
        <v>1899090119.95</v>
      </c>
      <c r="F16" s="190">
        <f>SUM(F8:F15)</f>
        <v>1962433769.5999999</v>
      </c>
      <c r="G16" s="92"/>
      <c r="H16" s="189">
        <f>SUM(H8:H15)</f>
        <v>2945790597.4400005</v>
      </c>
      <c r="I16" s="190">
        <f>SUM(I8:I15)</f>
        <v>3049984996.2500005</v>
      </c>
      <c r="J16" s="92"/>
      <c r="K16" s="189">
        <f>SUM(K8:K15)</f>
        <v>13855806154.76</v>
      </c>
      <c r="L16" s="190">
        <f>SUM(L8:L15)</f>
        <v>14076325048.59</v>
      </c>
      <c r="M16" s="92"/>
      <c r="N16" s="189">
        <f>SUM(N8:N15)</f>
        <v>1836667496.79</v>
      </c>
      <c r="O16" s="190">
        <f>SUM(O8:O15)</f>
        <v>1836667496.79</v>
      </c>
      <c r="P16" s="92"/>
      <c r="Q16" s="189">
        <f>SUM(Q8:Q15)</f>
        <v>15692473651.550001</v>
      </c>
      <c r="R16" s="190">
        <f>SUM(R8:R15)</f>
        <v>15912992545.379999</v>
      </c>
    </row>
    <row r="17" spans="1:18" ht="13.5" x14ac:dyDescent="0.25">
      <c r="A17" s="115" t="s">
        <v>199</v>
      </c>
      <c r="B17" s="185"/>
      <c r="C17" s="188"/>
      <c r="D17" s="92"/>
      <c r="E17" s="185"/>
      <c r="F17" s="188"/>
      <c r="G17" s="92"/>
      <c r="H17" s="185"/>
      <c r="I17" s="188"/>
      <c r="J17" s="92"/>
      <c r="K17" s="185"/>
      <c r="L17" s="188"/>
      <c r="M17" s="92"/>
      <c r="N17" s="185"/>
      <c r="O17" s="184"/>
      <c r="P17" s="92"/>
      <c r="Q17" s="185"/>
      <c r="R17" s="188"/>
    </row>
    <row r="18" spans="1:18" ht="13.5" x14ac:dyDescent="0.25">
      <c r="A18" s="92" t="s">
        <v>200</v>
      </c>
      <c r="B18" s="185">
        <f>-141972401.622031*0</f>
        <v>0</v>
      </c>
      <c r="C18" s="186">
        <v>-64528496.990000002</v>
      </c>
      <c r="D18" s="93"/>
      <c r="E18" s="185">
        <f>-119834253.84998*0</f>
        <v>0</v>
      </c>
      <c r="F18" s="186">
        <v>-151596988.56</v>
      </c>
      <c r="G18" s="93"/>
      <c r="H18" s="185">
        <v>75069498.872010574</v>
      </c>
      <c r="I18" s="186">
        <v>-26493261.349999994</v>
      </c>
      <c r="J18" s="93"/>
      <c r="K18" s="185">
        <f t="shared" ref="K18:K29" si="4">B18+E18+H18</f>
        <v>75069498.872010574</v>
      </c>
      <c r="L18" s="186">
        <f t="shared" ref="L18:L29" si="5">C18+F18+I18</f>
        <v>-242618746.90000001</v>
      </c>
      <c r="M18" s="93"/>
      <c r="N18" s="185">
        <v>169381674.05000001</v>
      </c>
      <c r="O18" s="186">
        <v>242618746.89999998</v>
      </c>
      <c r="P18" s="93"/>
      <c r="Q18" s="185">
        <f t="shared" ref="Q18:Q29" si="6">K18+N18</f>
        <v>244451172.9220106</v>
      </c>
      <c r="R18" s="186">
        <f t="shared" ref="R18:R29" si="7">L18+O18</f>
        <v>0</v>
      </c>
    </row>
    <row r="19" spans="1:18" ht="13.5" x14ac:dyDescent="0.25">
      <c r="A19" s="92" t="s">
        <v>201</v>
      </c>
      <c r="B19" s="185">
        <v>0</v>
      </c>
      <c r="C19" s="186">
        <v>0</v>
      </c>
      <c r="D19" s="92"/>
      <c r="E19" s="185"/>
      <c r="F19" s="186"/>
      <c r="G19" s="92"/>
      <c r="H19" s="185"/>
      <c r="I19" s="186">
        <v>28324194.460000001</v>
      </c>
      <c r="J19" s="92"/>
      <c r="K19" s="185">
        <f t="shared" si="4"/>
        <v>0</v>
      </c>
      <c r="L19" s="186">
        <f t="shared" si="5"/>
        <v>28324194.460000001</v>
      </c>
      <c r="M19" s="92"/>
      <c r="N19" s="185">
        <v>0</v>
      </c>
      <c r="O19" s="186">
        <v>0</v>
      </c>
      <c r="P19" s="92"/>
      <c r="Q19" s="185">
        <f t="shared" si="6"/>
        <v>0</v>
      </c>
      <c r="R19" s="186">
        <f t="shared" si="7"/>
        <v>28324194.460000001</v>
      </c>
    </row>
    <row r="20" spans="1:18" ht="13.5" x14ac:dyDescent="0.25">
      <c r="A20" s="92" t="s">
        <v>202</v>
      </c>
      <c r="B20" s="185">
        <v>0</v>
      </c>
      <c r="C20" s="186">
        <v>0</v>
      </c>
      <c r="D20" s="92"/>
      <c r="E20" s="185"/>
      <c r="F20" s="186"/>
      <c r="G20" s="92"/>
      <c r="H20" s="185">
        <v>367853810.06</v>
      </c>
      <c r="I20" s="186">
        <v>348185603.56999999</v>
      </c>
      <c r="J20" s="92"/>
      <c r="K20" s="185">
        <f t="shared" si="4"/>
        <v>367853810.06</v>
      </c>
      <c r="L20" s="186">
        <f t="shared" si="5"/>
        <v>348185603.56999999</v>
      </c>
      <c r="M20" s="92"/>
      <c r="N20" s="185"/>
      <c r="O20" s="186"/>
      <c r="P20" s="92"/>
      <c r="Q20" s="185">
        <f t="shared" si="6"/>
        <v>367853810.06</v>
      </c>
      <c r="R20" s="186">
        <f t="shared" si="7"/>
        <v>348185603.56999999</v>
      </c>
    </row>
    <row r="21" spans="1:18" ht="13.5" x14ac:dyDescent="0.25">
      <c r="A21" s="92" t="s">
        <v>203</v>
      </c>
      <c r="B21" s="185">
        <v>30414508.969999999</v>
      </c>
      <c r="C21" s="186">
        <v>14309180.749999998</v>
      </c>
      <c r="D21" s="92"/>
      <c r="E21" s="185">
        <v>-952200.58</v>
      </c>
      <c r="F21" s="186">
        <v>3068894.42</v>
      </c>
      <c r="G21" s="92"/>
      <c r="H21" s="185">
        <v>48902054.171249993</v>
      </c>
      <c r="I21" s="186">
        <v>56225731.709999993</v>
      </c>
      <c r="J21" s="92"/>
      <c r="K21" s="185">
        <f t="shared" si="4"/>
        <v>78364362.561250001</v>
      </c>
      <c r="L21" s="186">
        <f t="shared" si="5"/>
        <v>73603806.879999995</v>
      </c>
      <c r="M21" s="92"/>
      <c r="N21" s="185">
        <v>44628276.810000002</v>
      </c>
      <c r="O21" s="186">
        <v>43550263.039999999</v>
      </c>
      <c r="P21" s="92"/>
      <c r="Q21" s="185">
        <f t="shared" si="6"/>
        <v>122992639.37125</v>
      </c>
      <c r="R21" s="186">
        <f t="shared" si="7"/>
        <v>117154069.91999999</v>
      </c>
    </row>
    <row r="22" spans="1:18" ht="13.5" x14ac:dyDescent="0.25">
      <c r="A22" s="92" t="s">
        <v>204</v>
      </c>
      <c r="B22" s="185">
        <v>585886407.75</v>
      </c>
      <c r="C22" s="186">
        <v>732827146.96000004</v>
      </c>
      <c r="D22" s="92"/>
      <c r="E22" s="185">
        <v>355354894.19</v>
      </c>
      <c r="F22" s="186">
        <v>411516096.68000001</v>
      </c>
      <c r="G22" s="92"/>
      <c r="H22" s="185">
        <v>363032515.32999998</v>
      </c>
      <c r="I22" s="186">
        <v>390187801.94999999</v>
      </c>
      <c r="J22" s="92"/>
      <c r="K22" s="185">
        <f t="shared" si="4"/>
        <v>1304273817.27</v>
      </c>
      <c r="L22" s="186">
        <f t="shared" si="5"/>
        <v>1534531045.5900002</v>
      </c>
      <c r="M22" s="92"/>
      <c r="N22" s="185"/>
      <c r="O22" s="186"/>
      <c r="P22" s="92"/>
      <c r="Q22" s="185">
        <f t="shared" si="6"/>
        <v>1304273817.27</v>
      </c>
      <c r="R22" s="186">
        <f t="shared" si="7"/>
        <v>1534531045.5900002</v>
      </c>
    </row>
    <row r="23" spans="1:18" ht="13.5" x14ac:dyDescent="0.25">
      <c r="A23" s="92" t="s">
        <v>205</v>
      </c>
      <c r="B23" s="185">
        <v>16880923160.760002</v>
      </c>
      <c r="C23" s="186">
        <v>14362812801.940001</v>
      </c>
      <c r="D23" s="92"/>
      <c r="E23" s="185">
        <v>5755928531.0999994</v>
      </c>
      <c r="F23" s="186">
        <v>4197228800.4599996</v>
      </c>
      <c r="G23" s="92"/>
      <c r="H23" s="185">
        <v>9892475632.2900009</v>
      </c>
      <c r="I23" s="186">
        <v>7792069703.3500004</v>
      </c>
      <c r="J23" s="92"/>
      <c r="K23" s="185">
        <f t="shared" si="4"/>
        <v>32529327324.150002</v>
      </c>
      <c r="L23" s="186">
        <f t="shared" si="5"/>
        <v>26352111305.75</v>
      </c>
      <c r="M23" s="92"/>
      <c r="N23" s="185">
        <f>-1788422.53*0</f>
        <v>0</v>
      </c>
      <c r="O23" s="186">
        <v>21304851.289999999</v>
      </c>
      <c r="P23" s="92"/>
      <c r="Q23" s="185">
        <f t="shared" si="6"/>
        <v>32529327324.150002</v>
      </c>
      <c r="R23" s="186">
        <f t="shared" si="7"/>
        <v>26373416157.040001</v>
      </c>
    </row>
    <row r="24" spans="1:18" ht="13.5" x14ac:dyDescent="0.25">
      <c r="A24" s="92" t="s">
        <v>206</v>
      </c>
      <c r="B24" s="185">
        <v>945482000</v>
      </c>
      <c r="C24" s="186">
        <v>900818000</v>
      </c>
      <c r="D24" s="92"/>
      <c r="E24" s="185">
        <v>544377672.00999999</v>
      </c>
      <c r="F24" s="186">
        <v>538670672.00999999</v>
      </c>
      <c r="G24" s="92"/>
      <c r="H24" s="185">
        <v>460764000</v>
      </c>
      <c r="I24" s="186">
        <v>445632500</v>
      </c>
      <c r="J24" s="92"/>
      <c r="K24" s="185">
        <f t="shared" si="4"/>
        <v>1950623672.01</v>
      </c>
      <c r="L24" s="186">
        <f t="shared" si="5"/>
        <v>1885121172.01</v>
      </c>
      <c r="M24" s="92"/>
      <c r="N24" s="185"/>
      <c r="O24" s="186"/>
      <c r="P24" s="92"/>
      <c r="Q24" s="185">
        <f t="shared" si="6"/>
        <v>1950623672.01</v>
      </c>
      <c r="R24" s="186">
        <f t="shared" si="7"/>
        <v>1885121172.01</v>
      </c>
    </row>
    <row r="25" spans="1:18" ht="13.5" x14ac:dyDescent="0.25">
      <c r="A25" s="92" t="s">
        <v>207</v>
      </c>
      <c r="B25" s="185">
        <v>239683228.23000002</v>
      </c>
      <c r="C25" s="186">
        <v>162427535.29999998</v>
      </c>
      <c r="D25" s="92"/>
      <c r="E25" s="185">
        <v>115951152.12</v>
      </c>
      <c r="F25" s="186">
        <v>117715112.74999999</v>
      </c>
      <c r="G25" s="92"/>
      <c r="H25" s="185">
        <v>105345879.52000001</v>
      </c>
      <c r="I25" s="186">
        <v>108817648.38</v>
      </c>
      <c r="J25" s="92"/>
      <c r="K25" s="185">
        <f t="shared" si="4"/>
        <v>460980259.87</v>
      </c>
      <c r="L25" s="186">
        <f t="shared" si="5"/>
        <v>388960296.42999995</v>
      </c>
      <c r="M25" s="92"/>
      <c r="N25" s="185"/>
      <c r="O25" s="186"/>
      <c r="P25" s="92"/>
      <c r="Q25" s="185">
        <f t="shared" si="6"/>
        <v>460980259.87</v>
      </c>
      <c r="R25" s="186">
        <f t="shared" si="7"/>
        <v>388960296.42999995</v>
      </c>
    </row>
    <row r="26" spans="1:18" ht="13.5" x14ac:dyDescent="0.25">
      <c r="A26" s="92" t="s">
        <v>208</v>
      </c>
      <c r="B26" s="185">
        <v>797185970.73000002</v>
      </c>
      <c r="C26" s="186">
        <v>1251054116.0899999</v>
      </c>
      <c r="D26" s="92"/>
      <c r="E26" s="185">
        <v>378635596.24000001</v>
      </c>
      <c r="F26" s="186">
        <v>631174599.77999997</v>
      </c>
      <c r="G26" s="92"/>
      <c r="H26" s="185">
        <v>989803028.0999999</v>
      </c>
      <c r="I26" s="186">
        <v>1541291620.97</v>
      </c>
      <c r="J26" s="92"/>
      <c r="K26" s="185">
        <f t="shared" si="4"/>
        <v>2165624595.0699997</v>
      </c>
      <c r="L26" s="186">
        <f t="shared" si="5"/>
        <v>3423520336.8400002</v>
      </c>
      <c r="M26" s="92"/>
      <c r="N26" s="185">
        <v>73339363.159999996</v>
      </c>
      <c r="O26" s="186">
        <v>254446821.19999999</v>
      </c>
      <c r="P26" s="92"/>
      <c r="Q26" s="185">
        <f t="shared" si="6"/>
        <v>2238963958.2299995</v>
      </c>
      <c r="R26" s="186">
        <f t="shared" si="7"/>
        <v>3677967158.04</v>
      </c>
    </row>
    <row r="27" spans="1:18" ht="13.5" x14ac:dyDescent="0.25">
      <c r="A27" s="92" t="s">
        <v>209</v>
      </c>
      <c r="B27" s="185">
        <v>13189095.300000001</v>
      </c>
      <c r="C27" s="186">
        <v>-1894722.31</v>
      </c>
      <c r="D27" s="92"/>
      <c r="E27" s="185">
        <v>11039383.189999999</v>
      </c>
      <c r="F27" s="186">
        <v>6592095.0700000003</v>
      </c>
      <c r="G27" s="92"/>
      <c r="H27" s="185">
        <v>12493971.210000001</v>
      </c>
      <c r="I27" s="186">
        <v>28343241.030000001</v>
      </c>
      <c r="J27" s="92"/>
      <c r="K27" s="185">
        <f t="shared" si="4"/>
        <v>36722449.700000003</v>
      </c>
      <c r="L27" s="186">
        <f t="shared" si="5"/>
        <v>33040613.789999999</v>
      </c>
      <c r="M27" s="92"/>
      <c r="N27" s="185">
        <v>3831491.88</v>
      </c>
      <c r="O27" s="186">
        <v>3856294.8</v>
      </c>
      <c r="P27" s="92"/>
      <c r="Q27" s="185">
        <f t="shared" si="6"/>
        <v>40553941.580000006</v>
      </c>
      <c r="R27" s="186">
        <f t="shared" si="7"/>
        <v>36896908.589999996</v>
      </c>
    </row>
    <row r="28" spans="1:18" ht="13.5" x14ac:dyDescent="0.25">
      <c r="A28" s="92" t="s">
        <v>210</v>
      </c>
      <c r="B28" s="185">
        <v>27708232.949999999</v>
      </c>
      <c r="C28" s="186">
        <v>5600386.9500000002</v>
      </c>
      <c r="D28" s="92"/>
      <c r="E28" s="185">
        <v>-7235.9</v>
      </c>
      <c r="F28" s="186">
        <v>-7235.9</v>
      </c>
      <c r="G28" s="92"/>
      <c r="H28" s="185">
        <f>-137697824.78*0</f>
        <v>0</v>
      </c>
      <c r="I28" s="186">
        <v>-92551099</v>
      </c>
      <c r="J28" s="92"/>
      <c r="K28" s="185">
        <f t="shared" si="4"/>
        <v>27700997.050000001</v>
      </c>
      <c r="L28" s="186">
        <f t="shared" si="5"/>
        <v>-86957947.950000003</v>
      </c>
      <c r="M28" s="92"/>
      <c r="N28" s="185">
        <v>489765688.49000001</v>
      </c>
      <c r="O28" s="186">
        <v>160437713.56999999</v>
      </c>
      <c r="P28" s="92"/>
      <c r="Q28" s="185">
        <f t="shared" si="6"/>
        <v>517466685.54000002</v>
      </c>
      <c r="R28" s="186">
        <f t="shared" si="7"/>
        <v>73479765.61999999</v>
      </c>
    </row>
    <row r="29" spans="1:18" ht="13.5" x14ac:dyDescent="0.25">
      <c r="A29" s="191" t="s">
        <v>211</v>
      </c>
      <c r="B29" s="185">
        <f>-19886061.19*0</f>
        <v>0</v>
      </c>
      <c r="C29" s="186">
        <v>3345938.81</v>
      </c>
      <c r="D29" s="92"/>
      <c r="E29" s="185">
        <v>12597638.68</v>
      </c>
      <c r="F29" s="186">
        <v>597874.92000000004</v>
      </c>
      <c r="G29" s="92"/>
      <c r="H29" s="185">
        <f>-27513452.51*0</f>
        <v>0</v>
      </c>
      <c r="I29" s="186">
        <v>424312.49</v>
      </c>
      <c r="J29" s="92"/>
      <c r="K29" s="185">
        <f t="shared" si="4"/>
        <v>12597638.68</v>
      </c>
      <c r="L29" s="186">
        <f t="shared" si="5"/>
        <v>4368126.22</v>
      </c>
      <c r="M29" s="92"/>
      <c r="N29" s="185">
        <v>47791645.449000016</v>
      </c>
      <c r="O29" s="186">
        <v>29018791.140000004</v>
      </c>
      <c r="P29" s="92"/>
      <c r="Q29" s="185">
        <f t="shared" si="6"/>
        <v>60389284.129000016</v>
      </c>
      <c r="R29" s="186">
        <f t="shared" si="7"/>
        <v>33386917.360000003</v>
      </c>
    </row>
    <row r="30" spans="1:18" ht="13.5" x14ac:dyDescent="0.25">
      <c r="A30" s="191"/>
      <c r="B30" s="185">
        <v>0</v>
      </c>
      <c r="C30" s="186">
        <v>0</v>
      </c>
      <c r="D30" s="92"/>
      <c r="E30" s="185"/>
      <c r="F30" s="186"/>
      <c r="G30" s="92"/>
      <c r="H30" s="185"/>
      <c r="I30" s="186"/>
      <c r="J30" s="92"/>
      <c r="K30" s="185"/>
      <c r="L30" s="186"/>
      <c r="M30" s="92"/>
      <c r="N30" s="185"/>
      <c r="O30" s="186"/>
      <c r="P30" s="92"/>
      <c r="Q30" s="185">
        <v>0</v>
      </c>
      <c r="R30" s="186">
        <v>0</v>
      </c>
    </row>
    <row r="31" spans="1:18" ht="13.5" x14ac:dyDescent="0.25">
      <c r="A31" s="92"/>
      <c r="B31" s="189">
        <f>SUM(B18:B30)</f>
        <v>19520472604.690002</v>
      </c>
      <c r="C31" s="190">
        <f>SUM(C18:C30)</f>
        <v>17366771887.5</v>
      </c>
      <c r="D31" s="92"/>
      <c r="E31" s="189">
        <f>SUM(E18:E30)</f>
        <v>7172925431.0499992</v>
      </c>
      <c r="F31" s="190">
        <f>SUM(F18:F30)</f>
        <v>5754959921.6300001</v>
      </c>
      <c r="G31" s="92"/>
      <c r="H31" s="189">
        <f>SUM(H18:H30)</f>
        <v>12315740389.553261</v>
      </c>
      <c r="I31" s="190">
        <f>SUM(I18:I30)</f>
        <v>10620457997.559999</v>
      </c>
      <c r="J31" s="92"/>
      <c r="K31" s="189">
        <f>SUM(K18:K30)</f>
        <v>39009138425.293266</v>
      </c>
      <c r="L31" s="190">
        <f>SUM(L18:L30)</f>
        <v>33742189806.689999</v>
      </c>
      <c r="M31" s="92"/>
      <c r="N31" s="189">
        <f>SUM(N18:N30)</f>
        <v>828738139.83899999</v>
      </c>
      <c r="O31" s="190">
        <f>SUM(O18:O30)</f>
        <v>755233481.93999994</v>
      </c>
      <c r="P31" s="92"/>
      <c r="Q31" s="189">
        <f>SUM(Q18:Q30)</f>
        <v>39837876565.132271</v>
      </c>
      <c r="R31" s="190">
        <f>SUM(R18:R30)</f>
        <v>34497423288.630005</v>
      </c>
    </row>
    <row r="32" spans="1:18" ht="14.25" thickBot="1" x14ac:dyDescent="0.3">
      <c r="A32" s="92"/>
      <c r="B32" s="192"/>
      <c r="C32" s="193"/>
      <c r="D32" s="194"/>
      <c r="E32" s="192"/>
      <c r="F32" s="193"/>
      <c r="G32" s="194"/>
      <c r="H32" s="192"/>
      <c r="I32" s="193"/>
      <c r="J32" s="194"/>
      <c r="K32" s="192"/>
      <c r="L32" s="193"/>
      <c r="M32" s="194"/>
      <c r="N32" s="192"/>
      <c r="O32" s="195"/>
      <c r="P32" s="194"/>
      <c r="Q32" s="192"/>
      <c r="R32" s="193"/>
    </row>
    <row r="33" spans="1:18" ht="14.25" thickBot="1" x14ac:dyDescent="0.3">
      <c r="A33" s="115" t="s">
        <v>212</v>
      </c>
      <c r="B33" s="192">
        <f>B16+B31</f>
        <v>28531398042.060001</v>
      </c>
      <c r="C33" s="193">
        <f>C16+C31</f>
        <v>26430678170.239998</v>
      </c>
      <c r="D33" s="194"/>
      <c r="E33" s="192">
        <f>E16+E31</f>
        <v>9072015551</v>
      </c>
      <c r="F33" s="193">
        <f>F16+F31</f>
        <v>7717393691.2299995</v>
      </c>
      <c r="G33" s="194"/>
      <c r="H33" s="192">
        <f>H16+H31</f>
        <v>15261530986.993261</v>
      </c>
      <c r="I33" s="193">
        <f>I16+I31</f>
        <v>13670442993.809999</v>
      </c>
      <c r="J33" s="194"/>
      <c r="K33" s="192">
        <f>K16+K31</f>
        <v>52864944580.053268</v>
      </c>
      <c r="L33" s="193">
        <f>L16+L31</f>
        <v>47818514855.279999</v>
      </c>
      <c r="M33" s="194"/>
      <c r="N33" s="192">
        <f>N16+N31</f>
        <v>2665405636.6289997</v>
      </c>
      <c r="O33" s="193">
        <f>O16+O31</f>
        <v>2591900978.73</v>
      </c>
      <c r="P33" s="194"/>
      <c r="Q33" s="192">
        <f>Q16+Q31</f>
        <v>55530350216.682274</v>
      </c>
      <c r="R33" s="193">
        <f>R16+R31</f>
        <v>50410415834.010002</v>
      </c>
    </row>
    <row r="34" spans="1:18" ht="13.5" x14ac:dyDescent="0.25">
      <c r="A34" s="92"/>
      <c r="B34" s="185"/>
      <c r="C34" s="186"/>
      <c r="D34" s="92"/>
      <c r="E34" s="185"/>
      <c r="F34" s="186"/>
      <c r="G34" s="92"/>
      <c r="H34" s="185"/>
      <c r="I34" s="186"/>
      <c r="J34" s="92"/>
      <c r="K34" s="185"/>
      <c r="L34" s="186"/>
      <c r="M34" s="92"/>
      <c r="N34" s="185"/>
      <c r="O34" s="184"/>
      <c r="P34" s="92"/>
      <c r="Q34" s="185"/>
      <c r="R34" s="186"/>
    </row>
    <row r="35" spans="1:18" ht="13.5" x14ac:dyDescent="0.25">
      <c r="A35" s="115" t="s">
        <v>213</v>
      </c>
      <c r="B35" s="185"/>
      <c r="C35" s="188"/>
      <c r="D35" s="92"/>
      <c r="E35" s="185"/>
      <c r="F35" s="188"/>
      <c r="G35" s="92"/>
      <c r="H35" s="185"/>
      <c r="I35" s="188"/>
      <c r="J35" s="92"/>
      <c r="K35" s="185"/>
      <c r="L35" s="188"/>
      <c r="M35" s="92"/>
      <c r="N35" s="185"/>
      <c r="O35" s="184"/>
      <c r="P35" s="92"/>
      <c r="Q35" s="185">
        <f t="shared" ref="Q35:Q42" si="8">K35+N35</f>
        <v>0</v>
      </c>
      <c r="R35" s="186">
        <f t="shared" ref="R35:R42" si="9">L35+O35</f>
        <v>0</v>
      </c>
    </row>
    <row r="36" spans="1:18" ht="13.5" x14ac:dyDescent="0.25">
      <c r="A36" s="92" t="s">
        <v>214</v>
      </c>
      <c r="B36" s="185"/>
      <c r="C36" s="186"/>
      <c r="D36" s="92"/>
      <c r="E36" s="185"/>
      <c r="F36" s="186"/>
      <c r="G36" s="92"/>
      <c r="H36" s="185">
        <v>93226677.799999997</v>
      </c>
      <c r="I36" s="186">
        <v>108047014</v>
      </c>
      <c r="J36" s="92"/>
      <c r="K36" s="185">
        <f t="shared" ref="K36:K41" si="10">B36+E36+H36</f>
        <v>93226677.799999997</v>
      </c>
      <c r="L36" s="186">
        <f t="shared" ref="L36:L41" si="11">C36+F36+I36</f>
        <v>108047014</v>
      </c>
      <c r="M36" s="92"/>
      <c r="N36" s="185"/>
      <c r="O36" s="186"/>
      <c r="P36" s="92"/>
      <c r="Q36" s="185">
        <f t="shared" si="8"/>
        <v>93226677.799999997</v>
      </c>
      <c r="R36" s="186">
        <f t="shared" si="9"/>
        <v>108047014</v>
      </c>
    </row>
    <row r="37" spans="1:18" ht="13.5" x14ac:dyDescent="0.25">
      <c r="A37" s="92" t="s">
        <v>215</v>
      </c>
      <c r="B37" s="185"/>
      <c r="C37" s="186"/>
      <c r="D37" s="92"/>
      <c r="E37" s="185"/>
      <c r="F37" s="186"/>
      <c r="G37" s="92"/>
      <c r="H37" s="185"/>
      <c r="I37" s="186"/>
      <c r="J37" s="92"/>
      <c r="K37" s="185">
        <f t="shared" si="10"/>
        <v>0</v>
      </c>
      <c r="L37" s="186">
        <f t="shared" si="11"/>
        <v>0</v>
      </c>
      <c r="M37" s="92"/>
      <c r="N37" s="185">
        <v>50807996.75999999</v>
      </c>
      <c r="O37" s="186">
        <v>50807996.75999999</v>
      </c>
      <c r="P37" s="92"/>
      <c r="Q37" s="185">
        <f t="shared" si="8"/>
        <v>50807996.75999999</v>
      </c>
      <c r="R37" s="186">
        <f t="shared" si="9"/>
        <v>50807996.75999999</v>
      </c>
    </row>
    <row r="38" spans="1:18" ht="13.5" x14ac:dyDescent="0.25">
      <c r="A38" s="92" t="s">
        <v>216</v>
      </c>
      <c r="B38" s="185">
        <v>0</v>
      </c>
      <c r="C38" s="186">
        <v>0</v>
      </c>
      <c r="D38" s="92"/>
      <c r="E38" s="185"/>
      <c r="F38" s="186"/>
      <c r="G38" s="92"/>
      <c r="H38" s="185"/>
      <c r="I38" s="186"/>
      <c r="J38" s="92"/>
      <c r="K38" s="185">
        <f t="shared" si="10"/>
        <v>0</v>
      </c>
      <c r="L38" s="186">
        <f t="shared" si="11"/>
        <v>0</v>
      </c>
      <c r="M38" s="92"/>
      <c r="N38" s="185">
        <v>181469035.28999999</v>
      </c>
      <c r="O38" s="186">
        <v>181469035.29400003</v>
      </c>
      <c r="P38" s="92"/>
      <c r="Q38" s="185">
        <f t="shared" si="8"/>
        <v>181469035.28999999</v>
      </c>
      <c r="R38" s="186">
        <f t="shared" si="9"/>
        <v>181469035.29400003</v>
      </c>
    </row>
    <row r="39" spans="1:18" ht="13.5" x14ac:dyDescent="0.25">
      <c r="A39" s="92" t="s">
        <v>201</v>
      </c>
      <c r="B39" s="185">
        <v>0</v>
      </c>
      <c r="C39" s="186">
        <v>0</v>
      </c>
      <c r="D39" s="92"/>
      <c r="E39" s="185">
        <v>0</v>
      </c>
      <c r="F39" s="186"/>
      <c r="G39" s="92"/>
      <c r="H39" s="185">
        <v>32297356.939999983</v>
      </c>
      <c r="I39" s="186">
        <v>0</v>
      </c>
      <c r="J39" s="92"/>
      <c r="K39" s="185">
        <f t="shared" si="10"/>
        <v>32297356.939999983</v>
      </c>
      <c r="L39" s="186">
        <f t="shared" si="11"/>
        <v>0</v>
      </c>
      <c r="M39" s="92"/>
      <c r="N39" s="185">
        <v>3981059.51</v>
      </c>
      <c r="O39" s="186">
        <v>3981059.51</v>
      </c>
      <c r="P39" s="92"/>
      <c r="Q39" s="185">
        <f t="shared" si="8"/>
        <v>36278416.449999981</v>
      </c>
      <c r="R39" s="186">
        <f t="shared" si="9"/>
        <v>3981059.51</v>
      </c>
    </row>
    <row r="40" spans="1:18" ht="13.5" x14ac:dyDescent="0.25">
      <c r="A40" s="92" t="s">
        <v>217</v>
      </c>
      <c r="B40" s="185">
        <v>125862366.74510001</v>
      </c>
      <c r="C40" s="186">
        <v>51615820.859999992</v>
      </c>
      <c r="D40" s="93"/>
      <c r="E40" s="185">
        <v>45524397.476999998</v>
      </c>
      <c r="F40" s="186">
        <v>10878341.23</v>
      </c>
      <c r="G40" s="93"/>
      <c r="H40" s="185">
        <v>187170362.70705381</v>
      </c>
      <c r="I40" s="186">
        <v>171625531.49000001</v>
      </c>
      <c r="J40" s="93"/>
      <c r="K40" s="185">
        <f t="shared" si="10"/>
        <v>358557126.9291538</v>
      </c>
      <c r="L40" s="186">
        <f t="shared" si="11"/>
        <v>234119693.57999998</v>
      </c>
      <c r="M40" s="93"/>
      <c r="N40" s="185">
        <v>62807360.030000016</v>
      </c>
      <c r="O40" s="186">
        <v>54653430.280000001</v>
      </c>
      <c r="P40" s="93"/>
      <c r="Q40" s="185">
        <f t="shared" si="8"/>
        <v>421364486.95915383</v>
      </c>
      <c r="R40" s="186">
        <f t="shared" si="9"/>
        <v>288773123.86000001</v>
      </c>
    </row>
    <row r="41" spans="1:18" ht="13.5" x14ac:dyDescent="0.25">
      <c r="A41" s="92" t="s">
        <v>211</v>
      </c>
      <c r="B41" s="185">
        <f>-141972401.622031*-1</f>
        <v>141972401.622031</v>
      </c>
      <c r="C41" s="186"/>
      <c r="D41" s="92"/>
      <c r="E41" s="185">
        <f>-119834253.84998*-1</f>
        <v>119834253.84998</v>
      </c>
      <c r="F41" s="186"/>
      <c r="G41" s="92"/>
      <c r="H41" s="185">
        <f>-137697824.78*-1</f>
        <v>137697824.78</v>
      </c>
      <c r="I41" s="186"/>
      <c r="J41" s="92"/>
      <c r="K41" s="185">
        <f t="shared" si="10"/>
        <v>399504480.252011</v>
      </c>
      <c r="L41" s="186">
        <f t="shared" si="11"/>
        <v>0</v>
      </c>
      <c r="M41" s="92"/>
      <c r="N41" s="185">
        <v>0</v>
      </c>
      <c r="O41" s="186">
        <v>0</v>
      </c>
      <c r="P41" s="92"/>
      <c r="Q41" s="185">
        <f t="shared" si="8"/>
        <v>399504480.252011</v>
      </c>
      <c r="R41" s="186">
        <f t="shared" si="9"/>
        <v>0</v>
      </c>
    </row>
    <row r="42" spans="1:18" ht="13.5" x14ac:dyDescent="0.25">
      <c r="A42" s="94"/>
      <c r="B42" s="185">
        <f>-19886061.19*-1</f>
        <v>19886061.190000001</v>
      </c>
      <c r="C42" s="188"/>
      <c r="D42" s="92"/>
      <c r="E42" s="185"/>
      <c r="F42" s="188"/>
      <c r="G42" s="92"/>
      <c r="H42" s="185">
        <f>-27513452.51*-1</f>
        <v>27513452.510000002</v>
      </c>
      <c r="I42" s="188"/>
      <c r="J42" s="92"/>
      <c r="K42" s="187">
        <f t="shared" ref="K42:L42" si="12">B42+E42+H42</f>
        <v>47399513.700000003</v>
      </c>
      <c r="L42" s="188">
        <f t="shared" si="12"/>
        <v>0</v>
      </c>
      <c r="M42" s="92"/>
      <c r="N42" s="187"/>
      <c r="O42" s="184"/>
      <c r="P42" s="92"/>
      <c r="Q42" s="185">
        <f t="shared" si="8"/>
        <v>47399513.700000003</v>
      </c>
      <c r="R42" s="186">
        <f t="shared" si="9"/>
        <v>0</v>
      </c>
    </row>
    <row r="43" spans="1:18" ht="13.5" x14ac:dyDescent="0.25">
      <c r="A43" s="92"/>
      <c r="B43" s="189">
        <f>SUM(B36:B42)</f>
        <v>287720829.55713099</v>
      </c>
      <c r="C43" s="190">
        <f>SUM(C36:C42)</f>
        <v>51615820.859999992</v>
      </c>
      <c r="D43" s="92"/>
      <c r="E43" s="189">
        <f>SUM(E36:E42)</f>
        <v>165358651.32697999</v>
      </c>
      <c r="F43" s="190">
        <f>SUM(F36:F42)</f>
        <v>10878341.23</v>
      </c>
      <c r="G43" s="92"/>
      <c r="H43" s="189">
        <f>SUM(H36:H42)</f>
        <v>477905674.73705375</v>
      </c>
      <c r="I43" s="190">
        <f>SUM(I36:I42)</f>
        <v>279672545.49000001</v>
      </c>
      <c r="J43" s="92"/>
      <c r="K43" s="189">
        <f>SUM(K36:K42)</f>
        <v>930985155.6211648</v>
      </c>
      <c r="L43" s="190">
        <f>SUM(L36:L42)</f>
        <v>342166707.57999998</v>
      </c>
      <c r="M43" s="92"/>
      <c r="N43" s="189">
        <f>SUM(N36:N42)</f>
        <v>299065451.58999997</v>
      </c>
      <c r="O43" s="190">
        <f>SUM(O36:O42)</f>
        <v>290911521.84399998</v>
      </c>
      <c r="P43" s="92"/>
      <c r="Q43" s="189">
        <f>SUM(Q36:Q42)</f>
        <v>1230050607.211165</v>
      </c>
      <c r="R43" s="190">
        <f>SUM(R36:R42)</f>
        <v>633078229.42400002</v>
      </c>
    </row>
    <row r="44" spans="1:18" ht="14.25" thickBot="1" x14ac:dyDescent="0.3">
      <c r="A44" s="94"/>
      <c r="B44" s="187"/>
      <c r="C44" s="188"/>
      <c r="D44" s="92"/>
      <c r="E44" s="187"/>
      <c r="F44" s="188"/>
      <c r="G44" s="92"/>
      <c r="H44" s="187"/>
      <c r="I44" s="188"/>
      <c r="J44" s="92"/>
      <c r="K44" s="187"/>
      <c r="L44" s="188"/>
      <c r="M44" s="92"/>
      <c r="N44" s="187"/>
      <c r="O44" s="184"/>
      <c r="P44" s="92"/>
      <c r="Q44" s="187"/>
      <c r="R44" s="188"/>
    </row>
    <row r="45" spans="1:18" ht="14.25" thickBot="1" x14ac:dyDescent="0.3">
      <c r="A45" s="115" t="s">
        <v>218</v>
      </c>
      <c r="B45" s="196">
        <f>B33-B43</f>
        <v>28243677212.502869</v>
      </c>
      <c r="C45" s="197">
        <f>C33-C43</f>
        <v>26379062349.379997</v>
      </c>
      <c r="D45" s="92"/>
      <c r="E45" s="196">
        <f>E33-E43</f>
        <v>8906656899.6730194</v>
      </c>
      <c r="F45" s="197">
        <f>F33-F43</f>
        <v>7706515350</v>
      </c>
      <c r="G45" s="92"/>
      <c r="H45" s="196">
        <f>H33-H43</f>
        <v>14783625312.256208</v>
      </c>
      <c r="I45" s="197">
        <f>I33-I43</f>
        <v>13390770448.32</v>
      </c>
      <c r="J45" s="92"/>
      <c r="K45" s="196">
        <f>K33-K43</f>
        <v>51933959424.432106</v>
      </c>
      <c r="L45" s="197">
        <f>L33-L43</f>
        <v>47476348147.699997</v>
      </c>
      <c r="M45" s="92"/>
      <c r="N45" s="196">
        <f>N33-N43</f>
        <v>2366340185.0389996</v>
      </c>
      <c r="O45" s="197">
        <f>O33-O43</f>
        <v>2300989456.8860002</v>
      </c>
      <c r="P45" s="92"/>
      <c r="Q45" s="196">
        <f>Q33-Q43</f>
        <v>54300299609.471107</v>
      </c>
      <c r="R45" s="197">
        <f>R33-R43</f>
        <v>49777337604.585999</v>
      </c>
    </row>
    <row r="46" spans="1:18" ht="13.5" x14ac:dyDescent="0.25">
      <c r="A46" s="92"/>
      <c r="B46" s="185"/>
      <c r="C46" s="186"/>
      <c r="D46" s="92"/>
      <c r="E46" s="185"/>
      <c r="F46" s="186"/>
      <c r="G46" s="92"/>
      <c r="H46" s="185"/>
      <c r="I46" s="186"/>
      <c r="J46" s="92"/>
      <c r="K46" s="185"/>
      <c r="L46" s="186"/>
      <c r="M46" s="92"/>
      <c r="N46" s="185"/>
      <c r="O46" s="184"/>
      <c r="P46" s="92"/>
      <c r="Q46" s="185"/>
      <c r="R46" s="186"/>
    </row>
    <row r="47" spans="1:18" ht="13.5" x14ac:dyDescent="0.25">
      <c r="A47" s="115" t="s">
        <v>219</v>
      </c>
      <c r="B47" s="185"/>
      <c r="C47" s="186"/>
      <c r="D47" s="92"/>
      <c r="E47" s="185"/>
      <c r="F47" s="186"/>
      <c r="G47" s="92"/>
      <c r="H47" s="185"/>
      <c r="I47" s="186"/>
      <c r="J47" s="92"/>
      <c r="K47" s="185"/>
      <c r="L47" s="186"/>
      <c r="M47" s="92"/>
      <c r="N47" s="185"/>
      <c r="O47" s="186"/>
      <c r="P47" s="92"/>
      <c r="Q47" s="185"/>
      <c r="R47" s="186"/>
    </row>
    <row r="48" spans="1:18" ht="13.5" x14ac:dyDescent="0.25">
      <c r="A48" s="92" t="s">
        <v>216</v>
      </c>
      <c r="B48" s="185">
        <v>606331147.25</v>
      </c>
      <c r="C48" s="186">
        <v>640139478.25</v>
      </c>
      <c r="D48" s="92"/>
      <c r="E48" s="185">
        <v>110963860.8</v>
      </c>
      <c r="F48" s="186">
        <v>117151078.8</v>
      </c>
      <c r="G48" s="92"/>
      <c r="H48" s="185">
        <v>376610608.39999998</v>
      </c>
      <c r="I48" s="186">
        <v>397609985.39999998</v>
      </c>
      <c r="J48" s="92"/>
      <c r="K48" s="185">
        <f t="shared" ref="K48:K51" si="13">B48+E48+H48</f>
        <v>1093905616.4499998</v>
      </c>
      <c r="L48" s="186">
        <f t="shared" ref="L48:L51" si="14">C48+F48+I48</f>
        <v>1154900542.4499998</v>
      </c>
      <c r="M48" s="92"/>
      <c r="N48" s="185"/>
      <c r="O48" s="186"/>
      <c r="P48" s="92"/>
      <c r="Q48" s="185">
        <f t="shared" ref="Q48:Q51" si="15">K48+N48</f>
        <v>1093905616.4499998</v>
      </c>
      <c r="R48" s="186">
        <f t="shared" ref="R48:R51" si="16">L48+O48</f>
        <v>1154900542.4499998</v>
      </c>
    </row>
    <row r="49" spans="1:18" ht="13.5" x14ac:dyDescent="0.25">
      <c r="A49" s="92" t="s">
        <v>220</v>
      </c>
      <c r="B49" s="185">
        <v>25125037802.995602</v>
      </c>
      <c r="C49" s="186">
        <v>23311210728.596607</v>
      </c>
      <c r="D49" s="92"/>
      <c r="E49" s="185">
        <v>8357336723.9530201</v>
      </c>
      <c r="F49" s="186">
        <v>7145071884.9456091</v>
      </c>
      <c r="G49" s="92"/>
      <c r="H49" s="185">
        <v>12273410429.123011</v>
      </c>
      <c r="I49" s="186">
        <v>10851194697.195366</v>
      </c>
      <c r="J49" s="92"/>
      <c r="K49" s="185">
        <f t="shared" si="13"/>
        <v>45755784956.071632</v>
      </c>
      <c r="L49" s="186">
        <f t="shared" si="14"/>
        <v>41307477310.737579</v>
      </c>
      <c r="M49" s="92"/>
      <c r="N49" s="185"/>
      <c r="O49" s="186"/>
      <c r="P49" s="92"/>
      <c r="Q49" s="185">
        <f t="shared" si="15"/>
        <v>45755784956.071632</v>
      </c>
      <c r="R49" s="186">
        <f t="shared" si="16"/>
        <v>41307477310.737579</v>
      </c>
    </row>
    <row r="50" spans="1:18" ht="13.5" x14ac:dyDescent="0.25">
      <c r="A50" s="92" t="s">
        <v>221</v>
      </c>
      <c r="B50" s="185"/>
      <c r="C50" s="186"/>
      <c r="D50" s="92"/>
      <c r="E50" s="185">
        <v>0</v>
      </c>
      <c r="F50" s="186">
        <v>0</v>
      </c>
      <c r="G50" s="92"/>
      <c r="H50" s="185">
        <v>407461654.11000001</v>
      </c>
      <c r="I50" s="186">
        <v>484040349.59000003</v>
      </c>
      <c r="J50" s="92"/>
      <c r="K50" s="185">
        <f t="shared" si="13"/>
        <v>407461654.11000001</v>
      </c>
      <c r="L50" s="186">
        <f t="shared" si="14"/>
        <v>484040349.59000003</v>
      </c>
      <c r="M50" s="92"/>
      <c r="N50" s="185"/>
      <c r="O50" s="186"/>
      <c r="P50" s="92"/>
      <c r="Q50" s="185">
        <f t="shared" si="15"/>
        <v>407461654.11000001</v>
      </c>
      <c r="R50" s="186">
        <f t="shared" si="16"/>
        <v>484040349.59000003</v>
      </c>
    </row>
    <row r="51" spans="1:18" ht="13.5" x14ac:dyDescent="0.25">
      <c r="A51" s="92" t="s">
        <v>222</v>
      </c>
      <c r="B51" s="185">
        <v>2512308262.0355453</v>
      </c>
      <c r="C51" s="186">
        <v>2427712143</v>
      </c>
      <c r="D51" s="92"/>
      <c r="E51" s="185">
        <v>438356314.5</v>
      </c>
      <c r="F51" s="186">
        <v>444292386.5</v>
      </c>
      <c r="G51" s="92"/>
      <c r="H51" s="185">
        <v>1576142621</v>
      </c>
      <c r="I51" s="186">
        <v>1507925416</v>
      </c>
      <c r="J51" s="92"/>
      <c r="K51" s="185">
        <f t="shared" si="13"/>
        <v>4526807197.5355453</v>
      </c>
      <c r="L51" s="186">
        <f t="shared" si="14"/>
        <v>4379929945.5</v>
      </c>
      <c r="M51" s="92"/>
      <c r="N51" s="185"/>
      <c r="O51" s="186"/>
      <c r="P51" s="92"/>
      <c r="Q51" s="185">
        <f t="shared" si="15"/>
        <v>4526807197.5355453</v>
      </c>
      <c r="R51" s="186">
        <f t="shared" si="16"/>
        <v>4379929945.5</v>
      </c>
    </row>
    <row r="52" spans="1:18" ht="14.25" thickBot="1" x14ac:dyDescent="0.3">
      <c r="A52" s="92"/>
      <c r="B52" s="187"/>
      <c r="C52" s="186"/>
      <c r="D52" s="92"/>
      <c r="E52" s="187"/>
      <c r="F52" s="188"/>
      <c r="G52" s="92"/>
      <c r="H52" s="187"/>
      <c r="I52" s="188"/>
      <c r="J52" s="92"/>
      <c r="K52" s="187">
        <f t="shared" ref="K52:L52" si="17">B52+E52+H52</f>
        <v>0</v>
      </c>
      <c r="L52" s="188">
        <f t="shared" si="17"/>
        <v>0</v>
      </c>
      <c r="M52" s="92"/>
      <c r="N52" s="187"/>
      <c r="O52" s="184"/>
      <c r="P52" s="92"/>
      <c r="Q52" s="187"/>
      <c r="R52" s="188"/>
    </row>
    <row r="53" spans="1:18" ht="14.25" thickBot="1" x14ac:dyDescent="0.3">
      <c r="A53" s="94"/>
      <c r="B53" s="196">
        <f>SUM(B48:B51)</f>
        <v>28243677212.281147</v>
      </c>
      <c r="C53" s="197">
        <f>SUM(C48:C51)</f>
        <v>26379062349.846607</v>
      </c>
      <c r="D53" s="92"/>
      <c r="E53" s="196">
        <f>SUM(E48:E51)</f>
        <v>8906656899.2530212</v>
      </c>
      <c r="F53" s="197">
        <f>SUM(F48:F51)</f>
        <v>7706515350.2456093</v>
      </c>
      <c r="G53" s="92"/>
      <c r="H53" s="196">
        <f>SUM(H48:H51)</f>
        <v>14633625312.633011</v>
      </c>
      <c r="I53" s="197">
        <f>SUM(I48:I51)</f>
        <v>13240770448.185366</v>
      </c>
      <c r="J53" s="198"/>
      <c r="K53" s="196">
        <f>SUM(K48:K51)</f>
        <v>51783959424.167175</v>
      </c>
      <c r="L53" s="197">
        <f>SUM(L48:L51)</f>
        <v>47326348148.277573</v>
      </c>
      <c r="M53" s="194"/>
      <c r="N53" s="196">
        <f>SUM(N48:N51)</f>
        <v>0</v>
      </c>
      <c r="O53" s="197">
        <f>SUM(O48:O51)</f>
        <v>0</v>
      </c>
      <c r="P53" s="194"/>
      <c r="Q53" s="196">
        <f>SUM(Q48:Q51)</f>
        <v>51783959424.167175</v>
      </c>
      <c r="R53" s="197">
        <f>SUM(R48:R51)</f>
        <v>47326348148.277573</v>
      </c>
    </row>
    <row r="54" spans="1:18" ht="13.5" x14ac:dyDescent="0.25">
      <c r="A54" s="92"/>
      <c r="B54" s="187"/>
      <c r="C54" s="199"/>
      <c r="D54" s="92"/>
      <c r="E54" s="187"/>
      <c r="F54" s="199"/>
      <c r="G54" s="92"/>
      <c r="H54" s="187"/>
      <c r="I54" s="199"/>
      <c r="J54" s="92"/>
      <c r="K54" s="187"/>
      <c r="L54" s="199"/>
      <c r="M54" s="92"/>
      <c r="N54" s="187"/>
      <c r="O54" s="184"/>
      <c r="P54" s="92"/>
      <c r="Q54" s="187"/>
      <c r="R54" s="199"/>
    </row>
    <row r="55" spans="1:18" ht="14.25" thickBot="1" x14ac:dyDescent="0.3">
      <c r="A55" s="92" t="s">
        <v>223</v>
      </c>
      <c r="B55" s="200">
        <f>B45-B53</f>
        <v>0.22172164916992188</v>
      </c>
      <c r="C55" s="201">
        <f>C45-C53</f>
        <v>-0.46660995483398438</v>
      </c>
      <c r="D55" s="92"/>
      <c r="E55" s="200">
        <f>E45-E53</f>
        <v>0.4199981689453125</v>
      </c>
      <c r="F55" s="201">
        <f>F45-F53</f>
        <v>-0.24560928344726563</v>
      </c>
      <c r="G55" s="92"/>
      <c r="H55" s="200">
        <f>H45-H53</f>
        <v>149999999.62319756</v>
      </c>
      <c r="I55" s="201">
        <f>I45-I53</f>
        <v>150000000.13463402</v>
      </c>
      <c r="J55" s="92"/>
      <c r="K55" s="200">
        <f>K45-K53</f>
        <v>150000000.26493073</v>
      </c>
      <c r="L55" s="201">
        <f>L45-L53</f>
        <v>149999999.42242432</v>
      </c>
      <c r="M55" s="92"/>
      <c r="N55" s="200">
        <f>N45-N53</f>
        <v>2366340185.0389996</v>
      </c>
      <c r="O55" s="201">
        <f>O45-O53</f>
        <v>2300989456.8860002</v>
      </c>
      <c r="P55" s="92"/>
      <c r="Q55" s="200">
        <f>Q45-Q53</f>
        <v>2516340185.3039322</v>
      </c>
      <c r="R55" s="201">
        <f>R45-R53</f>
        <v>2450989456.3084259</v>
      </c>
    </row>
    <row r="56" spans="1:18" ht="14.25" thickTop="1" x14ac:dyDescent="0.25">
      <c r="A56" s="92"/>
      <c r="B56" s="185"/>
      <c r="C56" s="202"/>
      <c r="D56" s="92"/>
      <c r="E56" s="185"/>
      <c r="F56" s="202"/>
      <c r="G56" s="92"/>
      <c r="H56" s="185"/>
      <c r="I56" s="202"/>
      <c r="J56" s="92"/>
      <c r="K56" s="185"/>
      <c r="L56" s="202"/>
      <c r="M56" s="92"/>
      <c r="N56" s="185"/>
      <c r="O56" s="184"/>
      <c r="P56" s="92"/>
      <c r="Q56" s="185"/>
      <c r="R56" s="202"/>
    </row>
    <row r="57" spans="1:18" ht="13.5" x14ac:dyDescent="0.25">
      <c r="A57" s="115" t="s">
        <v>224</v>
      </c>
      <c r="B57" s="185"/>
      <c r="C57" s="186"/>
      <c r="D57" s="92"/>
      <c r="E57" s="185"/>
      <c r="F57" s="186"/>
      <c r="G57" s="92"/>
      <c r="H57" s="185"/>
      <c r="I57" s="203"/>
      <c r="J57" s="92"/>
      <c r="K57" s="185">
        <f t="shared" ref="K57:K60" si="18">B57+E57+H57</f>
        <v>0</v>
      </c>
      <c r="L57" s="186">
        <f t="shared" ref="L57:L60" si="19">C57+F57+I57</f>
        <v>0</v>
      </c>
      <c r="M57" s="92"/>
      <c r="N57" s="185"/>
      <c r="O57" s="184"/>
      <c r="P57" s="92"/>
      <c r="Q57" s="185"/>
      <c r="R57" s="203"/>
    </row>
    <row r="58" spans="1:18" ht="13.5" x14ac:dyDescent="0.25">
      <c r="A58" s="92" t="s">
        <v>225</v>
      </c>
      <c r="B58" s="185">
        <v>0</v>
      </c>
      <c r="C58" s="186">
        <v>0</v>
      </c>
      <c r="D58" s="92"/>
      <c r="E58" s="185"/>
      <c r="F58" s="186"/>
      <c r="G58" s="92"/>
      <c r="H58" s="185">
        <v>150000000</v>
      </c>
      <c r="I58" s="186">
        <v>150000000</v>
      </c>
      <c r="J58" s="92"/>
      <c r="K58" s="185">
        <f t="shared" si="18"/>
        <v>150000000</v>
      </c>
      <c r="L58" s="186">
        <f t="shared" si="19"/>
        <v>150000000</v>
      </c>
      <c r="M58" s="92"/>
      <c r="N58" s="185">
        <v>300000000</v>
      </c>
      <c r="O58" s="186">
        <v>300000000</v>
      </c>
      <c r="P58" s="92"/>
      <c r="Q58" s="185">
        <f t="shared" ref="Q58:Q60" si="20">K58+N58</f>
        <v>450000000</v>
      </c>
      <c r="R58" s="186">
        <f t="shared" ref="R58:R60" si="21">L58+O58</f>
        <v>450000000</v>
      </c>
    </row>
    <row r="59" spans="1:18" ht="13.5" x14ac:dyDescent="0.25">
      <c r="A59" s="92"/>
      <c r="B59" s="185"/>
      <c r="C59" s="186"/>
      <c r="D59" s="92"/>
      <c r="E59" s="185"/>
      <c r="F59" s="186"/>
      <c r="G59" s="92"/>
      <c r="H59" s="185"/>
      <c r="I59" s="186"/>
      <c r="J59" s="92"/>
      <c r="K59" s="185">
        <f t="shared" si="18"/>
        <v>0</v>
      </c>
      <c r="L59" s="186">
        <f t="shared" si="19"/>
        <v>0</v>
      </c>
      <c r="M59" s="92"/>
      <c r="N59" s="185"/>
      <c r="O59" s="186"/>
      <c r="P59" s="92"/>
      <c r="Q59" s="185">
        <f t="shared" si="20"/>
        <v>0</v>
      </c>
      <c r="R59" s="186">
        <f t="shared" si="21"/>
        <v>0</v>
      </c>
    </row>
    <row r="60" spans="1:18" ht="13.5" x14ac:dyDescent="0.25">
      <c r="A60" s="92" t="s">
        <v>226</v>
      </c>
      <c r="B60" s="185">
        <v>0</v>
      </c>
      <c r="C60" s="186">
        <v>0</v>
      </c>
      <c r="D60" s="92"/>
      <c r="E60" s="185"/>
      <c r="F60" s="186"/>
      <c r="G60" s="92"/>
      <c r="H60" s="185">
        <v>0</v>
      </c>
      <c r="I60" s="186">
        <v>0</v>
      </c>
      <c r="J60" s="92"/>
      <c r="K60" s="185">
        <f t="shared" si="18"/>
        <v>0</v>
      </c>
      <c r="L60" s="186">
        <f t="shared" si="19"/>
        <v>0</v>
      </c>
      <c r="M60" s="92"/>
      <c r="N60" s="185">
        <v>2066340185.289</v>
      </c>
      <c r="O60" s="186">
        <v>2000989457.1659999</v>
      </c>
      <c r="P60" s="92"/>
      <c r="Q60" s="185">
        <f t="shared" si="20"/>
        <v>2066340185.289</v>
      </c>
      <c r="R60" s="186">
        <f t="shared" si="21"/>
        <v>2000989457.1659999</v>
      </c>
    </row>
    <row r="61" spans="1:18" ht="13.5" x14ac:dyDescent="0.25">
      <c r="A61" s="92"/>
      <c r="B61" s="187"/>
      <c r="C61" s="199"/>
      <c r="D61" s="92"/>
      <c r="E61" s="187"/>
      <c r="F61" s="199"/>
      <c r="G61" s="92"/>
      <c r="H61" s="187"/>
      <c r="I61" s="199"/>
      <c r="J61" s="92"/>
      <c r="K61" s="187"/>
      <c r="L61" s="199"/>
      <c r="M61" s="92"/>
      <c r="N61" s="187"/>
      <c r="O61" s="184"/>
      <c r="P61" s="92"/>
      <c r="Q61" s="187"/>
      <c r="R61" s="199"/>
    </row>
    <row r="62" spans="1:18" ht="14.25" thickBot="1" x14ac:dyDescent="0.3">
      <c r="A62" s="115" t="s">
        <v>227</v>
      </c>
      <c r="B62" s="200">
        <f>SUM(B58:B61)</f>
        <v>0</v>
      </c>
      <c r="C62" s="201">
        <f>SUM(C58:C61)</f>
        <v>0</v>
      </c>
      <c r="D62" s="115"/>
      <c r="E62" s="200">
        <f>SUM(E58:E61)</f>
        <v>0</v>
      </c>
      <c r="F62" s="201">
        <f>SUM(F58:F61)</f>
        <v>0</v>
      </c>
      <c r="G62" s="115"/>
      <c r="H62" s="200">
        <f>SUM(H58:H61)</f>
        <v>150000000</v>
      </c>
      <c r="I62" s="201">
        <f>SUM(I58:I61)</f>
        <v>150000000</v>
      </c>
      <c r="J62" s="115"/>
      <c r="K62" s="200">
        <f>SUM(K58:K61)</f>
        <v>150000000</v>
      </c>
      <c r="L62" s="201">
        <f>SUM(L58:L61)</f>
        <v>150000000</v>
      </c>
      <c r="M62" s="115"/>
      <c r="N62" s="200">
        <f>SUM(N58:N61)</f>
        <v>2366340185.289</v>
      </c>
      <c r="O62" s="201">
        <f>SUM(O58:O61)</f>
        <v>2300989457.1659999</v>
      </c>
      <c r="P62" s="115"/>
      <c r="Q62" s="200">
        <f>SUM(Q58:Q61)</f>
        <v>2516340185.289</v>
      </c>
      <c r="R62" s="201">
        <f>SUM(R58:R61)</f>
        <v>2450989457.1659999</v>
      </c>
    </row>
    <row r="63" spans="1:18" s="115" customFormat="1" ht="14.25" thickTop="1" x14ac:dyDescent="0.25">
      <c r="K63" s="230"/>
      <c r="L63" s="230"/>
    </row>
    <row r="64" spans="1:18" s="115" customFormat="1" ht="13.5" x14ac:dyDescent="0.25">
      <c r="B64" s="240">
        <f>B55-B62</f>
        <v>0.22172164916992188</v>
      </c>
      <c r="C64" s="240">
        <f>C55-C62</f>
        <v>-0.46660995483398438</v>
      </c>
      <c r="D64" s="240"/>
      <c r="E64" s="240">
        <f>E55-E62</f>
        <v>0.4199981689453125</v>
      </c>
      <c r="F64" s="240">
        <f>F55-F62</f>
        <v>-0.24560928344726563</v>
      </c>
      <c r="G64" s="240"/>
      <c r="H64" s="240">
        <f>H55-H62</f>
        <v>-0.37680244445800781</v>
      </c>
      <c r="I64" s="240">
        <f>I55-I62</f>
        <v>0.13463401794433594</v>
      </c>
      <c r="J64" s="240"/>
      <c r="K64" s="240">
        <f>K55-K62</f>
        <v>0.26493072509765625</v>
      </c>
      <c r="L64" s="240">
        <f>L55-L62</f>
        <v>-0.57757568359375</v>
      </c>
      <c r="M64" s="240"/>
      <c r="N64" s="240">
        <f>N55-N62</f>
        <v>-0.2500004768371582</v>
      </c>
      <c r="O64" s="240">
        <f>O55-O62</f>
        <v>-0.27999973297119141</v>
      </c>
      <c r="P64" s="240"/>
      <c r="Q64" s="240">
        <f>Q55-Q62</f>
        <v>1.4932155609130859E-2</v>
      </c>
      <c r="R64" s="240">
        <f>R55-R62</f>
        <v>-0.8575739860534668</v>
      </c>
    </row>
    <row r="65" spans="11:12" s="115" customFormat="1" ht="13.5" x14ac:dyDescent="0.25">
      <c r="L65" s="230"/>
    </row>
    <row r="66" spans="11:12" s="115" customFormat="1" ht="13.5" x14ac:dyDescent="0.25">
      <c r="L66" s="230"/>
    </row>
    <row r="67" spans="11:12" s="115" customFormat="1" ht="13.5" x14ac:dyDescent="0.25">
      <c r="K67" s="230"/>
      <c r="L67" s="230"/>
    </row>
    <row r="68" spans="11:12" s="115" customFormat="1" ht="13.5" x14ac:dyDescent="0.25">
      <c r="K68" s="230"/>
      <c r="L68" s="230"/>
    </row>
    <row r="69" spans="11:12" s="115" customFormat="1" ht="13.5" x14ac:dyDescent="0.25">
      <c r="K69" s="230"/>
      <c r="L69" s="230"/>
    </row>
    <row r="70" spans="11:12" s="115" customFormat="1" ht="13.5" x14ac:dyDescent="0.25">
      <c r="K70" s="230"/>
      <c r="L70" s="230"/>
    </row>
    <row r="71" spans="11:12" s="115" customFormat="1" ht="13.5" x14ac:dyDescent="0.25">
      <c r="K71" s="230"/>
      <c r="L71" s="230"/>
    </row>
    <row r="72" spans="11:12" s="115" customFormat="1" ht="13.5" x14ac:dyDescent="0.25">
      <c r="K72" s="230"/>
      <c r="L72" s="230"/>
    </row>
    <row r="73" spans="11:12" s="115" customFormat="1" ht="13.5" x14ac:dyDescent="0.25">
      <c r="K73" s="230"/>
      <c r="L73" s="230"/>
    </row>
    <row r="74" spans="11:12" s="115" customFormat="1" ht="13.5" x14ac:dyDescent="0.25">
      <c r="K74" s="230"/>
      <c r="L74" s="230"/>
    </row>
    <row r="75" spans="11:12" s="115" customFormat="1" ht="13.5" x14ac:dyDescent="0.25">
      <c r="K75" s="230"/>
      <c r="L75" s="230"/>
    </row>
    <row r="76" spans="11:12" s="115" customFormat="1" ht="13.5" x14ac:dyDescent="0.25">
      <c r="K76" s="230"/>
      <c r="L76" s="230"/>
    </row>
    <row r="77" spans="11:12" s="115" customFormat="1" ht="13.5" x14ac:dyDescent="0.25">
      <c r="K77" s="230"/>
      <c r="L77" s="230"/>
    </row>
    <row r="78" spans="11:12" s="115" customFormat="1" ht="13.5" x14ac:dyDescent="0.25">
      <c r="K78" s="230"/>
      <c r="L78" s="230"/>
    </row>
    <row r="79" spans="11:12" s="115" customFormat="1" ht="13.5" x14ac:dyDescent="0.25">
      <c r="K79" s="230"/>
      <c r="L79" s="230"/>
    </row>
    <row r="80" spans="11:12" s="115" customFormat="1" ht="13.5" x14ac:dyDescent="0.25">
      <c r="K80" s="230"/>
      <c r="L80" s="230"/>
    </row>
    <row r="81" spans="11:12" s="115" customFormat="1" ht="13.5" x14ac:dyDescent="0.25">
      <c r="K81" s="230"/>
      <c r="L81" s="230"/>
    </row>
    <row r="82" spans="11:12" s="115" customFormat="1" ht="13.5" x14ac:dyDescent="0.25">
      <c r="K82" s="230"/>
      <c r="L82" s="230"/>
    </row>
    <row r="83" spans="11:12" s="115" customFormat="1" ht="13.5" x14ac:dyDescent="0.25">
      <c r="K83" s="230"/>
      <c r="L83" s="230"/>
    </row>
    <row r="84" spans="11:12" s="115" customFormat="1" ht="13.5" x14ac:dyDescent="0.25">
      <c r="K84" s="230"/>
      <c r="L84" s="230"/>
    </row>
    <row r="85" spans="11:12" s="115" customFormat="1" ht="13.5" x14ac:dyDescent="0.25">
      <c r="K85" s="230"/>
      <c r="L85" s="230"/>
    </row>
    <row r="86" spans="11:12" s="115" customFormat="1" ht="13.5" x14ac:dyDescent="0.25">
      <c r="K86" s="230"/>
      <c r="L86" s="230"/>
    </row>
    <row r="87" spans="11:12" s="115" customFormat="1" ht="13.5" x14ac:dyDescent="0.25">
      <c r="K87" s="230"/>
      <c r="L87" s="230"/>
    </row>
    <row r="88" spans="11:12" s="115" customFormat="1" ht="13.5" x14ac:dyDescent="0.25">
      <c r="K88" s="230"/>
      <c r="L88" s="230"/>
    </row>
    <row r="89" spans="11:12" s="115" customFormat="1" ht="13.5" x14ac:dyDescent="0.25">
      <c r="K89" s="230"/>
      <c r="L89" s="230"/>
    </row>
    <row r="90" spans="11:12" s="115" customFormat="1" ht="13.5" x14ac:dyDescent="0.25">
      <c r="K90" s="230"/>
      <c r="L90" s="230"/>
    </row>
    <row r="91" spans="11:12" s="115" customFormat="1" ht="13.5" x14ac:dyDescent="0.25">
      <c r="K91" s="230"/>
      <c r="L91" s="230"/>
    </row>
    <row r="92" spans="11:12" s="115" customFormat="1" ht="13.5" x14ac:dyDescent="0.25">
      <c r="K92" s="230"/>
      <c r="L92" s="230"/>
    </row>
    <row r="93" spans="11:12" s="115" customFormat="1" ht="13.5" x14ac:dyDescent="0.25">
      <c r="K93" s="230"/>
      <c r="L93" s="230"/>
    </row>
    <row r="94" spans="11:12" s="115" customFormat="1" ht="13.5" x14ac:dyDescent="0.25">
      <c r="K94" s="230"/>
      <c r="L94" s="230"/>
    </row>
    <row r="95" spans="11:12" s="115" customFormat="1" ht="13.5" x14ac:dyDescent="0.25">
      <c r="K95" s="230"/>
      <c r="L95" s="230"/>
    </row>
    <row r="96" spans="11:12" s="115" customFormat="1" ht="13.5" x14ac:dyDescent="0.25">
      <c r="K96" s="230"/>
      <c r="L96" s="230"/>
    </row>
    <row r="97" spans="11:12" s="115" customFormat="1" ht="13.5" x14ac:dyDescent="0.25">
      <c r="K97" s="230"/>
      <c r="L97" s="230"/>
    </row>
    <row r="98" spans="11:12" s="115" customFormat="1" ht="13.5" x14ac:dyDescent="0.25">
      <c r="K98" s="230"/>
      <c r="L98" s="230"/>
    </row>
    <row r="99" spans="11:12" s="115" customFormat="1" ht="13.5" x14ac:dyDescent="0.25">
      <c r="K99" s="230"/>
      <c r="L99" s="230"/>
    </row>
    <row r="100" spans="11:12" s="115" customFormat="1" ht="13.5" x14ac:dyDescent="0.25">
      <c r="K100" s="230"/>
      <c r="L100" s="230"/>
    </row>
    <row r="101" spans="11:12" s="115" customFormat="1" ht="13.5" x14ac:dyDescent="0.25">
      <c r="K101" s="230"/>
      <c r="L101" s="230"/>
    </row>
    <row r="102" spans="11:12" s="115" customFormat="1" ht="13.5" x14ac:dyDescent="0.25">
      <c r="K102" s="230"/>
      <c r="L102" s="230"/>
    </row>
    <row r="103" spans="11:12" s="115" customFormat="1" ht="13.5" x14ac:dyDescent="0.25">
      <c r="K103" s="230"/>
      <c r="L103" s="230"/>
    </row>
    <row r="104" spans="11:12" s="115" customFormat="1" ht="13.5" x14ac:dyDescent="0.25">
      <c r="K104" s="230"/>
      <c r="L104" s="230"/>
    </row>
    <row r="105" spans="11:12" s="115" customFormat="1" ht="13.5" x14ac:dyDescent="0.25">
      <c r="K105" s="230"/>
      <c r="L105" s="230"/>
    </row>
    <row r="106" spans="11:12" s="115" customFormat="1" ht="13.5" x14ac:dyDescent="0.25">
      <c r="K106" s="230"/>
      <c r="L106" s="230"/>
    </row>
    <row r="107" spans="11:12" s="115" customFormat="1" ht="13.5" x14ac:dyDescent="0.25">
      <c r="K107" s="230"/>
      <c r="L107" s="230"/>
    </row>
    <row r="108" spans="11:12" s="115" customFormat="1" ht="13.5" x14ac:dyDescent="0.25">
      <c r="K108" s="230"/>
      <c r="L108" s="230"/>
    </row>
    <row r="109" spans="11:12" s="115" customFormat="1" ht="13.5" x14ac:dyDescent="0.25">
      <c r="K109" s="230"/>
      <c r="L109" s="230"/>
    </row>
    <row r="110" spans="11:12" s="115" customFormat="1" ht="13.5" x14ac:dyDescent="0.25">
      <c r="K110" s="230"/>
      <c r="L110" s="230"/>
    </row>
    <row r="111" spans="11:12" s="115" customFormat="1" ht="13.5" x14ac:dyDescent="0.25">
      <c r="K111" s="230"/>
      <c r="L111" s="230"/>
    </row>
    <row r="112" spans="11:12" s="115" customFormat="1" ht="13.5" x14ac:dyDescent="0.25">
      <c r="K112" s="230"/>
      <c r="L112" s="230"/>
    </row>
    <row r="113" spans="11:12" s="115" customFormat="1" ht="13.5" x14ac:dyDescent="0.25">
      <c r="K113" s="230"/>
      <c r="L113" s="230"/>
    </row>
    <row r="114" spans="11:12" s="115" customFormat="1" ht="13.5" x14ac:dyDescent="0.25">
      <c r="K114" s="230"/>
      <c r="L114" s="230"/>
    </row>
    <row r="115" spans="11:12" s="115" customFormat="1" ht="13.5" x14ac:dyDescent="0.25">
      <c r="K115" s="230"/>
      <c r="L115" s="230"/>
    </row>
    <row r="116" spans="11:12" s="115" customFormat="1" ht="13.5" x14ac:dyDescent="0.25">
      <c r="K116" s="230"/>
      <c r="L116" s="230"/>
    </row>
    <row r="117" spans="11:12" s="115" customFormat="1" ht="13.5" x14ac:dyDescent="0.25">
      <c r="K117" s="230"/>
      <c r="L117" s="230"/>
    </row>
    <row r="118" spans="11:12" s="115" customFormat="1" ht="13.5" x14ac:dyDescent="0.25">
      <c r="K118" s="230"/>
      <c r="L118" s="230"/>
    </row>
    <row r="119" spans="11:12" s="115" customFormat="1" ht="13.5" x14ac:dyDescent="0.25">
      <c r="K119" s="230"/>
      <c r="L119" s="230"/>
    </row>
    <row r="120" spans="11:12" s="115" customFormat="1" ht="13.5" x14ac:dyDescent="0.25">
      <c r="K120" s="230"/>
      <c r="L120" s="230"/>
    </row>
    <row r="121" spans="11:12" s="115" customFormat="1" ht="13.5" x14ac:dyDescent="0.25">
      <c r="K121" s="230"/>
      <c r="L121" s="230"/>
    </row>
    <row r="122" spans="11:12" s="115" customFormat="1" ht="13.5" x14ac:dyDescent="0.25">
      <c r="K122" s="230"/>
      <c r="L122" s="230"/>
    </row>
    <row r="123" spans="11:12" s="115" customFormat="1" ht="13.5" x14ac:dyDescent="0.25">
      <c r="K123" s="230"/>
      <c r="L123" s="230"/>
    </row>
    <row r="124" spans="11:12" s="115" customFormat="1" ht="13.5" x14ac:dyDescent="0.25">
      <c r="K124" s="230"/>
      <c r="L124" s="230"/>
    </row>
    <row r="125" spans="11:12" s="115" customFormat="1" ht="13.5" x14ac:dyDescent="0.25">
      <c r="K125" s="230"/>
      <c r="L125" s="230"/>
    </row>
    <row r="126" spans="11:12" s="115" customFormat="1" ht="13.5" x14ac:dyDescent="0.25">
      <c r="K126" s="230"/>
      <c r="L126" s="230"/>
    </row>
    <row r="127" spans="11:12" s="115" customFormat="1" ht="13.5" x14ac:dyDescent="0.25">
      <c r="K127" s="230"/>
      <c r="L127" s="230"/>
    </row>
    <row r="128" spans="11:12" s="115" customFormat="1" ht="13.5" x14ac:dyDescent="0.25">
      <c r="K128" s="230"/>
      <c r="L128" s="230"/>
    </row>
    <row r="129" spans="11:12" s="115" customFormat="1" ht="13.5" x14ac:dyDescent="0.25">
      <c r="K129" s="230"/>
      <c r="L129" s="230"/>
    </row>
    <row r="130" spans="11:12" s="115" customFormat="1" ht="13.5" x14ac:dyDescent="0.25">
      <c r="K130" s="230"/>
      <c r="L130" s="230"/>
    </row>
    <row r="131" spans="11:12" s="115" customFormat="1" ht="13.5" x14ac:dyDescent="0.25">
      <c r="K131" s="230"/>
      <c r="L131" s="230"/>
    </row>
    <row r="132" spans="11:12" s="115" customFormat="1" ht="13.5" x14ac:dyDescent="0.25">
      <c r="K132" s="230"/>
      <c r="L132" s="230"/>
    </row>
    <row r="133" spans="11:12" s="115" customFormat="1" ht="13.5" x14ac:dyDescent="0.25">
      <c r="K133" s="230"/>
      <c r="L133" s="230"/>
    </row>
    <row r="134" spans="11:12" s="115" customFormat="1" ht="13.5" x14ac:dyDescent="0.25">
      <c r="K134" s="230"/>
      <c r="L134" s="230"/>
    </row>
    <row r="135" spans="11:12" s="115" customFormat="1" ht="13.5" x14ac:dyDescent="0.25">
      <c r="K135" s="230"/>
      <c r="L135" s="230"/>
    </row>
    <row r="136" spans="11:12" s="115" customFormat="1" ht="13.5" x14ac:dyDescent="0.25">
      <c r="K136" s="230"/>
      <c r="L136" s="230"/>
    </row>
    <row r="137" spans="11:12" s="115" customFormat="1" ht="13.5" x14ac:dyDescent="0.25">
      <c r="K137" s="230"/>
      <c r="L137" s="230"/>
    </row>
    <row r="138" spans="11:12" s="115" customFormat="1" ht="13.5" x14ac:dyDescent="0.25">
      <c r="K138" s="230"/>
      <c r="L138" s="230"/>
    </row>
    <row r="139" spans="11:12" s="115" customFormat="1" ht="13.5" x14ac:dyDescent="0.25">
      <c r="K139" s="230"/>
      <c r="L139" s="230"/>
    </row>
    <row r="140" spans="11:12" s="115" customFormat="1" ht="13.5" x14ac:dyDescent="0.25">
      <c r="K140" s="230"/>
      <c r="L140" s="230"/>
    </row>
    <row r="141" spans="11:12" s="115" customFormat="1" ht="13.5" x14ac:dyDescent="0.25">
      <c r="K141" s="230"/>
      <c r="L141" s="230"/>
    </row>
    <row r="142" spans="11:12" s="115" customFormat="1" ht="13.5" x14ac:dyDescent="0.25">
      <c r="K142" s="230"/>
      <c r="L142" s="230"/>
    </row>
    <row r="143" spans="11:12" s="115" customFormat="1" ht="13.5" x14ac:dyDescent="0.25">
      <c r="K143" s="230"/>
      <c r="L143" s="230"/>
    </row>
    <row r="144" spans="11:12" s="115" customFormat="1" ht="13.5" x14ac:dyDescent="0.25">
      <c r="K144" s="230"/>
      <c r="L144" s="230"/>
    </row>
    <row r="145" spans="11:12" s="115" customFormat="1" ht="13.5" x14ac:dyDescent="0.25">
      <c r="K145" s="230"/>
      <c r="L145" s="230"/>
    </row>
    <row r="146" spans="11:12" s="115" customFormat="1" ht="13.5" x14ac:dyDescent="0.25">
      <c r="K146" s="230"/>
      <c r="L146" s="230"/>
    </row>
    <row r="147" spans="11:12" s="115" customFormat="1" ht="13.5" x14ac:dyDescent="0.25">
      <c r="K147" s="230"/>
      <c r="L147" s="230"/>
    </row>
    <row r="148" spans="11:12" s="115" customFormat="1" ht="13.5" x14ac:dyDescent="0.25">
      <c r="K148" s="230"/>
      <c r="L148" s="230"/>
    </row>
    <row r="149" spans="11:12" s="115" customFormat="1" ht="13.5" x14ac:dyDescent="0.25">
      <c r="K149" s="230"/>
      <c r="L149" s="230"/>
    </row>
    <row r="150" spans="11:12" s="115" customFormat="1" ht="13.5" x14ac:dyDescent="0.25">
      <c r="K150" s="230"/>
      <c r="L150" s="230"/>
    </row>
    <row r="151" spans="11:12" s="115" customFormat="1" ht="13.5" x14ac:dyDescent="0.25">
      <c r="K151" s="230"/>
      <c r="L151" s="230"/>
    </row>
    <row r="152" spans="11:12" s="115" customFormat="1" ht="13.5" x14ac:dyDescent="0.25">
      <c r="K152" s="230"/>
      <c r="L152" s="230"/>
    </row>
    <row r="153" spans="11:12" s="115" customFormat="1" ht="13.5" x14ac:dyDescent="0.25">
      <c r="K153" s="230"/>
      <c r="L153" s="230"/>
    </row>
    <row r="154" spans="11:12" s="115" customFormat="1" ht="13.5" x14ac:dyDescent="0.25">
      <c r="K154" s="230"/>
      <c r="L154" s="230"/>
    </row>
    <row r="155" spans="11:12" s="115" customFormat="1" ht="13.5" x14ac:dyDescent="0.25">
      <c r="K155" s="230"/>
      <c r="L155" s="230"/>
    </row>
    <row r="156" spans="11:12" s="115" customFormat="1" ht="13.5" x14ac:dyDescent="0.25">
      <c r="K156" s="230"/>
      <c r="L156" s="230"/>
    </row>
    <row r="157" spans="11:12" s="115" customFormat="1" ht="13.5" x14ac:dyDescent="0.25">
      <c r="K157" s="230"/>
      <c r="L157" s="230"/>
    </row>
    <row r="158" spans="11:12" s="115" customFormat="1" ht="13.5" x14ac:dyDescent="0.25">
      <c r="K158" s="230"/>
      <c r="L158" s="230"/>
    </row>
    <row r="159" spans="11:12" s="115" customFormat="1" ht="13.5" x14ac:dyDescent="0.25">
      <c r="K159" s="230"/>
      <c r="L159" s="230"/>
    </row>
    <row r="160" spans="11:12" s="115" customFormat="1" ht="13.5" x14ac:dyDescent="0.25">
      <c r="K160" s="230"/>
      <c r="L160" s="230"/>
    </row>
    <row r="161" spans="11:12" s="115" customFormat="1" ht="13.5" x14ac:dyDescent="0.25">
      <c r="K161" s="230"/>
      <c r="L161" s="230"/>
    </row>
    <row r="162" spans="11:12" s="115" customFormat="1" ht="13.5" x14ac:dyDescent="0.25">
      <c r="K162" s="230"/>
      <c r="L162" s="230"/>
    </row>
    <row r="163" spans="11:12" s="115" customFormat="1" ht="13.5" x14ac:dyDescent="0.25">
      <c r="K163" s="230"/>
      <c r="L163" s="230"/>
    </row>
    <row r="164" spans="11:12" s="115" customFormat="1" ht="13.5" x14ac:dyDescent="0.25">
      <c r="K164" s="230"/>
      <c r="L164" s="230"/>
    </row>
    <row r="165" spans="11:12" s="115" customFormat="1" ht="13.5" x14ac:dyDescent="0.25">
      <c r="K165" s="230"/>
      <c r="L165" s="230"/>
    </row>
    <row r="166" spans="11:12" s="115" customFormat="1" ht="13.5" x14ac:dyDescent="0.25">
      <c r="K166" s="230"/>
      <c r="L166" s="230"/>
    </row>
    <row r="167" spans="11:12" s="115" customFormat="1" ht="13.5" x14ac:dyDescent="0.25">
      <c r="K167" s="230"/>
      <c r="L167" s="230"/>
    </row>
    <row r="168" spans="11:12" s="115" customFormat="1" ht="13.5" x14ac:dyDescent="0.25">
      <c r="K168" s="230"/>
      <c r="L168" s="230"/>
    </row>
    <row r="169" spans="11:12" s="115" customFormat="1" ht="13.5" x14ac:dyDescent="0.25">
      <c r="K169" s="230"/>
      <c r="L169" s="230"/>
    </row>
    <row r="170" spans="11:12" s="115" customFormat="1" ht="13.5" x14ac:dyDescent="0.25">
      <c r="K170" s="230"/>
      <c r="L170" s="230"/>
    </row>
    <row r="171" spans="11:12" s="115" customFormat="1" ht="13.5" x14ac:dyDescent="0.25">
      <c r="K171" s="230"/>
      <c r="L171" s="230"/>
    </row>
    <row r="172" spans="11:12" s="115" customFormat="1" ht="13.5" x14ac:dyDescent="0.25">
      <c r="K172" s="230"/>
      <c r="L172" s="230"/>
    </row>
    <row r="173" spans="11:12" s="115" customFormat="1" ht="13.5" x14ac:dyDescent="0.25">
      <c r="K173" s="230"/>
      <c r="L173" s="230"/>
    </row>
    <row r="174" spans="11:12" s="115" customFormat="1" ht="13.5" x14ac:dyDescent="0.25">
      <c r="K174" s="230"/>
      <c r="L174" s="230"/>
    </row>
    <row r="175" spans="11:12" s="115" customFormat="1" ht="13.5" x14ac:dyDescent="0.25">
      <c r="K175" s="230"/>
      <c r="L175" s="230"/>
    </row>
    <row r="176" spans="11:12" s="115" customFormat="1" ht="13.5" x14ac:dyDescent="0.25">
      <c r="K176" s="230"/>
      <c r="L176" s="230"/>
    </row>
    <row r="177" spans="11:12" s="115" customFormat="1" ht="13.5" x14ac:dyDescent="0.25">
      <c r="K177" s="230"/>
      <c r="L177" s="230"/>
    </row>
    <row r="178" spans="11:12" s="115" customFormat="1" ht="13.5" x14ac:dyDescent="0.25">
      <c r="K178" s="230"/>
      <c r="L178" s="230"/>
    </row>
    <row r="179" spans="11:12" s="115" customFormat="1" ht="13.5" x14ac:dyDescent="0.25">
      <c r="K179" s="230"/>
      <c r="L179" s="230"/>
    </row>
    <row r="180" spans="11:12" s="115" customFormat="1" ht="13.5" x14ac:dyDescent="0.25">
      <c r="K180" s="230"/>
      <c r="L180" s="230"/>
    </row>
    <row r="181" spans="11:12" s="115" customFormat="1" ht="13.5" x14ac:dyDescent="0.25">
      <c r="K181" s="230"/>
      <c r="L181" s="230"/>
    </row>
    <row r="182" spans="11:12" s="115" customFormat="1" ht="13.5" x14ac:dyDescent="0.25">
      <c r="K182" s="230"/>
      <c r="L182" s="230"/>
    </row>
    <row r="183" spans="11:12" s="115" customFormat="1" ht="13.5" x14ac:dyDescent="0.25">
      <c r="K183" s="230"/>
      <c r="L183" s="230"/>
    </row>
  </sheetData>
  <mergeCells count="9">
    <mergeCell ref="A1:R1"/>
    <mergeCell ref="A2:R2"/>
    <mergeCell ref="A3:R3"/>
    <mergeCell ref="B4:C4"/>
    <mergeCell ref="E4:F4"/>
    <mergeCell ref="H4:I4"/>
    <mergeCell ref="K4:L4"/>
    <mergeCell ref="N4:O4"/>
    <mergeCell ref="Q4:R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1"/>
  <sheetViews>
    <sheetView topLeftCell="A16" workbookViewId="0">
      <selection activeCell="L16" sqref="L16"/>
    </sheetView>
  </sheetViews>
  <sheetFormatPr defaultRowHeight="13.5" x14ac:dyDescent="0.25"/>
  <cols>
    <col min="1" max="1" width="2.21875" style="115" customWidth="1"/>
    <col min="2" max="2" width="23.77734375" style="115" bestFit="1" customWidth="1"/>
    <col min="3" max="5" width="10.77734375" style="115" bestFit="1" customWidth="1"/>
    <col min="6" max="6" width="9" style="115" bestFit="1" customWidth="1"/>
    <col min="7" max="7" width="10.109375" style="115" bestFit="1" customWidth="1"/>
    <col min="8" max="8" width="9" style="115" bestFit="1" customWidth="1"/>
    <col min="9" max="9" width="10.109375" style="115" bestFit="1" customWidth="1"/>
    <col min="10" max="10" width="11.88671875" style="115" bestFit="1" customWidth="1"/>
    <col min="11" max="11" width="8.6640625" style="115" bestFit="1" customWidth="1"/>
    <col min="12" max="12" width="10.109375" style="115" bestFit="1" customWidth="1"/>
    <col min="13" max="13" width="10.77734375" style="115" bestFit="1" customWidth="1"/>
    <col min="14" max="14" width="10.6640625" style="115" bestFit="1" customWidth="1"/>
    <col min="15" max="15" width="12.33203125" style="115" bestFit="1" customWidth="1"/>
    <col min="16" max="16384" width="8.88671875" style="115"/>
  </cols>
  <sheetData>
    <row r="2" spans="2:15" x14ac:dyDescent="0.25">
      <c r="B2" s="250" t="s">
        <v>129</v>
      </c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2"/>
    </row>
    <row r="3" spans="2:15" x14ac:dyDescent="0.25">
      <c r="B3" s="253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116"/>
    </row>
    <row r="4" spans="2:15" x14ac:dyDescent="0.25">
      <c r="B4" s="255" t="s">
        <v>263</v>
      </c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117" t="s">
        <v>130</v>
      </c>
    </row>
    <row r="5" spans="2:15" x14ac:dyDescent="0.25">
      <c r="B5" s="118"/>
      <c r="C5" s="119"/>
      <c r="D5" s="120"/>
      <c r="E5" s="121"/>
      <c r="F5" s="120"/>
      <c r="G5" s="120"/>
      <c r="H5" s="120"/>
      <c r="I5" s="120"/>
      <c r="J5" s="120"/>
      <c r="K5" s="120"/>
      <c r="L5" s="122"/>
      <c r="M5" s="122"/>
      <c r="N5" s="122"/>
      <c r="O5" s="116"/>
    </row>
    <row r="6" spans="2:15" x14ac:dyDescent="0.25">
      <c r="B6" s="123"/>
      <c r="C6" s="124" t="s">
        <v>131</v>
      </c>
      <c r="D6" s="125" t="s">
        <v>132</v>
      </c>
      <c r="E6" s="126" t="s">
        <v>132</v>
      </c>
      <c r="F6" s="125"/>
      <c r="G6" s="120"/>
      <c r="H6" s="120"/>
      <c r="I6" s="125"/>
      <c r="J6" s="127" t="s">
        <v>133</v>
      </c>
      <c r="K6" s="125" t="s">
        <v>134</v>
      </c>
      <c r="L6" s="122" t="s">
        <v>135</v>
      </c>
      <c r="M6" s="122"/>
      <c r="N6" s="122"/>
      <c r="O6" s="116"/>
    </row>
    <row r="7" spans="2:15" x14ac:dyDescent="0.25">
      <c r="B7" s="128"/>
      <c r="C7" s="124" t="s">
        <v>136</v>
      </c>
      <c r="D7" s="125" t="s">
        <v>136</v>
      </c>
      <c r="E7" s="126" t="s">
        <v>136</v>
      </c>
      <c r="F7" s="129" t="s">
        <v>137</v>
      </c>
      <c r="G7" s="129" t="s">
        <v>138</v>
      </c>
      <c r="H7" s="129" t="s">
        <v>139</v>
      </c>
      <c r="I7" s="125" t="s">
        <v>140</v>
      </c>
      <c r="J7" s="127" t="s">
        <v>141</v>
      </c>
      <c r="K7" s="125" t="s">
        <v>142</v>
      </c>
      <c r="L7" s="122" t="s">
        <v>143</v>
      </c>
      <c r="M7" s="130" t="s">
        <v>144</v>
      </c>
      <c r="N7" s="130" t="s">
        <v>145</v>
      </c>
      <c r="O7" s="116"/>
    </row>
    <row r="8" spans="2:15" x14ac:dyDescent="0.25">
      <c r="B8" s="131"/>
      <c r="C8" s="124" t="s">
        <v>146</v>
      </c>
      <c r="D8" s="125" t="s">
        <v>147</v>
      </c>
      <c r="E8" s="126" t="s">
        <v>146</v>
      </c>
      <c r="F8" s="129" t="s">
        <v>148</v>
      </c>
      <c r="G8" s="129" t="s">
        <v>149</v>
      </c>
      <c r="H8" s="129" t="s">
        <v>149</v>
      </c>
      <c r="I8" s="120"/>
      <c r="J8" s="127"/>
      <c r="K8" s="120"/>
      <c r="L8" s="122" t="s">
        <v>150</v>
      </c>
      <c r="M8" s="122"/>
      <c r="N8" s="122" t="s">
        <v>151</v>
      </c>
      <c r="O8" s="116"/>
    </row>
    <row r="9" spans="2:15" x14ac:dyDescent="0.25">
      <c r="B9" s="132"/>
      <c r="C9" s="133"/>
      <c r="D9" s="120"/>
      <c r="E9" s="121"/>
      <c r="F9" s="125"/>
      <c r="G9" s="125"/>
      <c r="H9" s="120"/>
      <c r="I9" s="120"/>
      <c r="J9" s="127"/>
      <c r="K9" s="120"/>
      <c r="L9" s="122"/>
      <c r="M9" s="122"/>
      <c r="N9" s="122"/>
      <c r="O9" s="116"/>
    </row>
    <row r="10" spans="2:15" x14ac:dyDescent="0.25">
      <c r="B10" s="134"/>
      <c r="C10" s="135" t="s">
        <v>152</v>
      </c>
      <c r="D10" s="136" t="s">
        <v>152</v>
      </c>
      <c r="E10" s="137" t="s">
        <v>152</v>
      </c>
      <c r="F10" s="136" t="s">
        <v>152</v>
      </c>
      <c r="G10" s="136" t="s">
        <v>152</v>
      </c>
      <c r="H10" s="136" t="s">
        <v>152</v>
      </c>
      <c r="I10" s="136" t="s">
        <v>152</v>
      </c>
      <c r="J10" s="136" t="s">
        <v>152</v>
      </c>
      <c r="K10" s="136" t="s">
        <v>152</v>
      </c>
      <c r="L10" s="138" t="s">
        <v>152</v>
      </c>
      <c r="M10" s="138" t="s">
        <v>152</v>
      </c>
      <c r="N10" s="138" t="s">
        <v>152</v>
      </c>
      <c r="O10" s="116"/>
    </row>
    <row r="11" spans="2:15" x14ac:dyDescent="0.25">
      <c r="B11" s="139"/>
      <c r="C11" s="140"/>
      <c r="D11" s="141"/>
      <c r="E11" s="140"/>
      <c r="F11" s="141"/>
      <c r="G11" s="141"/>
      <c r="H11" s="141"/>
      <c r="I11" s="141"/>
      <c r="J11" s="141"/>
      <c r="K11" s="141"/>
      <c r="L11" s="122"/>
      <c r="M11" s="122"/>
      <c r="N11" s="122"/>
      <c r="O11" s="116"/>
    </row>
    <row r="12" spans="2:15" x14ac:dyDescent="0.25">
      <c r="B12" s="123" t="s">
        <v>153</v>
      </c>
      <c r="C12" s="142">
        <v>6184113732.7399998</v>
      </c>
      <c r="D12" s="96">
        <v>7010536149.7906246</v>
      </c>
      <c r="E12" s="142">
        <v>7073338570.3599997</v>
      </c>
      <c r="F12" s="96">
        <v>39563010.109999999</v>
      </c>
      <c r="G12" s="96">
        <v>1473893023.0999999</v>
      </c>
      <c r="H12" s="96">
        <v>357132903.10000002</v>
      </c>
      <c r="I12" s="96">
        <v>763851942.28999996</v>
      </c>
      <c r="J12" s="96">
        <v>157831430.75</v>
      </c>
      <c r="K12" s="96">
        <v>0</v>
      </c>
      <c r="L12" s="96">
        <v>1420412871.3499999</v>
      </c>
      <c r="M12" s="96">
        <v>1723323464.1700001</v>
      </c>
      <c r="N12" s="96">
        <v>1137329925.49</v>
      </c>
      <c r="O12" s="116"/>
    </row>
    <row r="13" spans="2:15" x14ac:dyDescent="0.25">
      <c r="B13" s="123" t="s">
        <v>154</v>
      </c>
      <c r="C13" s="142">
        <v>263589131</v>
      </c>
      <c r="D13" s="96">
        <v>140518442.56724733</v>
      </c>
      <c r="E13" s="142">
        <v>141777247.62</v>
      </c>
      <c r="F13" s="96">
        <v>0</v>
      </c>
      <c r="G13" s="96">
        <v>13615389</v>
      </c>
      <c r="H13" s="96">
        <v>116191607.31999999</v>
      </c>
      <c r="I13" s="96"/>
      <c r="J13" s="96">
        <v>11970251.300000001</v>
      </c>
      <c r="K13" s="96">
        <v>0</v>
      </c>
      <c r="L13" s="96">
        <v>0</v>
      </c>
      <c r="M13" s="96">
        <v>0</v>
      </c>
      <c r="N13" s="96">
        <v>0</v>
      </c>
      <c r="O13" s="143">
        <v>0</v>
      </c>
    </row>
    <row r="14" spans="2:15" x14ac:dyDescent="0.25">
      <c r="B14" s="144"/>
      <c r="C14" s="142"/>
      <c r="D14" s="141"/>
      <c r="E14" s="142"/>
      <c r="F14" s="96"/>
      <c r="G14" s="96"/>
      <c r="H14" s="96"/>
      <c r="I14" s="96"/>
      <c r="J14" s="96"/>
      <c r="K14" s="96"/>
      <c r="L14" s="145">
        <v>0</v>
      </c>
      <c r="M14" s="145">
        <v>0</v>
      </c>
      <c r="N14" s="145">
        <v>0</v>
      </c>
      <c r="O14" s="116"/>
    </row>
    <row r="15" spans="2:15" x14ac:dyDescent="0.25">
      <c r="B15" s="146" t="s">
        <v>155</v>
      </c>
      <c r="C15" s="147">
        <v>5920524601.7399998</v>
      </c>
      <c r="D15" s="148">
        <v>6870017707.2233772</v>
      </c>
      <c r="E15" s="147">
        <v>6931561322.7399998</v>
      </c>
      <c r="F15" s="148">
        <v>39563010.109999999</v>
      </c>
      <c r="G15" s="148">
        <v>1460277634.0999999</v>
      </c>
      <c r="H15" s="148">
        <v>240941295.78000003</v>
      </c>
      <c r="I15" s="148">
        <v>763851942.28999996</v>
      </c>
      <c r="J15" s="148">
        <v>145861179.44999999</v>
      </c>
      <c r="K15" s="148">
        <v>0</v>
      </c>
      <c r="L15" s="148">
        <v>1420412871.3499999</v>
      </c>
      <c r="M15" s="148">
        <v>1723323464.1700001</v>
      </c>
      <c r="N15" s="148">
        <v>1137329925.49</v>
      </c>
      <c r="O15" s="116"/>
    </row>
    <row r="16" spans="2:15" x14ac:dyDescent="0.25">
      <c r="B16" s="123" t="s">
        <v>156</v>
      </c>
      <c r="C16" s="142">
        <v>3378997310.6627998</v>
      </c>
      <c r="D16" s="96">
        <v>3624277056.4015403</v>
      </c>
      <c r="E16" s="142">
        <v>3759031445.23</v>
      </c>
      <c r="F16" s="96">
        <v>6209321.1800000006</v>
      </c>
      <c r="G16" s="96">
        <v>549077431.64059794</v>
      </c>
      <c r="H16" s="96">
        <v>24526723.602419861</v>
      </c>
      <c r="I16" s="96">
        <v>500510329.69015467</v>
      </c>
      <c r="J16" s="96">
        <v>13811138.604584191</v>
      </c>
      <c r="K16" s="96">
        <v>1917553.9822429572</v>
      </c>
      <c r="L16" s="96">
        <v>637333251.81000006</v>
      </c>
      <c r="M16" s="96">
        <v>1372860404.9098539</v>
      </c>
      <c r="N16" s="96">
        <v>652785289.81014645</v>
      </c>
      <c r="O16" s="116"/>
    </row>
    <row r="17" spans="2:15" x14ac:dyDescent="0.25">
      <c r="B17" s="123" t="s">
        <v>157</v>
      </c>
      <c r="C17" s="142">
        <v>58825992</v>
      </c>
      <c r="D17" s="96">
        <v>0</v>
      </c>
      <c r="E17" s="142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/>
      <c r="L17" s="145"/>
      <c r="M17" s="145"/>
      <c r="N17" s="145"/>
      <c r="O17" s="116"/>
    </row>
    <row r="18" spans="2:15" x14ac:dyDescent="0.25">
      <c r="B18" s="123" t="s">
        <v>158</v>
      </c>
      <c r="C18" s="142">
        <v>7263637.049999998</v>
      </c>
      <c r="D18" s="96">
        <v>0</v>
      </c>
      <c r="E18" s="142">
        <v>21027751.32</v>
      </c>
      <c r="F18" s="96">
        <v>0</v>
      </c>
      <c r="G18" s="96">
        <v>2741897.3256497839</v>
      </c>
      <c r="H18" s="96">
        <v>122477.73078469047</v>
      </c>
      <c r="I18" s="96">
        <v>2499370.4992337138</v>
      </c>
      <c r="J18" s="96">
        <v>68967.912031895496</v>
      </c>
      <c r="K18" s="96">
        <v>9575.5822999160173</v>
      </c>
      <c r="L18" s="96">
        <v>3003323.97</v>
      </c>
      <c r="M18" s="96">
        <v>8527414.0123292655</v>
      </c>
      <c r="N18" s="96">
        <v>4054724.2876707348</v>
      </c>
      <c r="O18" s="116"/>
    </row>
    <row r="19" spans="2:15" x14ac:dyDescent="0.25">
      <c r="B19" s="149" t="s">
        <v>159</v>
      </c>
      <c r="C19" s="142">
        <v>-1047643690.1299999</v>
      </c>
      <c r="D19" s="96">
        <v>548864291.91754436</v>
      </c>
      <c r="E19" s="142">
        <v>-439353528.81</v>
      </c>
      <c r="F19" s="96">
        <v>0</v>
      </c>
      <c r="G19" s="96">
        <v>-68568950.647381365</v>
      </c>
      <c r="H19" s="96">
        <v>-3062904.4344643629</v>
      </c>
      <c r="I19" s="96">
        <v>-62503876.716413297</v>
      </c>
      <c r="J19" s="96">
        <v>-1724739.0382304974</v>
      </c>
      <c r="K19" s="96">
        <v>-239464.70351047136</v>
      </c>
      <c r="L19" s="96">
        <v>-60630854.670000002</v>
      </c>
      <c r="M19" s="96">
        <v>-164435050.03019565</v>
      </c>
      <c r="N19" s="96">
        <v>-78187688.569804385</v>
      </c>
      <c r="O19" s="116"/>
    </row>
    <row r="20" spans="2:15" x14ac:dyDescent="0.25">
      <c r="B20" s="123"/>
      <c r="C20" s="142"/>
      <c r="D20" s="141"/>
      <c r="E20" s="142"/>
      <c r="F20" s="96"/>
      <c r="G20" s="96"/>
      <c r="H20" s="96"/>
      <c r="I20" s="96"/>
      <c r="J20" s="96"/>
      <c r="K20" s="96"/>
      <c r="L20" s="145">
        <v>0</v>
      </c>
      <c r="M20" s="145">
        <v>0</v>
      </c>
      <c r="N20" s="145">
        <v>0</v>
      </c>
      <c r="O20" s="116"/>
    </row>
    <row r="21" spans="2:15" x14ac:dyDescent="0.25">
      <c r="B21" s="150"/>
      <c r="C21" s="147">
        <v>8317967851.3227987</v>
      </c>
      <c r="D21" s="148">
        <v>11043159055.542461</v>
      </c>
      <c r="E21" s="147">
        <v>10272266990.48</v>
      </c>
      <c r="F21" s="148">
        <v>45772331.289999999</v>
      </c>
      <c r="G21" s="148">
        <v>1943528012.4188662</v>
      </c>
      <c r="H21" s="148">
        <v>262527592.6787402</v>
      </c>
      <c r="I21" s="148">
        <v>1204357765.762975</v>
      </c>
      <c r="J21" s="148">
        <v>158016546.92838556</v>
      </c>
      <c r="K21" s="148">
        <v>1687664.8610324019</v>
      </c>
      <c r="L21" s="148">
        <v>2000118592.4599998</v>
      </c>
      <c r="M21" s="148">
        <v>2940276233.0619874</v>
      </c>
      <c r="N21" s="148">
        <v>1715982251.018013</v>
      </c>
      <c r="O21" s="116"/>
    </row>
    <row r="22" spans="2:15" x14ac:dyDescent="0.25">
      <c r="B22" s="151" t="s">
        <v>264</v>
      </c>
      <c r="C22" s="142">
        <v>129775471.86000001</v>
      </c>
      <c r="D22" s="96">
        <v>93226677.799999997</v>
      </c>
      <c r="E22" s="142">
        <v>93226677.799999997</v>
      </c>
      <c r="F22" s="96">
        <v>0</v>
      </c>
      <c r="G22" s="96">
        <v>15866826.5</v>
      </c>
      <c r="H22" s="96">
        <v>73338244.200000003</v>
      </c>
      <c r="I22" s="96">
        <v>244300</v>
      </c>
      <c r="J22" s="96">
        <v>3777307.0999999996</v>
      </c>
      <c r="K22" s="96">
        <v>0</v>
      </c>
      <c r="L22" s="96">
        <v>0</v>
      </c>
      <c r="M22" s="96">
        <v>0</v>
      </c>
      <c r="N22" s="96">
        <v>0</v>
      </c>
      <c r="O22" s="116"/>
    </row>
    <row r="23" spans="2:15" x14ac:dyDescent="0.25">
      <c r="B23" s="149" t="s">
        <v>160</v>
      </c>
      <c r="C23" s="142">
        <v>190241204</v>
      </c>
      <c r="D23" s="96">
        <v>199853831.52575716</v>
      </c>
      <c r="E23" s="142">
        <v>249358888.27000001</v>
      </c>
      <c r="F23" s="96">
        <v>0</v>
      </c>
      <c r="G23" s="96">
        <v>1796319.93</v>
      </c>
      <c r="H23" s="96">
        <v>190200473</v>
      </c>
      <c r="I23" s="96">
        <v>0</v>
      </c>
      <c r="J23" s="96">
        <v>57362095.340000004</v>
      </c>
      <c r="K23" s="96">
        <v>0</v>
      </c>
      <c r="L23" s="96">
        <v>0</v>
      </c>
      <c r="M23" s="96">
        <v>0</v>
      </c>
      <c r="N23" s="96">
        <v>0</v>
      </c>
      <c r="O23" s="116"/>
    </row>
    <row r="24" spans="2:15" x14ac:dyDescent="0.25">
      <c r="B24" s="149" t="s">
        <v>161</v>
      </c>
      <c r="C24" s="142">
        <v>-66515237</v>
      </c>
      <c r="D24" s="96"/>
      <c r="E24" s="142">
        <v>-48813733.879999995</v>
      </c>
      <c r="F24" s="96">
        <v>0</v>
      </c>
      <c r="G24" s="96">
        <v>-234192.76</v>
      </c>
      <c r="H24" s="96">
        <v>-48119173.119999997</v>
      </c>
      <c r="I24" s="96">
        <v>-460368</v>
      </c>
      <c r="J24" s="96">
        <v>0</v>
      </c>
      <c r="K24" s="96">
        <v>0</v>
      </c>
      <c r="L24" s="96">
        <v>0</v>
      </c>
      <c r="M24" s="96">
        <v>0</v>
      </c>
      <c r="N24" s="96">
        <v>0</v>
      </c>
      <c r="O24" s="116"/>
    </row>
    <row r="25" spans="2:15" x14ac:dyDescent="0.25">
      <c r="B25" s="152" t="s">
        <v>162</v>
      </c>
      <c r="C25" s="142">
        <v>-112967529.91</v>
      </c>
      <c r="D25" s="96">
        <v>-108047013.94</v>
      </c>
      <c r="E25" s="142">
        <v>-108047013.94</v>
      </c>
      <c r="F25" s="96">
        <v>0</v>
      </c>
      <c r="G25" s="96">
        <v>-14992203</v>
      </c>
      <c r="H25" s="96">
        <v>-72488738.400000006</v>
      </c>
      <c r="I25" s="96">
        <v>-187102</v>
      </c>
      <c r="J25" s="96">
        <v>-20378970.539999999</v>
      </c>
      <c r="K25" s="96">
        <v>0</v>
      </c>
      <c r="L25" s="96">
        <v>0</v>
      </c>
      <c r="M25" s="96">
        <v>0</v>
      </c>
      <c r="N25" s="96">
        <v>0</v>
      </c>
      <c r="O25" s="116"/>
    </row>
    <row r="26" spans="2:15" x14ac:dyDescent="0.25">
      <c r="B26" s="153" t="s">
        <v>163</v>
      </c>
      <c r="C26" s="147">
        <v>140533908.95000002</v>
      </c>
      <c r="D26" s="148">
        <v>185033495.38575715</v>
      </c>
      <c r="E26" s="147">
        <v>185724818.25</v>
      </c>
      <c r="F26" s="148">
        <v>0</v>
      </c>
      <c r="G26" s="148">
        <v>2436750.6699999981</v>
      </c>
      <c r="H26" s="148">
        <v>142930805.67999998</v>
      </c>
      <c r="I26" s="148">
        <v>-403170</v>
      </c>
      <c r="J26" s="148">
        <v>40760431.900000006</v>
      </c>
      <c r="K26" s="148">
        <v>0</v>
      </c>
      <c r="L26" s="148">
        <v>0</v>
      </c>
      <c r="M26" s="148">
        <v>0</v>
      </c>
      <c r="N26" s="148">
        <v>0</v>
      </c>
      <c r="O26" s="116"/>
    </row>
    <row r="27" spans="2:15" x14ac:dyDescent="0.25">
      <c r="B27" s="149" t="s">
        <v>164</v>
      </c>
      <c r="C27" s="154">
        <v>388895868</v>
      </c>
      <c r="D27" s="96">
        <v>423318838.27500004</v>
      </c>
      <c r="E27" s="142">
        <v>489465279.63999999</v>
      </c>
      <c r="F27" s="96">
        <v>0</v>
      </c>
      <c r="G27" s="96">
        <v>0</v>
      </c>
      <c r="H27" s="96">
        <v>0</v>
      </c>
      <c r="I27" s="96">
        <v>489465279.63999999</v>
      </c>
      <c r="J27" s="96">
        <v>0</v>
      </c>
      <c r="K27" s="96">
        <v>0</v>
      </c>
      <c r="L27" s="96">
        <v>0</v>
      </c>
      <c r="M27" s="96">
        <v>0</v>
      </c>
      <c r="N27" s="96">
        <v>0</v>
      </c>
      <c r="O27" s="116"/>
    </row>
    <row r="28" spans="2:15" x14ac:dyDescent="0.25">
      <c r="B28" s="155" t="s">
        <v>165</v>
      </c>
      <c r="C28" s="142">
        <v>318234684</v>
      </c>
      <c r="D28" s="96">
        <v>448871502.18614829</v>
      </c>
      <c r="E28" s="142">
        <v>337604421.50999999</v>
      </c>
      <c r="F28" s="96">
        <v>9017764.1099999994</v>
      </c>
      <c r="G28" s="96">
        <v>328586657.39999998</v>
      </c>
      <c r="H28" s="96">
        <v>0</v>
      </c>
      <c r="I28" s="96">
        <v>0</v>
      </c>
      <c r="J28" s="96">
        <v>0</v>
      </c>
      <c r="K28" s="96">
        <v>0</v>
      </c>
      <c r="L28" s="96">
        <v>0</v>
      </c>
      <c r="M28" s="96">
        <v>0</v>
      </c>
      <c r="N28" s="96">
        <v>0</v>
      </c>
      <c r="O28" s="116"/>
    </row>
    <row r="29" spans="2:15" x14ac:dyDescent="0.25">
      <c r="B29" s="149" t="s">
        <v>166</v>
      </c>
      <c r="C29" s="142">
        <v>2462536698.3000002</v>
      </c>
      <c r="D29" s="96">
        <v>2767439280.0149999</v>
      </c>
      <c r="E29" s="142">
        <v>3332113307.5500002</v>
      </c>
      <c r="F29" s="96">
        <v>50816017.889999993</v>
      </c>
      <c r="G29" s="96">
        <v>77692034.540000021</v>
      </c>
      <c r="H29" s="96">
        <v>0</v>
      </c>
      <c r="I29" s="96">
        <v>0</v>
      </c>
      <c r="J29" s="96">
        <v>14839362.52</v>
      </c>
      <c r="K29" s="96">
        <v>0</v>
      </c>
      <c r="L29" s="96">
        <v>730677871.38999999</v>
      </c>
      <c r="M29" s="96">
        <v>1639378865.73</v>
      </c>
      <c r="N29" s="96">
        <v>818709155.48000002</v>
      </c>
      <c r="O29" s="156">
        <v>99925015.25</v>
      </c>
    </row>
    <row r="30" spans="2:15" x14ac:dyDescent="0.25">
      <c r="B30" s="153" t="s">
        <v>167</v>
      </c>
      <c r="C30" s="157">
        <v>3310201159.25</v>
      </c>
      <c r="D30" s="148">
        <v>3824663115.8619051</v>
      </c>
      <c r="E30" s="157">
        <v>4344907826.9499998</v>
      </c>
      <c r="F30" s="148">
        <v>59833781.999999993</v>
      </c>
      <c r="G30" s="148">
        <v>408715442.61000001</v>
      </c>
      <c r="H30" s="148">
        <v>142930805.67999998</v>
      </c>
      <c r="I30" s="148">
        <v>489062109.63999999</v>
      </c>
      <c r="J30" s="148">
        <v>55599794.420000002</v>
      </c>
      <c r="K30" s="148">
        <v>0</v>
      </c>
      <c r="L30" s="148">
        <v>730677871.38999999</v>
      </c>
      <c r="M30" s="148">
        <v>1639378865.73</v>
      </c>
      <c r="N30" s="148">
        <v>818709155.48000002</v>
      </c>
      <c r="O30" s="116"/>
    </row>
    <row r="31" spans="2:15" x14ac:dyDescent="0.25">
      <c r="B31" s="149"/>
      <c r="C31" s="154"/>
      <c r="D31" s="96"/>
      <c r="E31" s="154"/>
      <c r="F31" s="96"/>
      <c r="G31" s="96"/>
      <c r="H31" s="96"/>
      <c r="I31" s="96"/>
      <c r="J31" s="96"/>
      <c r="K31" s="96"/>
      <c r="L31" s="145"/>
      <c r="M31" s="145"/>
      <c r="N31" s="145"/>
      <c r="O31" s="116"/>
    </row>
    <row r="32" spans="2:15" x14ac:dyDescent="0.25">
      <c r="B32" s="149" t="s">
        <v>168</v>
      </c>
      <c r="C32" s="154">
        <v>13221515.810000001</v>
      </c>
      <c r="D32" s="158">
        <v>16704042.768431243</v>
      </c>
      <c r="E32" s="142">
        <v>14738930.230999999</v>
      </c>
      <c r="F32" s="96">
        <v>0</v>
      </c>
      <c r="G32" s="159">
        <v>14738930.230999999</v>
      </c>
      <c r="H32" s="96">
        <v>0</v>
      </c>
      <c r="I32" s="96">
        <v>0</v>
      </c>
      <c r="J32" s="96">
        <v>0</v>
      </c>
      <c r="K32" s="96">
        <v>0</v>
      </c>
      <c r="L32" s="145"/>
      <c r="M32" s="145"/>
      <c r="N32" s="145"/>
      <c r="O32" s="116"/>
    </row>
    <row r="33" spans="2:15" x14ac:dyDescent="0.25">
      <c r="B33" s="149" t="s">
        <v>169</v>
      </c>
      <c r="C33" s="154">
        <v>29615692.5</v>
      </c>
      <c r="D33" s="158">
        <v>77707941.432000011</v>
      </c>
      <c r="E33" s="142">
        <v>80107961.3521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96">
        <v>0</v>
      </c>
      <c r="L33" s="145">
        <v>28408257.426999997</v>
      </c>
      <c r="M33" s="145">
        <v>51699703.925099999</v>
      </c>
      <c r="N33" s="145"/>
      <c r="O33" s="143">
        <v>0</v>
      </c>
    </row>
    <row r="34" spans="2:15" x14ac:dyDescent="0.25">
      <c r="B34" s="149" t="s">
        <v>170</v>
      </c>
      <c r="C34" s="154">
        <v>3305378.9499999993</v>
      </c>
      <c r="D34" s="158">
        <v>4176010.6921078106</v>
      </c>
      <c r="E34" s="142">
        <v>3684732.5577499997</v>
      </c>
      <c r="F34" s="96">
        <v>0</v>
      </c>
      <c r="G34" s="96">
        <v>3684732.5577499997</v>
      </c>
      <c r="H34" s="96">
        <v>0</v>
      </c>
      <c r="I34" s="96">
        <v>0</v>
      </c>
      <c r="J34" s="96">
        <v>0</v>
      </c>
      <c r="K34" s="96">
        <v>0</v>
      </c>
      <c r="L34" s="145"/>
      <c r="M34" s="145"/>
      <c r="N34" s="145"/>
      <c r="O34" s="116"/>
    </row>
    <row r="35" spans="2:15" x14ac:dyDescent="0.25">
      <c r="B35" s="149" t="s">
        <v>171</v>
      </c>
      <c r="C35" s="154">
        <v>364197351.68000001</v>
      </c>
      <c r="D35" s="96">
        <v>429341572.84885931</v>
      </c>
      <c r="E35" s="142">
        <v>381673960.74999994</v>
      </c>
      <c r="F35" s="96">
        <v>0</v>
      </c>
      <c r="G35" s="96">
        <v>295632126.54000002</v>
      </c>
      <c r="H35" s="96">
        <v>14362823.57</v>
      </c>
      <c r="I35" s="96">
        <v>15495293.51</v>
      </c>
      <c r="J35" s="96">
        <v>14243707.77</v>
      </c>
      <c r="K35" s="96">
        <v>0</v>
      </c>
      <c r="L35" s="96">
        <v>9178916.4000000004</v>
      </c>
      <c r="M35" s="96">
        <v>19736036.673961699</v>
      </c>
      <c r="N35" s="96">
        <v>13025056.286038304</v>
      </c>
      <c r="O35" s="116"/>
    </row>
    <row r="36" spans="2:15" x14ac:dyDescent="0.25">
      <c r="B36" s="149" t="s">
        <v>172</v>
      </c>
      <c r="C36" s="154">
        <v>11703110</v>
      </c>
      <c r="D36" s="96">
        <v>14572631.001034584</v>
      </c>
      <c r="E36" s="142">
        <v>10160132</v>
      </c>
      <c r="F36" s="96">
        <v>0</v>
      </c>
      <c r="G36" s="96">
        <v>8675465</v>
      </c>
      <c r="H36" s="96">
        <v>792369</v>
      </c>
      <c r="I36" s="96">
        <v>0</v>
      </c>
      <c r="J36" s="96">
        <v>692298</v>
      </c>
      <c r="K36" s="96">
        <v>0</v>
      </c>
      <c r="L36" s="96">
        <v>0</v>
      </c>
      <c r="M36" s="96">
        <v>0</v>
      </c>
      <c r="N36" s="96">
        <v>0</v>
      </c>
      <c r="O36" s="116"/>
    </row>
    <row r="37" spans="2:15" x14ac:dyDescent="0.25">
      <c r="B37" s="149" t="s">
        <v>173</v>
      </c>
      <c r="C37" s="154">
        <v>0</v>
      </c>
      <c r="D37" s="96">
        <v>20717986.226087205</v>
      </c>
      <c r="E37" s="142">
        <v>21401250.48</v>
      </c>
      <c r="F37" s="96"/>
      <c r="G37" s="96"/>
      <c r="H37" s="96"/>
      <c r="I37" s="96"/>
      <c r="J37" s="96"/>
      <c r="K37" s="96"/>
      <c r="L37" s="96">
        <v>9030317.1099999994</v>
      </c>
      <c r="M37" s="96">
        <v>7452535.0842097355</v>
      </c>
      <c r="N37" s="96">
        <v>4918398.2857902646</v>
      </c>
      <c r="O37" s="116"/>
    </row>
    <row r="38" spans="2:15" x14ac:dyDescent="0.25">
      <c r="B38" s="149" t="s">
        <v>174</v>
      </c>
      <c r="C38" s="154">
        <v>574914657.35429442</v>
      </c>
      <c r="D38" s="96">
        <v>697514677.60662985</v>
      </c>
      <c r="E38" s="142">
        <v>667580915.89024866</v>
      </c>
      <c r="F38" s="96">
        <v>0</v>
      </c>
      <c r="G38" s="96">
        <v>331658292.16243756</v>
      </c>
      <c r="H38" s="96">
        <v>90491621.702361673</v>
      </c>
      <c r="I38" s="96">
        <v>13966494.331962554</v>
      </c>
      <c r="J38" s="96">
        <v>88218960.981476218</v>
      </c>
      <c r="K38" s="96">
        <v>0</v>
      </c>
      <c r="L38" s="96">
        <v>22681681.219980009</v>
      </c>
      <c r="M38" s="96">
        <v>81710910.756594151</v>
      </c>
      <c r="N38" s="96">
        <v>38852954.735436432</v>
      </c>
      <c r="O38" s="116"/>
    </row>
    <row r="39" spans="2:15" x14ac:dyDescent="0.25">
      <c r="B39" s="149" t="s">
        <v>175</v>
      </c>
      <c r="C39" s="154">
        <v>256959998.80000001</v>
      </c>
      <c r="D39" s="96">
        <v>290400000</v>
      </c>
      <c r="E39" s="142">
        <v>290400000</v>
      </c>
      <c r="F39" s="96">
        <v>6209321.1800000006</v>
      </c>
      <c r="G39" s="96">
        <v>49200340.021664254</v>
      </c>
      <c r="H39" s="96">
        <v>9025737.5845895018</v>
      </c>
      <c r="I39" s="96">
        <v>104263020.38702588</v>
      </c>
      <c r="J39" s="96">
        <v>5399000.1892667785</v>
      </c>
      <c r="K39" s="96">
        <v>142580.63745358531</v>
      </c>
      <c r="L39" s="96">
        <v>0</v>
      </c>
      <c r="M39" s="96">
        <v>71214171.99172011</v>
      </c>
      <c r="N39" s="96">
        <v>44945828.008279882</v>
      </c>
      <c r="O39" s="156">
        <v>9034666.7600000016</v>
      </c>
    </row>
    <row r="40" spans="2:15" x14ac:dyDescent="0.25">
      <c r="B40" s="160"/>
      <c r="C40" s="161"/>
      <c r="D40" s="141"/>
      <c r="E40" s="161"/>
      <c r="F40" s="96"/>
      <c r="G40" s="96"/>
      <c r="H40" s="96"/>
      <c r="I40" s="96"/>
      <c r="J40" s="96"/>
      <c r="K40" s="96"/>
      <c r="L40" s="145"/>
      <c r="M40" s="145"/>
      <c r="N40" s="145"/>
      <c r="O40" s="116"/>
    </row>
    <row r="41" spans="2:15" x14ac:dyDescent="0.25">
      <c r="B41" s="146" t="s">
        <v>176</v>
      </c>
      <c r="C41" s="162">
        <v>1253917705.0942943</v>
      </c>
      <c r="D41" s="163">
        <v>1551134862.57515</v>
      </c>
      <c r="E41" s="162">
        <v>1469747883.2610986</v>
      </c>
      <c r="F41" s="148">
        <v>6209321.1800000006</v>
      </c>
      <c r="G41" s="148">
        <v>703589886.51285183</v>
      </c>
      <c r="H41" s="148">
        <v>114672551.85695116</v>
      </c>
      <c r="I41" s="148">
        <v>133724808.22898844</v>
      </c>
      <c r="J41" s="148">
        <v>108553966.940743</v>
      </c>
      <c r="K41" s="148">
        <v>142580.63745358531</v>
      </c>
      <c r="L41" s="148">
        <v>69299172.156980008</v>
      </c>
      <c r="M41" s="148">
        <v>231813358.4315857</v>
      </c>
      <c r="N41" s="148">
        <v>101742237.31554487</v>
      </c>
      <c r="O41" s="116"/>
    </row>
    <row r="42" spans="2:15" x14ac:dyDescent="0.25">
      <c r="B42" s="160"/>
      <c r="C42" s="161"/>
      <c r="D42" s="141"/>
      <c r="E42" s="161"/>
      <c r="F42" s="96">
        <v>0</v>
      </c>
      <c r="G42" s="96">
        <v>0</v>
      </c>
      <c r="H42" s="96">
        <v>0</v>
      </c>
      <c r="I42" s="96">
        <v>0</v>
      </c>
      <c r="J42" s="96">
        <v>0</v>
      </c>
      <c r="K42" s="96">
        <v>0</v>
      </c>
      <c r="L42" s="145"/>
      <c r="M42" s="145"/>
      <c r="N42" s="145"/>
      <c r="O42" s="116"/>
    </row>
    <row r="43" spans="2:15" x14ac:dyDescent="0.25">
      <c r="B43" s="123" t="s">
        <v>177</v>
      </c>
      <c r="C43" s="164">
        <v>3753848986.9785042</v>
      </c>
      <c r="D43" s="96">
        <v>5667361077.1054058</v>
      </c>
      <c r="E43" s="164">
        <v>4457611280.2689009</v>
      </c>
      <c r="F43" s="96">
        <v>-20270771.889999993</v>
      </c>
      <c r="G43" s="96">
        <v>831222683.29601419</v>
      </c>
      <c r="H43" s="96">
        <v>4924235.1417890638</v>
      </c>
      <c r="I43" s="96">
        <v>581570847.89398658</v>
      </c>
      <c r="J43" s="96">
        <v>-6137214.4323574454</v>
      </c>
      <c r="K43" s="96">
        <v>1545084.2235788165</v>
      </c>
      <c r="L43" s="96">
        <v>1200141548.9130197</v>
      </c>
      <c r="M43" s="96">
        <v>1069084008.9004017</v>
      </c>
      <c r="N43" s="96">
        <v>795530858.22246814</v>
      </c>
      <c r="O43" s="116"/>
    </row>
    <row r="44" spans="2:15" x14ac:dyDescent="0.25">
      <c r="B44" s="123"/>
      <c r="C44" s="164">
        <v>0</v>
      </c>
      <c r="D44" s="96"/>
      <c r="E44" s="142">
        <v>0</v>
      </c>
      <c r="F44" s="96"/>
      <c r="G44" s="96"/>
      <c r="H44" s="96"/>
      <c r="I44" s="96"/>
      <c r="J44" s="96"/>
      <c r="K44" s="96"/>
      <c r="L44" s="145"/>
      <c r="M44" s="145"/>
      <c r="N44" s="145"/>
      <c r="O44" s="116"/>
    </row>
    <row r="45" spans="2:15" x14ac:dyDescent="0.25">
      <c r="B45" s="123" t="s">
        <v>178</v>
      </c>
      <c r="C45" s="154">
        <v>36737462055.459999</v>
      </c>
      <c r="D45" s="96">
        <v>41705635329.912727</v>
      </c>
      <c r="E45" s="142">
        <v>41705635329.912727</v>
      </c>
      <c r="F45" s="96">
        <v>427732426</v>
      </c>
      <c r="G45" s="96">
        <v>5560807320.0209246</v>
      </c>
      <c r="H45" s="96">
        <v>240150085.52516195</v>
      </c>
      <c r="I45" s="96">
        <v>4900678966.890873</v>
      </c>
      <c r="J45" s="96">
        <v>139872950.97907484</v>
      </c>
      <c r="K45" s="96">
        <v>18775469.583966147</v>
      </c>
      <c r="L45" s="96">
        <v>7157195175.04</v>
      </c>
      <c r="M45" s="96">
        <v>15441385239.312714</v>
      </c>
      <c r="N45" s="96">
        <v>7819037696.5600166</v>
      </c>
      <c r="O45" s="156">
        <v>23299926067.706604</v>
      </c>
    </row>
    <row r="46" spans="2:15" x14ac:dyDescent="0.25">
      <c r="B46" s="123" t="s">
        <v>179</v>
      </c>
      <c r="C46" s="164">
        <v>0</v>
      </c>
      <c r="D46" s="96"/>
      <c r="E46" s="142">
        <v>0</v>
      </c>
      <c r="F46" s="96">
        <v>0</v>
      </c>
      <c r="G46" s="96">
        <v>0</v>
      </c>
      <c r="H46" s="96">
        <v>0</v>
      </c>
      <c r="I46" s="96">
        <v>0</v>
      </c>
      <c r="J46" s="96">
        <v>0</v>
      </c>
      <c r="K46" s="96">
        <v>0</v>
      </c>
      <c r="L46" s="145"/>
      <c r="M46" s="145"/>
      <c r="N46" s="96">
        <v>0</v>
      </c>
      <c r="O46" s="116"/>
    </row>
    <row r="47" spans="2:15" x14ac:dyDescent="0.25">
      <c r="B47" s="149" t="s">
        <v>180</v>
      </c>
      <c r="C47" s="164">
        <v>4379929945.3661547</v>
      </c>
      <c r="D47" s="141">
        <v>4379929945.3661547</v>
      </c>
      <c r="E47" s="142">
        <v>4526807196.6661253</v>
      </c>
      <c r="F47" s="96">
        <v>224089101.62013629</v>
      </c>
      <c r="G47" s="96">
        <v>425254576.73243755</v>
      </c>
      <c r="H47" s="96">
        <v>42639326.341831885</v>
      </c>
      <c r="I47" s="96">
        <v>870129399.74121857</v>
      </c>
      <c r="J47" s="96">
        <v>10696578.597637804</v>
      </c>
      <c r="K47" s="96">
        <v>3333637.6835393226</v>
      </c>
      <c r="L47" s="96">
        <v>438356313.91377842</v>
      </c>
      <c r="M47" s="96">
        <v>1667790814.5071101</v>
      </c>
      <c r="N47" s="96">
        <v>844517447.52843523</v>
      </c>
      <c r="O47" s="116"/>
    </row>
    <row r="48" spans="2:15" x14ac:dyDescent="0.25">
      <c r="B48" s="165" t="s">
        <v>181</v>
      </c>
      <c r="C48" s="166"/>
      <c r="D48" s="105"/>
      <c r="E48" s="166"/>
      <c r="F48" s="105"/>
      <c r="G48" s="105"/>
      <c r="H48" s="105"/>
      <c r="I48" s="105"/>
      <c r="J48" s="105"/>
      <c r="K48" s="105"/>
      <c r="L48" s="167"/>
      <c r="M48" s="167"/>
      <c r="N48" s="167"/>
      <c r="O48" s="116"/>
    </row>
    <row r="49" spans="2:15" ht="14.25" thickBot="1" x14ac:dyDescent="0.3">
      <c r="B49" s="168" t="s">
        <v>182</v>
      </c>
      <c r="C49" s="169">
        <v>44871240987.804665</v>
      </c>
      <c r="D49" s="170">
        <v>51752926352.384293</v>
      </c>
      <c r="E49" s="169">
        <v>50690053806.847748</v>
      </c>
      <c r="F49" s="170">
        <v>631550755.73013628</v>
      </c>
      <c r="G49" s="170">
        <v>6817284580.0493755</v>
      </c>
      <c r="H49" s="170">
        <v>287713647.00878286</v>
      </c>
      <c r="I49" s="170">
        <v>6352379214.5260782</v>
      </c>
      <c r="J49" s="170">
        <v>144432315.14435521</v>
      </c>
      <c r="K49" s="170">
        <v>23654191.491084289</v>
      </c>
      <c r="L49" s="170">
        <v>8795693037.8667984</v>
      </c>
      <c r="M49" s="170">
        <v>18178260062.720226</v>
      </c>
      <c r="N49" s="170">
        <v>9459086002.3109188</v>
      </c>
      <c r="O49" s="171">
        <v>23408885749.716602</v>
      </c>
    </row>
    <row r="50" spans="2:15" ht="14.25" thickTop="1" x14ac:dyDescent="0.25">
      <c r="B50" s="172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4"/>
    </row>
    <row r="51" spans="2:15" x14ac:dyDescent="0.25">
      <c r="C51" s="175">
        <f>C38/C12</f>
        <v>9.2966378401253394E-2</v>
      </c>
      <c r="D51" s="175">
        <f>D38/D12</f>
        <v>9.949519732916029E-2</v>
      </c>
      <c r="E51" s="175">
        <f>E38/E12</f>
        <v>9.4379889955737262E-2</v>
      </c>
    </row>
  </sheetData>
  <mergeCells count="3">
    <mergeCell ref="B2:O2"/>
    <mergeCell ref="B3:N3"/>
    <mergeCell ref="B4:N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>
      <selection activeCell="K26" sqref="K26"/>
    </sheetView>
  </sheetViews>
  <sheetFormatPr defaultRowHeight="12.75" x14ac:dyDescent="0.2"/>
  <cols>
    <col min="1" max="1" width="17.88671875" style="41" bestFit="1" customWidth="1"/>
    <col min="2" max="2" width="9.44140625" style="41" bestFit="1" customWidth="1"/>
    <col min="3" max="3" width="24.77734375" style="41" bestFit="1" customWidth="1"/>
    <col min="4" max="4" width="10.6640625" style="41" bestFit="1" customWidth="1"/>
    <col min="5" max="5" width="6.5546875" style="41" bestFit="1" customWidth="1"/>
    <col min="6" max="6" width="8.88671875" style="41" bestFit="1" customWidth="1"/>
    <col min="7" max="7" width="11.6640625" style="41" bestFit="1" customWidth="1"/>
    <col min="8" max="8" width="5.6640625" style="41" customWidth="1"/>
    <col min="9" max="9" width="7.5546875" style="41" bestFit="1" customWidth="1"/>
    <col min="10" max="10" width="11" style="40" bestFit="1" customWidth="1"/>
    <col min="11" max="11" width="26.77734375" style="41" bestFit="1" customWidth="1"/>
    <col min="12" max="16384" width="8.88671875" style="41"/>
  </cols>
  <sheetData>
    <row r="2" spans="1:11" x14ac:dyDescent="0.2">
      <c r="A2" s="37" t="s">
        <v>83</v>
      </c>
      <c r="B2" s="38" t="s">
        <v>84</v>
      </c>
      <c r="C2" s="37" t="s">
        <v>85</v>
      </c>
      <c r="D2" s="38" t="s">
        <v>86</v>
      </c>
      <c r="E2" s="37" t="s">
        <v>87</v>
      </c>
      <c r="F2" s="38" t="s">
        <v>88</v>
      </c>
      <c r="G2" s="38" t="s">
        <v>89</v>
      </c>
      <c r="H2" s="37" t="s">
        <v>90</v>
      </c>
      <c r="I2" s="39" t="s">
        <v>91</v>
      </c>
      <c r="J2" s="40" t="s">
        <v>92</v>
      </c>
    </row>
    <row r="3" spans="1:11" x14ac:dyDescent="0.2">
      <c r="A3" s="37"/>
      <c r="B3" s="38"/>
      <c r="C3" s="37"/>
      <c r="D3" s="38"/>
      <c r="E3" s="37"/>
      <c r="F3" s="38"/>
      <c r="G3" s="38"/>
      <c r="H3" s="37"/>
      <c r="I3" s="39"/>
      <c r="J3" s="42"/>
    </row>
    <row r="4" spans="1:11" x14ac:dyDescent="0.2">
      <c r="A4" s="37" t="s">
        <v>95</v>
      </c>
      <c r="B4" s="38">
        <v>38985</v>
      </c>
      <c r="C4" s="37" t="s">
        <v>93</v>
      </c>
      <c r="D4" s="38">
        <v>38985</v>
      </c>
      <c r="E4" s="37">
        <v>11</v>
      </c>
      <c r="F4" s="38">
        <v>42989</v>
      </c>
      <c r="G4" s="38">
        <v>40623</v>
      </c>
      <c r="H4" s="37" t="s">
        <v>94</v>
      </c>
      <c r="I4" s="39">
        <v>13.75</v>
      </c>
      <c r="J4" s="42">
        <v>100000000</v>
      </c>
      <c r="K4" s="41" t="s">
        <v>127</v>
      </c>
    </row>
    <row r="5" spans="1:11" x14ac:dyDescent="0.2">
      <c r="A5" s="37" t="s">
        <v>96</v>
      </c>
      <c r="B5" s="38">
        <v>39412</v>
      </c>
      <c r="C5" s="37" t="s">
        <v>93</v>
      </c>
      <c r="D5" s="38">
        <v>39412</v>
      </c>
      <c r="E5" s="37">
        <v>15</v>
      </c>
      <c r="F5" s="38">
        <v>44872</v>
      </c>
      <c r="G5" s="38">
        <v>40686</v>
      </c>
      <c r="H5" s="37" t="s">
        <v>94</v>
      </c>
      <c r="I5" s="39">
        <v>12.5</v>
      </c>
      <c r="J5" s="42">
        <v>125000000</v>
      </c>
      <c r="K5" s="41" t="s">
        <v>127</v>
      </c>
    </row>
    <row r="6" spans="1:11" x14ac:dyDescent="0.2">
      <c r="A6" s="37" t="s">
        <v>97</v>
      </c>
      <c r="B6" s="38">
        <v>39412</v>
      </c>
      <c r="C6" s="37" t="s">
        <v>93</v>
      </c>
      <c r="D6" s="38">
        <v>40154</v>
      </c>
      <c r="E6" s="37">
        <v>15</v>
      </c>
      <c r="F6" s="38">
        <v>44872</v>
      </c>
      <c r="G6" s="38">
        <v>40686</v>
      </c>
      <c r="H6" s="37" t="s">
        <v>94</v>
      </c>
      <c r="I6" s="39">
        <v>12.5</v>
      </c>
      <c r="J6" s="42">
        <v>85000000</v>
      </c>
      <c r="K6" s="41" t="s">
        <v>127</v>
      </c>
    </row>
    <row r="7" spans="1:11" x14ac:dyDescent="0.2">
      <c r="A7" s="37" t="s">
        <v>98</v>
      </c>
      <c r="B7" s="38">
        <v>39412</v>
      </c>
      <c r="C7" s="37" t="s">
        <v>93</v>
      </c>
      <c r="D7" s="38">
        <v>40135</v>
      </c>
      <c r="E7" s="37">
        <v>15</v>
      </c>
      <c r="F7" s="38">
        <v>44872</v>
      </c>
      <c r="G7" s="38">
        <v>40686</v>
      </c>
      <c r="H7" s="37" t="s">
        <v>94</v>
      </c>
      <c r="I7" s="39">
        <v>12.5</v>
      </c>
      <c r="J7" s="42">
        <v>40000000</v>
      </c>
      <c r="K7" s="41" t="s">
        <v>127</v>
      </c>
    </row>
    <row r="8" spans="1:11" x14ac:dyDescent="0.2">
      <c r="A8" s="37" t="s">
        <v>99</v>
      </c>
      <c r="B8" s="38">
        <v>39412</v>
      </c>
      <c r="C8" s="37" t="s">
        <v>93</v>
      </c>
      <c r="D8" s="38">
        <v>40135</v>
      </c>
      <c r="E8" s="37">
        <v>15</v>
      </c>
      <c r="F8" s="38">
        <v>44872</v>
      </c>
      <c r="G8" s="38">
        <v>40686</v>
      </c>
      <c r="H8" s="37" t="s">
        <v>94</v>
      </c>
      <c r="I8" s="39">
        <v>12.5</v>
      </c>
      <c r="J8" s="42">
        <v>50000000</v>
      </c>
      <c r="K8" s="41" t="s">
        <v>127</v>
      </c>
    </row>
    <row r="9" spans="1:11" x14ac:dyDescent="0.2">
      <c r="A9" s="37" t="s">
        <v>100</v>
      </c>
      <c r="B9" s="38">
        <v>39412</v>
      </c>
      <c r="C9" s="37" t="s">
        <v>101</v>
      </c>
      <c r="D9" s="38">
        <v>39665</v>
      </c>
      <c r="E9" s="37">
        <v>15</v>
      </c>
      <c r="F9" s="38">
        <v>44872</v>
      </c>
      <c r="G9" s="38">
        <v>40686</v>
      </c>
      <c r="H9" s="37" t="s">
        <v>94</v>
      </c>
      <c r="I9" s="39">
        <v>12.5</v>
      </c>
      <c r="J9" s="42">
        <v>50000000</v>
      </c>
      <c r="K9" s="41" t="s">
        <v>127</v>
      </c>
    </row>
    <row r="10" spans="1:11" x14ac:dyDescent="0.2">
      <c r="A10" s="37" t="s">
        <v>102</v>
      </c>
      <c r="B10" s="38">
        <v>39538</v>
      </c>
      <c r="C10" s="37" t="s">
        <v>93</v>
      </c>
      <c r="D10" s="38">
        <v>39538</v>
      </c>
      <c r="E10" s="37">
        <v>15</v>
      </c>
      <c r="F10" s="38">
        <v>44998</v>
      </c>
      <c r="G10" s="38">
        <v>40630</v>
      </c>
      <c r="H10" s="37" t="s">
        <v>94</v>
      </c>
      <c r="I10" s="39">
        <v>12.5</v>
      </c>
      <c r="J10" s="42">
        <v>100000000</v>
      </c>
      <c r="K10" s="41" t="s">
        <v>127</v>
      </c>
    </row>
    <row r="11" spans="1:11" x14ac:dyDescent="0.2">
      <c r="A11" s="37" t="s">
        <v>103</v>
      </c>
      <c r="B11" s="38">
        <v>39538</v>
      </c>
      <c r="C11" s="37" t="s">
        <v>93</v>
      </c>
      <c r="D11" s="38">
        <v>39612</v>
      </c>
      <c r="E11" s="37">
        <v>15</v>
      </c>
      <c r="F11" s="38">
        <v>44998</v>
      </c>
      <c r="G11" s="38">
        <v>40630</v>
      </c>
      <c r="H11" s="37" t="s">
        <v>94</v>
      </c>
      <c r="I11" s="39">
        <v>12.5</v>
      </c>
      <c r="J11" s="42">
        <v>100000000</v>
      </c>
      <c r="K11" s="41" t="s">
        <v>127</v>
      </c>
    </row>
    <row r="12" spans="1:11" x14ac:dyDescent="0.2">
      <c r="A12" s="37" t="s">
        <v>117</v>
      </c>
      <c r="B12" s="38">
        <v>41239</v>
      </c>
      <c r="C12" s="37" t="s">
        <v>93</v>
      </c>
      <c r="D12" s="38">
        <v>42059</v>
      </c>
      <c r="E12" s="37">
        <v>12</v>
      </c>
      <c r="F12" s="38">
        <v>48519</v>
      </c>
      <c r="G12" s="38">
        <v>42149</v>
      </c>
      <c r="H12" s="37" t="s">
        <v>94</v>
      </c>
      <c r="I12" s="39">
        <v>12</v>
      </c>
      <c r="J12" s="42">
        <v>300000000</v>
      </c>
      <c r="K12" s="41" t="s">
        <v>127</v>
      </c>
    </row>
    <row r="13" spans="1:11" x14ac:dyDescent="0.2">
      <c r="A13" s="37" t="s">
        <v>118</v>
      </c>
      <c r="B13" s="38">
        <v>40693</v>
      </c>
      <c r="C13" s="37" t="s">
        <v>93</v>
      </c>
      <c r="D13" s="38">
        <v>39614</v>
      </c>
      <c r="E13" s="37">
        <v>20</v>
      </c>
      <c r="F13" s="38">
        <v>48339</v>
      </c>
      <c r="G13" s="38">
        <v>42149</v>
      </c>
      <c r="H13" s="37" t="s">
        <v>94</v>
      </c>
      <c r="I13" s="39">
        <v>10</v>
      </c>
      <c r="J13" s="42">
        <v>100000000</v>
      </c>
      <c r="K13" s="41" t="s">
        <v>127</v>
      </c>
    </row>
    <row r="14" spans="1:11" x14ac:dyDescent="0.2">
      <c r="A14" s="41" t="s">
        <v>125</v>
      </c>
      <c r="B14" s="38">
        <v>41393</v>
      </c>
      <c r="C14" s="37" t="s">
        <v>93</v>
      </c>
      <c r="D14" s="38">
        <v>41393</v>
      </c>
      <c r="E14" s="41">
        <v>15</v>
      </c>
      <c r="F14" s="38">
        <v>46853</v>
      </c>
      <c r="G14" s="38">
        <v>42121</v>
      </c>
      <c r="H14" s="37" t="s">
        <v>94</v>
      </c>
      <c r="I14" s="37">
        <v>12</v>
      </c>
      <c r="J14" s="89">
        <v>460000000</v>
      </c>
      <c r="K14" s="41" t="s">
        <v>127</v>
      </c>
    </row>
    <row r="15" spans="1:11" ht="15" x14ac:dyDescent="0.25">
      <c r="A15" s="235" t="s">
        <v>257</v>
      </c>
      <c r="B15" s="38">
        <v>41239</v>
      </c>
      <c r="C15" s="37" t="s">
        <v>93</v>
      </c>
      <c r="D15" s="232">
        <v>41920</v>
      </c>
      <c r="E15" s="37">
        <v>20</v>
      </c>
      <c r="F15" s="232">
        <v>49200</v>
      </c>
      <c r="G15" s="232">
        <v>42331</v>
      </c>
      <c r="H15" s="37"/>
      <c r="I15" s="39">
        <v>12</v>
      </c>
      <c r="J15" s="42">
        <v>100000000</v>
      </c>
      <c r="K15" s="233" t="s">
        <v>256</v>
      </c>
    </row>
    <row r="16" spans="1:11" x14ac:dyDescent="0.2">
      <c r="A16" s="226" t="s">
        <v>259</v>
      </c>
      <c r="B16" s="236">
        <v>41393</v>
      </c>
      <c r="C16" s="226" t="s">
        <v>261</v>
      </c>
      <c r="D16" s="236">
        <v>41578</v>
      </c>
      <c r="E16" s="226">
        <v>15</v>
      </c>
      <c r="F16" s="236">
        <v>46853</v>
      </c>
      <c r="G16" s="236">
        <v>42485</v>
      </c>
      <c r="H16" s="226" t="s">
        <v>262</v>
      </c>
      <c r="I16" s="226">
        <v>12</v>
      </c>
      <c r="J16" s="237">
        <v>200000000</v>
      </c>
      <c r="K16" s="233" t="s">
        <v>260</v>
      </c>
    </row>
    <row r="17" spans="1:11" ht="13.5" thickBot="1" x14ac:dyDescent="0.25">
      <c r="A17" s="37"/>
      <c r="B17" s="38"/>
      <c r="C17" s="37"/>
      <c r="D17" s="38"/>
      <c r="E17" s="37"/>
      <c r="F17" s="38"/>
      <c r="G17" s="38"/>
      <c r="H17" s="37"/>
      <c r="I17" s="39"/>
      <c r="J17" s="86">
        <f>SUM(J3:J16)</f>
        <v>1810000000</v>
      </c>
    </row>
    <row r="18" spans="1:11" ht="13.5" thickTop="1" x14ac:dyDescent="0.2">
      <c r="A18" s="37"/>
      <c r="B18" s="38"/>
      <c r="C18" s="37"/>
      <c r="D18" s="38"/>
      <c r="E18" s="37"/>
      <c r="F18" s="38"/>
      <c r="G18" s="38"/>
      <c r="H18" s="37"/>
      <c r="I18" s="39"/>
      <c r="J18" s="42"/>
    </row>
    <row r="19" spans="1:11" x14ac:dyDescent="0.2">
      <c r="A19" s="37"/>
      <c r="B19" s="38"/>
      <c r="C19" s="37"/>
      <c r="D19" s="38"/>
      <c r="E19" s="37"/>
      <c r="F19" s="38"/>
      <c r="G19" s="38"/>
      <c r="H19" s="37"/>
      <c r="I19" s="39"/>
      <c r="J19" s="42"/>
    </row>
    <row r="20" spans="1:11" x14ac:dyDescent="0.2">
      <c r="A20" s="37" t="s">
        <v>104</v>
      </c>
      <c r="B20" s="38">
        <v>39412</v>
      </c>
      <c r="C20" s="37" t="s">
        <v>105</v>
      </c>
      <c r="D20" s="38">
        <v>39412</v>
      </c>
      <c r="E20" s="37">
        <v>15</v>
      </c>
      <c r="F20" s="38">
        <v>44872</v>
      </c>
      <c r="G20" s="38">
        <v>40686</v>
      </c>
      <c r="H20" s="37" t="s">
        <v>94</v>
      </c>
      <c r="I20" s="39">
        <v>12.5</v>
      </c>
      <c r="J20" s="42">
        <v>25000000</v>
      </c>
      <c r="K20" s="41" t="s">
        <v>126</v>
      </c>
    </row>
    <row r="21" spans="1:11" x14ac:dyDescent="0.2">
      <c r="A21" s="37" t="s">
        <v>106</v>
      </c>
      <c r="B21" s="38">
        <v>39412</v>
      </c>
      <c r="C21" s="37" t="s">
        <v>105</v>
      </c>
      <c r="D21" s="38">
        <v>39926</v>
      </c>
      <c r="E21" s="37">
        <v>15</v>
      </c>
      <c r="F21" s="38">
        <v>44872</v>
      </c>
      <c r="G21" s="38">
        <v>40686</v>
      </c>
      <c r="H21" s="37" t="s">
        <v>94</v>
      </c>
      <c r="I21" s="39">
        <v>12.5</v>
      </c>
      <c r="J21" s="42">
        <v>54000000</v>
      </c>
      <c r="K21" s="41" t="s">
        <v>126</v>
      </c>
    </row>
    <row r="22" spans="1:11" x14ac:dyDescent="0.2">
      <c r="A22" s="37" t="s">
        <v>107</v>
      </c>
      <c r="B22" s="38">
        <v>39412</v>
      </c>
      <c r="C22" s="37" t="s">
        <v>105</v>
      </c>
      <c r="D22" s="38">
        <v>39958</v>
      </c>
      <c r="E22" s="37">
        <v>15</v>
      </c>
      <c r="F22" s="38">
        <v>44872</v>
      </c>
      <c r="G22" s="38">
        <v>40686</v>
      </c>
      <c r="H22" s="37" t="s">
        <v>94</v>
      </c>
      <c r="I22" s="39">
        <v>12.5</v>
      </c>
      <c r="J22" s="42">
        <v>60000000</v>
      </c>
      <c r="K22" s="41" t="s">
        <v>126</v>
      </c>
    </row>
    <row r="23" spans="1:11" ht="13.5" thickBot="1" x14ac:dyDescent="0.25">
      <c r="J23" s="86">
        <f>SUM(J20:J22)</f>
        <v>139000000</v>
      </c>
    </row>
    <row r="24" spans="1:11" ht="13.5" thickTop="1" x14ac:dyDescent="0.2">
      <c r="F24" s="38"/>
    </row>
    <row r="25" spans="1:11" s="44" customFormat="1" x14ac:dyDescent="0.2">
      <c r="A25" s="37" t="s">
        <v>108</v>
      </c>
      <c r="B25" s="38">
        <v>39167</v>
      </c>
      <c r="C25" s="37" t="s">
        <v>109</v>
      </c>
      <c r="D25" s="38">
        <v>39167</v>
      </c>
      <c r="E25" s="37">
        <v>15</v>
      </c>
      <c r="F25" s="38">
        <v>44627</v>
      </c>
      <c r="G25" s="38">
        <v>40987</v>
      </c>
      <c r="H25" s="37" t="s">
        <v>94</v>
      </c>
      <c r="I25" s="37">
        <v>14.5</v>
      </c>
      <c r="J25" s="43">
        <v>300000000</v>
      </c>
      <c r="K25" s="44" t="s">
        <v>128</v>
      </c>
    </row>
    <row r="26" spans="1:11" s="44" customFormat="1" x14ac:dyDescent="0.2">
      <c r="A26" s="37" t="s">
        <v>110</v>
      </c>
      <c r="B26" s="38">
        <v>39629</v>
      </c>
      <c r="C26" s="37" t="s">
        <v>93</v>
      </c>
      <c r="D26" s="38">
        <v>39993</v>
      </c>
      <c r="E26" s="37">
        <v>20</v>
      </c>
      <c r="F26" s="38">
        <v>47273</v>
      </c>
      <c r="G26" s="38">
        <v>40903</v>
      </c>
      <c r="H26" s="37" t="s">
        <v>94</v>
      </c>
      <c r="I26" s="37">
        <v>13.75</v>
      </c>
      <c r="J26" s="43">
        <v>150000000</v>
      </c>
      <c r="K26" s="44" t="s">
        <v>128</v>
      </c>
    </row>
    <row r="27" spans="1:11" s="44" customFormat="1" x14ac:dyDescent="0.2">
      <c r="A27" s="37" t="s">
        <v>113</v>
      </c>
      <c r="B27" s="38">
        <v>40693</v>
      </c>
      <c r="C27" s="37" t="s">
        <v>114</v>
      </c>
      <c r="D27" s="38">
        <v>40693</v>
      </c>
      <c r="E27" s="37">
        <v>20</v>
      </c>
      <c r="F27" s="38">
        <v>47973</v>
      </c>
      <c r="G27" s="38">
        <v>41421</v>
      </c>
      <c r="H27" s="37" t="s">
        <v>94</v>
      </c>
      <c r="I27" s="37">
        <v>10</v>
      </c>
      <c r="J27" s="43">
        <v>200000000</v>
      </c>
      <c r="K27" s="44" t="s">
        <v>128</v>
      </c>
    </row>
    <row r="28" spans="1:11" x14ac:dyDescent="0.2">
      <c r="A28" s="41" t="s">
        <v>119</v>
      </c>
      <c r="B28" s="38">
        <v>40819</v>
      </c>
      <c r="C28" s="37" t="s">
        <v>93</v>
      </c>
      <c r="D28" s="38">
        <v>41955</v>
      </c>
      <c r="E28" s="41">
        <v>12</v>
      </c>
      <c r="F28" s="38">
        <v>48519</v>
      </c>
      <c r="G28" s="38">
        <v>40903</v>
      </c>
      <c r="H28" s="37" t="s">
        <v>94</v>
      </c>
      <c r="I28" s="37">
        <v>12</v>
      </c>
      <c r="J28" s="88">
        <v>200000000</v>
      </c>
      <c r="K28" s="44" t="s">
        <v>128</v>
      </c>
    </row>
    <row r="29" spans="1:11" x14ac:dyDescent="0.2">
      <c r="A29" s="41" t="s">
        <v>124</v>
      </c>
      <c r="B29" s="38">
        <v>40819</v>
      </c>
      <c r="C29" s="37" t="s">
        <v>93</v>
      </c>
      <c r="D29" s="38">
        <v>41955</v>
      </c>
      <c r="E29" s="41">
        <v>12</v>
      </c>
      <c r="F29" s="38">
        <v>48519</v>
      </c>
      <c r="G29" s="38">
        <v>40903</v>
      </c>
      <c r="H29" s="37" t="s">
        <v>94</v>
      </c>
      <c r="I29" s="37">
        <v>12</v>
      </c>
      <c r="J29" s="89">
        <v>40000000</v>
      </c>
      <c r="K29" s="44" t="s">
        <v>128</v>
      </c>
    </row>
    <row r="30" spans="1:11" ht="13.5" thickBot="1" x14ac:dyDescent="0.25">
      <c r="J30" s="86">
        <f>SUM(J25:J29)</f>
        <v>890000000</v>
      </c>
    </row>
    <row r="31" spans="1:11" ht="13.5" thickTop="1" x14ac:dyDescent="0.2">
      <c r="A31" s="41" t="s">
        <v>115</v>
      </c>
      <c r="J31" s="89"/>
    </row>
    <row r="32" spans="1:11" x14ac:dyDescent="0.2">
      <c r="J32" s="89"/>
    </row>
    <row r="33" spans="8:10" ht="13.5" thickBot="1" x14ac:dyDescent="0.25">
      <c r="H33" s="87" t="s">
        <v>120</v>
      </c>
      <c r="I33" s="82"/>
      <c r="J33" s="86">
        <f>J30+J23+J17</f>
        <v>2839000000</v>
      </c>
    </row>
    <row r="34" spans="8:10" ht="13.5" thickTop="1" x14ac:dyDescent="0.2">
      <c r="J34" s="89"/>
    </row>
    <row r="35" spans="8:10" x14ac:dyDescent="0.2">
      <c r="J35" s="89"/>
    </row>
  </sheetData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"/>
  <sheetViews>
    <sheetView workbookViewId="0">
      <selection activeCell="J13" sqref="J13"/>
    </sheetView>
  </sheetViews>
  <sheetFormatPr defaultRowHeight="13.5" x14ac:dyDescent="0.25"/>
  <cols>
    <col min="1" max="1" width="2.109375" style="115" customWidth="1"/>
    <col min="2" max="2" width="32.21875" style="115" bestFit="1" customWidth="1"/>
    <col min="3" max="3" width="1.77734375" style="115" customWidth="1"/>
    <col min="4" max="6" width="12.5546875" style="115" bestFit="1" customWidth="1"/>
    <col min="7" max="16384" width="8.88671875" style="115"/>
  </cols>
  <sheetData>
    <row r="2" spans="2:6" x14ac:dyDescent="0.25">
      <c r="B2" s="257" t="s">
        <v>228</v>
      </c>
      <c r="C2" s="258"/>
      <c r="D2" s="258"/>
      <c r="E2" s="258"/>
      <c r="F2" s="259"/>
    </row>
    <row r="3" spans="2:6" x14ac:dyDescent="0.25">
      <c r="B3" s="260" t="s">
        <v>229</v>
      </c>
      <c r="C3" s="261"/>
      <c r="D3" s="261"/>
      <c r="E3" s="261"/>
      <c r="F3" s="262"/>
    </row>
    <row r="4" spans="2:6" x14ac:dyDescent="0.25">
      <c r="B4" s="263" t="s">
        <v>258</v>
      </c>
      <c r="C4" s="264"/>
      <c r="D4" s="264"/>
      <c r="E4" s="264"/>
      <c r="F4" s="265"/>
    </row>
    <row r="5" spans="2:6" x14ac:dyDescent="0.25">
      <c r="B5" s="99"/>
      <c r="C5" s="205"/>
      <c r="D5" s="96"/>
      <c r="E5" s="206"/>
      <c r="F5" s="207"/>
    </row>
    <row r="6" spans="2:6" x14ac:dyDescent="0.25">
      <c r="B6" s="99"/>
      <c r="C6" s="100"/>
      <c r="D6" s="206"/>
      <c r="E6" s="206"/>
      <c r="F6" s="208" t="s">
        <v>230</v>
      </c>
    </row>
    <row r="7" spans="2:6" x14ac:dyDescent="0.25">
      <c r="B7" s="209"/>
      <c r="C7" s="210"/>
      <c r="D7" s="211" t="s">
        <v>146</v>
      </c>
      <c r="E7" s="212" t="s">
        <v>146</v>
      </c>
      <c r="F7" s="213" t="s">
        <v>147</v>
      </c>
    </row>
    <row r="8" spans="2:6" x14ac:dyDescent="0.25">
      <c r="B8" s="99"/>
      <c r="C8" s="100"/>
      <c r="D8" s="214">
        <v>2016</v>
      </c>
      <c r="E8" s="215">
        <v>2015</v>
      </c>
      <c r="F8" s="216">
        <v>2016</v>
      </c>
    </row>
    <row r="9" spans="2:6" x14ac:dyDescent="0.25">
      <c r="B9" s="99"/>
      <c r="C9" s="100"/>
      <c r="D9" s="107"/>
      <c r="E9" s="217"/>
      <c r="F9" s="109"/>
    </row>
    <row r="10" spans="2:6" x14ac:dyDescent="0.25">
      <c r="B10" s="218"/>
      <c r="C10" s="219"/>
      <c r="D10" s="220" t="s">
        <v>152</v>
      </c>
      <c r="E10" s="221" t="s">
        <v>152</v>
      </c>
      <c r="F10" s="222" t="s">
        <v>152</v>
      </c>
    </row>
    <row r="11" spans="2:6" x14ac:dyDescent="0.25">
      <c r="B11" s="99"/>
      <c r="C11" s="100"/>
      <c r="D11" s="107"/>
      <c r="E11" s="108"/>
      <c r="F11" s="109"/>
    </row>
    <row r="12" spans="2:6" x14ac:dyDescent="0.25">
      <c r="B12" s="97" t="s">
        <v>231</v>
      </c>
      <c r="C12" s="98"/>
      <c r="D12" s="107"/>
      <c r="E12" s="108"/>
      <c r="F12" s="109"/>
    </row>
    <row r="13" spans="2:6" x14ac:dyDescent="0.25">
      <c r="B13" s="99"/>
      <c r="C13" s="100"/>
      <c r="D13" s="107"/>
      <c r="E13" s="108"/>
      <c r="F13" s="109"/>
    </row>
    <row r="14" spans="2:6" x14ac:dyDescent="0.25">
      <c r="B14" s="99" t="s">
        <v>232</v>
      </c>
      <c r="C14" s="100"/>
      <c r="D14" s="107">
        <v>67760000</v>
      </c>
      <c r="E14" s="108">
        <v>41066666.666666664</v>
      </c>
      <c r="F14" s="109">
        <v>67760000</v>
      </c>
    </row>
    <row r="15" spans="2:6" x14ac:dyDescent="0.25">
      <c r="B15" s="99" t="s">
        <v>156</v>
      </c>
      <c r="C15" s="100"/>
      <c r="D15" s="107">
        <v>30828309.030000001</v>
      </c>
      <c r="E15" s="108">
        <v>31931256.581300002</v>
      </c>
      <c r="F15" s="109">
        <v>33173728.822291665</v>
      </c>
    </row>
    <row r="16" spans="2:6" x14ac:dyDescent="0.25">
      <c r="B16" s="99" t="s">
        <v>233</v>
      </c>
      <c r="C16" s="100"/>
      <c r="D16" s="107">
        <v>0</v>
      </c>
      <c r="E16" s="108"/>
      <c r="F16" s="109">
        <v>0</v>
      </c>
    </row>
    <row r="17" spans="2:6" x14ac:dyDescent="0.25">
      <c r="B17" s="99" t="s">
        <v>234</v>
      </c>
      <c r="C17" s="100"/>
      <c r="D17" s="107">
        <v>0</v>
      </c>
      <c r="E17" s="108">
        <v>0</v>
      </c>
      <c r="F17" s="109">
        <v>0</v>
      </c>
    </row>
    <row r="18" spans="2:6" x14ac:dyDescent="0.25">
      <c r="B18" s="223" t="s">
        <v>235</v>
      </c>
      <c r="C18" s="100"/>
      <c r="D18" s="107">
        <v>0</v>
      </c>
      <c r="E18" s="108">
        <v>0</v>
      </c>
      <c r="F18" s="109">
        <v>0</v>
      </c>
    </row>
    <row r="19" spans="2:6" x14ac:dyDescent="0.25">
      <c r="B19" s="223" t="s">
        <v>236</v>
      </c>
      <c r="C19" s="100"/>
      <c r="D19" s="107">
        <v>646661.17000000004</v>
      </c>
      <c r="E19" s="108">
        <v>24530.01</v>
      </c>
      <c r="F19" s="109">
        <v>0</v>
      </c>
    </row>
    <row r="20" spans="2:6" x14ac:dyDescent="0.25">
      <c r="B20" s="99" t="s">
        <v>237</v>
      </c>
      <c r="C20" s="100"/>
      <c r="D20" s="107">
        <v>0</v>
      </c>
      <c r="E20" s="108"/>
      <c r="F20" s="109"/>
    </row>
    <row r="21" spans="2:6" x14ac:dyDescent="0.25">
      <c r="B21" s="99"/>
      <c r="C21" s="100"/>
      <c r="D21" s="101">
        <v>99234970.200000003</v>
      </c>
      <c r="E21" s="102">
        <v>73022453.257966667</v>
      </c>
      <c r="F21" s="103">
        <v>100933728.82229167</v>
      </c>
    </row>
    <row r="22" spans="2:6" x14ac:dyDescent="0.25">
      <c r="B22" s="99"/>
      <c r="C22" s="100"/>
      <c r="D22" s="107"/>
      <c r="E22" s="108"/>
      <c r="F22" s="109"/>
    </row>
    <row r="23" spans="2:6" x14ac:dyDescent="0.25">
      <c r="B23" s="97" t="s">
        <v>238</v>
      </c>
      <c r="C23" s="98"/>
      <c r="D23" s="107"/>
      <c r="E23" s="108"/>
      <c r="F23" s="109"/>
    </row>
    <row r="24" spans="2:6" x14ac:dyDescent="0.25">
      <c r="B24" s="99"/>
      <c r="C24" s="100"/>
      <c r="D24" s="107"/>
      <c r="E24" s="108"/>
      <c r="F24" s="109"/>
    </row>
    <row r="25" spans="2:6" x14ac:dyDescent="0.25">
      <c r="B25" s="99"/>
      <c r="C25" s="100"/>
      <c r="D25" s="107"/>
      <c r="E25" s="108"/>
      <c r="F25" s="109"/>
    </row>
    <row r="26" spans="2:6" x14ac:dyDescent="0.25">
      <c r="B26" s="99" t="s">
        <v>239</v>
      </c>
      <c r="C26" s="100"/>
      <c r="D26" s="107"/>
      <c r="E26" s="108">
        <v>-8142</v>
      </c>
      <c r="F26" s="109">
        <v>0</v>
      </c>
    </row>
    <row r="27" spans="2:6" x14ac:dyDescent="0.25">
      <c r="B27" s="99" t="s">
        <v>240</v>
      </c>
      <c r="C27" s="100"/>
      <c r="D27" s="107">
        <v>-5240</v>
      </c>
      <c r="E27" s="108">
        <v>0</v>
      </c>
      <c r="F27" s="109">
        <v>0</v>
      </c>
    </row>
    <row r="28" spans="2:6" x14ac:dyDescent="0.25">
      <c r="B28" s="99" t="s">
        <v>241</v>
      </c>
      <c r="C28" s="100"/>
      <c r="D28" s="107"/>
      <c r="E28" s="108">
        <v>0</v>
      </c>
      <c r="F28" s="109">
        <v>0</v>
      </c>
    </row>
    <row r="29" spans="2:6" x14ac:dyDescent="0.25">
      <c r="B29" s="99" t="s">
        <v>242</v>
      </c>
      <c r="C29" s="100"/>
      <c r="D29" s="107"/>
      <c r="E29" s="108">
        <v>0</v>
      </c>
      <c r="F29" s="109">
        <v>0</v>
      </c>
    </row>
    <row r="30" spans="2:6" x14ac:dyDescent="0.25">
      <c r="B30" s="99" t="s">
        <v>243</v>
      </c>
      <c r="C30" s="100"/>
      <c r="D30" s="107"/>
      <c r="E30" s="108">
        <v>0</v>
      </c>
      <c r="F30" s="109">
        <v>0</v>
      </c>
    </row>
    <row r="31" spans="2:6" x14ac:dyDescent="0.25">
      <c r="B31" s="99" t="s">
        <v>244</v>
      </c>
      <c r="C31" s="100"/>
      <c r="D31" s="107"/>
      <c r="E31" s="108"/>
      <c r="F31" s="109"/>
    </row>
    <row r="32" spans="2:6" x14ac:dyDescent="0.25">
      <c r="B32" s="99" t="s">
        <v>245</v>
      </c>
      <c r="C32" s="100"/>
      <c r="D32" s="104">
        <v>99229730.200000003</v>
      </c>
      <c r="E32" s="105">
        <v>73014311.257966667</v>
      </c>
      <c r="F32" s="106">
        <v>100933728.82229167</v>
      </c>
    </row>
    <row r="33" spans="2:6" x14ac:dyDescent="0.25">
      <c r="B33" s="99"/>
      <c r="C33" s="100"/>
      <c r="D33" s="107"/>
      <c r="E33" s="108"/>
      <c r="F33" s="224"/>
    </row>
    <row r="34" spans="2:6" x14ac:dyDescent="0.25">
      <c r="B34" s="99" t="s">
        <v>246</v>
      </c>
      <c r="C34" s="100"/>
      <c r="D34" s="225">
        <v>9239319.0600000005</v>
      </c>
      <c r="E34" s="108">
        <v>9222939.4173900019</v>
      </c>
      <c r="F34" s="109">
        <v>9952118.646687502</v>
      </c>
    </row>
    <row r="35" spans="2:6" x14ac:dyDescent="0.25">
      <c r="B35" s="99" t="s">
        <v>247</v>
      </c>
      <c r="C35" s="100"/>
      <c r="D35" s="101">
        <v>89990411.140000001</v>
      </c>
      <c r="E35" s="102">
        <v>63791371.840576664</v>
      </c>
      <c r="F35" s="103">
        <v>90981610.175604165</v>
      </c>
    </row>
    <row r="36" spans="2:6" x14ac:dyDescent="0.25">
      <c r="B36" s="99"/>
      <c r="C36" s="100"/>
      <c r="D36" s="107"/>
      <c r="E36" s="108"/>
      <c r="F36" s="109"/>
    </row>
    <row r="37" spans="2:6" x14ac:dyDescent="0.25">
      <c r="B37" s="99" t="s">
        <v>248</v>
      </c>
      <c r="C37" s="100"/>
      <c r="D37" s="107">
        <v>0</v>
      </c>
      <c r="E37" s="108">
        <v>0</v>
      </c>
      <c r="F37" s="109">
        <v>0</v>
      </c>
    </row>
    <row r="38" spans="2:6" x14ac:dyDescent="0.25">
      <c r="B38" s="99" t="s">
        <v>249</v>
      </c>
      <c r="C38" s="100"/>
      <c r="D38" s="101">
        <v>89990411.140000001</v>
      </c>
      <c r="E38" s="102">
        <v>63791371.840576664</v>
      </c>
      <c r="F38" s="103">
        <v>90981610.175604165</v>
      </c>
    </row>
    <row r="39" spans="2:6" x14ac:dyDescent="0.25">
      <c r="B39" s="99"/>
      <c r="C39" s="100"/>
      <c r="D39" s="107"/>
      <c r="E39" s="108"/>
      <c r="F39" s="109"/>
    </row>
    <row r="40" spans="2:6" x14ac:dyDescent="0.25">
      <c r="B40" s="99"/>
      <c r="C40" s="100"/>
      <c r="D40" s="107"/>
      <c r="E40" s="108"/>
      <c r="F40" s="109"/>
    </row>
    <row r="41" spans="2:6" x14ac:dyDescent="0.25">
      <c r="B41" s="97" t="s">
        <v>250</v>
      </c>
      <c r="C41" s="98"/>
      <c r="D41" s="107"/>
      <c r="E41" s="108"/>
      <c r="F41" s="109"/>
    </row>
    <row r="42" spans="2:6" x14ac:dyDescent="0.25">
      <c r="B42" s="99"/>
      <c r="C42" s="100"/>
      <c r="D42" s="107"/>
      <c r="E42" s="108"/>
      <c r="F42" s="109"/>
    </row>
    <row r="43" spans="2:6" x14ac:dyDescent="0.25">
      <c r="B43" s="99" t="s">
        <v>251</v>
      </c>
      <c r="C43" s="100"/>
      <c r="D43" s="107">
        <v>1800989457.1400001</v>
      </c>
      <c r="E43" s="108">
        <v>1894658978</v>
      </c>
      <c r="F43" s="109">
        <v>1800989457.1400001</v>
      </c>
    </row>
    <row r="44" spans="2:6" x14ac:dyDescent="0.25">
      <c r="B44" s="99"/>
      <c r="C44" s="100"/>
      <c r="D44" s="107">
        <v>0</v>
      </c>
      <c r="E44" s="108">
        <v>0</v>
      </c>
      <c r="F44" s="109">
        <v>0</v>
      </c>
    </row>
    <row r="45" spans="2:6" x14ac:dyDescent="0.25">
      <c r="B45" s="99" t="s">
        <v>247</v>
      </c>
      <c r="C45" s="100"/>
      <c r="D45" s="107"/>
      <c r="E45" s="108"/>
      <c r="F45" s="109"/>
    </row>
    <row r="46" spans="2:6" x14ac:dyDescent="0.25">
      <c r="B46" s="99" t="s">
        <v>252</v>
      </c>
      <c r="C46" s="100"/>
      <c r="D46" s="107">
        <v>1890979868.2800002</v>
      </c>
      <c r="E46" s="108">
        <v>1958450349.8405766</v>
      </c>
      <c r="F46" s="109">
        <v>1891971067.3156042</v>
      </c>
    </row>
    <row r="47" spans="2:6" x14ac:dyDescent="0.25">
      <c r="B47" s="99" t="s">
        <v>253</v>
      </c>
      <c r="C47" s="100"/>
      <c r="D47" s="107">
        <v>0</v>
      </c>
      <c r="E47" s="108"/>
      <c r="F47" s="109">
        <v>0</v>
      </c>
    </row>
    <row r="48" spans="2:6" x14ac:dyDescent="0.25">
      <c r="B48" s="99" t="s">
        <v>254</v>
      </c>
      <c r="C48" s="100"/>
      <c r="D48" s="107">
        <v>200000000</v>
      </c>
      <c r="E48" s="108"/>
      <c r="F48" s="109">
        <v>0</v>
      </c>
    </row>
    <row r="49" spans="2:6" ht="14.25" thickBot="1" x14ac:dyDescent="0.3">
      <c r="B49" s="99" t="s">
        <v>255</v>
      </c>
      <c r="C49" s="100"/>
      <c r="D49" s="110">
        <v>2090979868.2800002</v>
      </c>
      <c r="E49" s="111">
        <v>1958450349.8405766</v>
      </c>
      <c r="F49" s="112">
        <v>1891971067.3156042</v>
      </c>
    </row>
    <row r="50" spans="2:6" ht="14.25" thickTop="1" x14ac:dyDescent="0.25">
      <c r="B50" s="172"/>
      <c r="C50" s="173"/>
      <c r="D50" s="173"/>
      <c r="E50" s="173"/>
      <c r="F50" s="174"/>
    </row>
  </sheetData>
  <mergeCells count="3"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Lien Vs Asset Control</vt:lpstr>
      <vt:lpstr>Annexture 3</vt:lpstr>
      <vt:lpstr>Months table</vt:lpstr>
      <vt:lpstr>Formlink-Ld</vt:lpstr>
      <vt:lpstr>Formlink-Gd</vt:lpstr>
      <vt:lpstr>BS - 30.09.2016</vt:lpstr>
      <vt:lpstr>Rev Acc - 30.09.2016</vt:lpstr>
      <vt:lpstr>Lien Bonds</vt:lpstr>
      <vt:lpstr>P&amp;L-31.03.2016</vt:lpstr>
      <vt:lpstr>'Annexture 3'!Print_Area</vt:lpstr>
      <vt:lpstr>'Formlink-Gd'!Print_Area</vt:lpstr>
      <vt:lpstr>'Formlink-Ld'!Print_Area</vt:lpstr>
      <vt:lpstr>'Lien Vs Asset Control'!Print_Area</vt:lpstr>
    </vt:vector>
  </TitlesOfParts>
  <Company>icea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Simon Ndungu</cp:lastModifiedBy>
  <cp:lastPrinted>2016-08-29T08:58:57Z</cp:lastPrinted>
  <dcterms:created xsi:type="dcterms:W3CDTF">1998-11-23T06:40:37Z</dcterms:created>
  <dcterms:modified xsi:type="dcterms:W3CDTF">2016-11-02T11:56:30Z</dcterms:modified>
</cp:coreProperties>
</file>