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projects\PitchBook\Platform\platform-downloads\src\main\resources\com\pitchbook\excel\processor\tables\"/>
    </mc:Choice>
  </mc:AlternateContent>
  <bookViews>
    <workbookView xWindow="0" yWindow="120" windowWidth="28755" windowHeight="13095" activeTab="0" firstSheet="0"/>
  </bookViews>
  <sheets>
    <sheet name="Data" sheetId="6" r:id="rId1"/>
    <sheet name="Disclaimer" r:id="rId5" sheetId="7"/>
  </sheets>
  <definedNames>
    <definedName name="CreatedFor">Data!$G$6</definedName>
    <definedName name="CreatedForTitle">Data!$F$6</definedName>
  </definedNames>
  <calcPr calcId="125725"/>
</workbook>
</file>

<file path=xl/sharedStrings.xml><?xml version="1.0" encoding="utf-8"?>
<sst xmlns="http://schemas.openxmlformats.org/spreadsheetml/2006/main" count="31" uniqueCount="27">
  <si>
    <t>Search Criteria:</t>
  </si>
  <si>
    <t>Downloaded on:</t>
  </si>
  <si>
    <t xml:space="preserve"> </t>
  </si>
  <si>
    <t xml:space="preserve"> Search Link:</t>
  </si>
  <si>
    <t>Search Result Columns</t>
  </si>
  <si>
    <t xml:space="preserve">US Metro Areas (CSA): Birmingham-Hoover-Talladega; Jacksonville-St. Marys-Palatka; Indianapolis-Carmel-Muncie; Louisville/Jefferson County--Elizabethtown--Madison; Grand Rapids-Wyoming-Muskegon; Kansas City-Overland Park-Kansas City; St. Louis-St. Charles-Farmington; Omaha-Council Bluffs-Fremont; Charlotte-Concord; Greensboro--Winston-Salem--High Point; Raleigh-Durham-Chapel Hill; Cincinnati-Wilmington-Maysville; Columbus-Marion-Zanesville; Dayton-Springfield-Sidney; Oklahoma City-Shawnee; Tulsa-Muskogee-Bartlesville; Greenville-Spartanburg-Anderson; Knoxville-Morristown-Sevierville; Memphis-Forrest City; Nashville-Davidson--Murfreesboro; Search HQ only; </t>
  </si>
  <si>
    <t>https://my.pitchbook.com/?pcc=262698-40</t>
  </si>
  <si>
    <t>10/22/2019</t>
  </si>
  <si>
    <t>Created for:</t>
  </si>
  <si>
    <t>Harrison Kirby, KY Innovation</t>
  </si>
  <si>
    <t>Company ID</t>
  </si>
  <si>
    <t>Company Name</t>
  </si>
  <si>
    <t>HQ Location</t>
  </si>
  <si>
    <t>HQ Post Code</t>
  </si>
  <si>
    <t>Market Cap</t>
  </si>
  <si>
    <t>Revenue</t>
  </si>
  <si>
    <t>Ownership Status</t>
  </si>
  <si>
    <t>PitchBook Link</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</si>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</sst>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56" x14ac:knownFonts="1">
    <font>
      <sz val="11"/>
      <color theme="1"/>
      <name val="Calibri"/>
      <family val="2"/>
      <scheme val="minor"/>
    </font>
    <font>
      <sz val="10"/>
      <name val="Arial"/>
      <family val="2"/>
      <charset val="204"/>
    </font>
    <font>
      <sz val="8"/>
      <color theme="1"/>
      <name val="Arial"/>
      <family val="2"/>
      <charset val="204"/>
    </font>
    <font>
      <sz val="8"/>
      <color indexed="8"/>
      <name val="Arial"/>
      <family val="2"/>
    </font>
    <font>
      <b/>
      <sz val="8"/>
      <color indexed="16"/>
      <name val="Arial"/>
      <family val="2"/>
    </font>
    <font>
      <sz val="8"/>
      <color indexed="8"/>
      <name val="Arial"/>
      <family val="2"/>
      <charset val="204"/>
    </font>
    <font>
      <b/>
      <sz val="16"/>
      <color indexed="8"/>
      <name val="Arial"/>
      <family val="2"/>
    </font>
    <font>
      <sz val="8"/>
      <color theme="1"/>
      <name val="Arial"/>
      <family val="2"/>
    </font>
    <font>
      <name val="Arial"/>
      <sz val="8.0"/>
      <color indexed="1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xmlns:x16r2="http://schemas.microsoft.com/office/spreadsheetml/2015/02/main" xmlns:xr="http://schemas.microsoft.com/office/spreadsheetml/2014/revision" xmlns:main="http://schemas.openxmlformats.org/spreadsheetml/2006/main">
      <main:b/>
      <main:sz val="14"/>
      <main:color indexed="8"/>
      <main:name val="Arial"/>
      <main:family val="2"/>
    </font>
    <font xmlns:x16r2="http://schemas.microsoft.com/office/spreadsheetml/2015/02/main" xmlns:xr="http://schemas.microsoft.com/office/spreadsheetml/2014/revision" xmlns:main="http://schemas.openxmlformats.org/spreadsheetml/2006/main">
      <main:i/>
      <main:sz val="10"/>
      <main:color indexed="8"/>
      <main:name val="Arial"/>
      <main:family val="2"/>
      <main:charset val="204"/>
    </font>
    <font xmlns:x16r2="http://schemas.microsoft.com/office/spreadsheetml/2015/02/main" xmlns:xr="http://schemas.microsoft.com/office/spreadsheetml/2014/revision" xmlns:main="http://schemas.openxmlformats.org/spreadsheetml/2006/main">
      <main:i/>
      <main:u/>
      <main:sz val="10"/>
      <main:color indexed="12"/>
      <main:name val="Arial"/>
      <main:family val="2"/>
      <main:charset val="204"/>
    </font>
    <font xmlns:x16r2="http://schemas.microsoft.com/office/spreadsheetml/2015/02/main" xmlns:xr="http://schemas.microsoft.com/office/spreadsheetml/2014/revision" xmlns:main="http://schemas.openxmlformats.org/spreadsheetml/2006/main">
      <main:i/>
      <main:sz val="10"/>
      <main:name val="Arial"/>
      <main:family val="2"/>
      <main:charset val="204"/>
    </font>
    <font xmlns:x16r2="http://schemas.microsoft.com/office/spreadsheetml/2015/02/main" xmlns:xr="http://schemas.microsoft.com/office/spreadsheetml/2014/revision" xmlns:main="http://schemas.openxmlformats.org/spreadsheetml/2006/main">
      <main:i/>
      <main:sz val="10"/>
      <main:color theme="3" tint="0.39997558519241921"/>
      <main:name val="Arial"/>
      <main:family val="2"/>
      <main:charset val="204"/>
    </font>
    <font xmlns:x16r2="http://schemas.microsoft.com/office/spreadsheetml/2015/02/main" xmlns:xr="http://schemas.microsoft.com/office/spreadsheetml/2014/revision" xmlns:main="http://schemas.openxmlformats.org/spreadsheetml/2006/main">
      <main:i/>
      <main:sz val="10"/>
      <main:name val="Arial"/>
      <main:family val="2"/>
      <main:charset val="204"/>
    </font>
    <font xmlns:x16r2="http://schemas.microsoft.com/office/spreadsheetml/2015/02/main" xmlns:xr="http://schemas.microsoft.com/office/spreadsheetml/2014/revision" xmlns:main="http://schemas.openxmlformats.org/spreadsheetml/2006/main">
      <main:i/>
      <main:sz val="10"/>
      <main:name val="Arial"/>
      <main:family val="2"/>
      <main:charset val="204"/>
    </font>
    <font xmlns:x16r2="http://schemas.microsoft.com/office/spreadsheetml/2015/02/main" xmlns:xr="http://schemas.microsoft.com/office/spreadsheetml/2014/revision" xmlns:main="http://schemas.openxmlformats.org/spreadsheetml/2006/main">
      <main:i/>
      <main:sz val="10"/>
      <main:color theme="3" tint="0.39997558519241921"/>
      <main:name val="Arial"/>
      <main:family val="2"/>
      <main:charset val="204"/>
    </font>
    <font xmlns:x16r2="http://schemas.microsoft.com/office/spreadsheetml/2015/02/main" xmlns:xr="http://schemas.microsoft.com/office/spreadsheetml/2014/revision" xmlns:main="http://schemas.openxmlformats.org/spreadsheetml/2006/main">
      <main:i/>
      <main:sz val="10"/>
      <main:color theme="3" tint="0.39997558519241921"/>
      <main:name val="Arial"/>
      <main:family val="2"/>
      <main:charset val="204"/>
    </font>
    <font xmlns:x16r2="http://schemas.microsoft.com/office/spreadsheetml/2015/02/main" xmlns:xr="http://schemas.microsoft.com/office/spreadsheetml/2014/revision" xmlns:main="http://schemas.openxmlformats.org/spreadsheetml/2006/main">
      <main:i/>
      <main:u/>
      <main:sz val="10"/>
      <main:color indexed="12"/>
      <main:name val="Arial"/>
      <main:family val="2"/>
      <main:charset val="204"/>
    </font>
    <font xmlns:x16r2="http://schemas.microsoft.com/office/spreadsheetml/2015/02/main" xmlns:xr="http://schemas.microsoft.com/office/spreadsheetml/2014/revision" xmlns:main="http://schemas.openxmlformats.org/spreadsheetml/2006/main">
      <main:i/>
      <main:sz val="10"/>
      <main:color theme="3" tint="0.39997558519241921"/>
      <main:name val="Arial"/>
      <main:family val="2"/>
      <main:charset val="204"/>
    </font>
    <font>
      <name val="Arial"/>
      <sz val="8.0"/>
    </font>
  </fonts>
  <fills count="9">
    <fill>
      <patternFill patternType="none"/>
    </fill>
    <fill>
      <patternFill patternType="gray125"/>
    </fill>
    <fill>
      <patternFill patternType="solid">
        <fgColor indexed="9"/>
        <bgColor indexed="64"/>
      </patternFill>
    </fill>
    <fill>
      <patternFill patternType="none">
        <fgColor rgb="4F81BD"/>
      </patternFill>
    </fill>
    <fill>
      <patternFill patternType="solid">
        <fgColor rgb="4F81BD"/>
      </patternFill>
    </fill>
    <fill>
      <patternFill patternType="none">
        <fgColor rgb="EEF3F8"/>
      </patternFill>
    </fill>
    <fill>
      <patternFill patternType="solid">
        <fgColor rgb="EEF3F8"/>
      </patternFill>
    </fill>
    <fill>
      <patternFill patternType="none">
        <fgColor rgb="FFFFFF"/>
      </patternFill>
    </fill>
    <fill>
      <patternFill patternType="solid">
        <fgColor rgb="FFFFFF"/>
      </patternFill>
    </fill>
  </fills>
  <borders count="7">
    <border>
      <left/>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1" fillId="0" borderId="0"/>
  </cellStyleXfs>
  <cellXfs count="57">
    <xf numFmtId="0" fontId="0" fillId="0" borderId="0" xfId="0"/>
    <xf numFmtId="0" fontId="3" fillId="2" borderId="0" xfId="0" applyFont="1" applyFill="1" applyAlignment="1">
      <alignment horizontal="right"/>
    </xf>
    <xf numFmtId="14" fontId="5" fillId="0" borderId="0" xfId="0" applyNumberFormat="1" applyFont="1" applyFill="1" applyAlignment="1">
      <alignment horizontal="left"/>
    </xf>
    <xf numFmtId="0" fontId="5" fillId="0" borderId="0" xfId="0" applyFont="1" applyFill="1"/>
    <xf numFmtId="0" fontId="6" fillId="0" borderId="0" xfId="0" applyFont="1" applyFill="1" applyAlignment="1">
      <alignment horizontal="left"/>
    </xf>
    <xf numFmtId="0" fontId="2" fillId="0" borderId="0" xfId="0" applyFont="1" applyAlignment="1">
      <alignment horizontal="right" vertical="top"/>
    </xf>
    <xf numFmtId="0" fontId="7" fillId="0" borderId="0" xfId="0" applyFont="1" applyAlignment="1">
      <alignment horizontal="right"/>
    </xf>
    <xf numFmtId="0" fontId="4" fillId="2" borderId="0" xfId="0" applyFont="1" applyFill="1" applyAlignment="1">
      <alignment horizontal="left" vertical="top" wrapText="true"/>
    </xf>
    <xf numFmtId="0" fontId="0" fillId="0" borderId="0" xfId="0" applyAlignment="1">
      <alignment horizontal="left"/>
    </xf>
    <xf numFmtId="0" fontId="8" fillId="0" borderId="0" xfId="0" applyFont="true">
      <alignment wrapText="true"/>
    </xf>
    <xf numFmtId="0" fontId="9" fillId="4" borderId="2" xfId="0" applyFill="true" applyFont="true" applyBorder="true">
      <alignment horizontal="center" vertical="center" wrapText="true"/>
    </xf>
    <xf numFmtId="0" fontId="10" fillId="4" borderId="4" xfId="0" applyFill="true" applyFont="true" applyBorder="true">
      <alignment horizontal="center" vertical="center" wrapText="true"/>
    </xf>
    <xf numFmtId="0" fontId="11" fillId="0" borderId="0" xfId="0" applyFont="true">
      <alignment horizontal="general" vertical="bottom" wrapText="true"/>
    </xf>
    <xf numFmtId="0" fontId="12" fillId="6" borderId="6" xfId="0" applyFill="true" applyFont="true" applyBorder="true">
      <alignment horizontal="general" vertical="top" indent="1" wrapText="false"/>
    </xf>
    <xf numFmtId="0" fontId="13" fillId="6" borderId="6" xfId="0" applyFill="true" applyFont="true" applyBorder="true">
      <alignment horizontal="general" vertical="top" indent="1" wrapText="false"/>
    </xf>
    <xf numFmtId="0" fontId="14" fillId="6" borderId="6" xfId="0" applyFill="true" applyFont="true" applyBorder="true">
      <alignment horizontal="general" vertical="top" indent="1" wrapText="false"/>
    </xf>
    <xf numFmtId="0" fontId="15" fillId="6" borderId="6" xfId="0" applyFill="true" applyFont="true" applyBorder="true">
      <alignment horizontal="general" vertical="top" indent="1" wrapText="false"/>
    </xf>
    <xf numFmtId="4" fontId="16" fillId="6" borderId="6" xfId="0" applyFill="true" applyFont="true" applyBorder="true" applyNumberFormat="true">
      <alignment horizontal="right" vertical="top" indent="1" wrapText="false"/>
    </xf>
    <xf numFmtId="4" fontId="17" fillId="6" borderId="6" xfId="0" applyFill="true" applyFont="true" applyBorder="true" applyNumberFormat="true">
      <alignment horizontal="right" vertical="top" indent="1" wrapText="false"/>
    </xf>
    <xf numFmtId="0" fontId="18" fillId="6" borderId="6" xfId="0" applyFill="true" applyFont="true" applyBorder="true">
      <alignment horizontal="general" vertical="top" indent="1" wrapText="false"/>
    </xf>
    <xf numFmtId="0" fontId="19" fillId="6" borderId="6" xfId="0" applyFill="true" applyFont="true" applyBorder="true">
      <alignment horizontal="general" vertical="top" indent="1" wrapText="false"/>
    </xf>
    <xf numFmtId="0" fontId="20" fillId="8" borderId="6" xfId="0" applyFill="true" applyFont="true" applyBorder="true">
      <alignment horizontal="general" vertical="top" indent="1" wrapText="false"/>
    </xf>
    <xf numFmtId="0" fontId="21" fillId="8" borderId="6" xfId="0" applyFill="true" applyFont="true" applyBorder="true">
      <alignment horizontal="general" vertical="top" indent="1" wrapText="false"/>
    </xf>
    <xf numFmtId="0" fontId="22" fillId="8" borderId="6" xfId="0" applyFill="true" applyFont="true" applyBorder="true">
      <alignment horizontal="general" vertical="top" indent="1" wrapText="false"/>
    </xf>
    <xf numFmtId="0" fontId="23" fillId="8" borderId="6" xfId="0" applyFill="true" applyFont="true" applyBorder="true">
      <alignment horizontal="general" vertical="top" indent="1" wrapText="false"/>
    </xf>
    <xf numFmtId="4" fontId="24" fillId="8" borderId="6" xfId="0" applyFill="true" applyFont="true" applyBorder="true" applyNumberFormat="true">
      <alignment horizontal="right" vertical="top" indent="1" wrapText="false"/>
    </xf>
    <xf numFmtId="4" fontId="25" fillId="8" borderId="6" xfId="0" applyFill="true" applyFont="true" applyBorder="true" applyNumberFormat="true">
      <alignment horizontal="right" vertical="top" indent="1" wrapText="false"/>
    </xf>
    <xf numFmtId="0" fontId="26" fillId="8" borderId="6" xfId="0" applyFill="true" applyFont="true" applyBorder="true">
      <alignment horizontal="general" vertical="top" indent="1" wrapText="false"/>
    </xf>
    <xf numFmtId="0" fontId="27" fillId="8" borderId="6" xfId="0" applyFill="true" applyFont="true" applyBorder="true">
      <alignment horizontal="general" vertical="top" indent="1" wrapText="false"/>
    </xf>
    <xf numFmtId="0" fontId="28" fillId="6" borderId="6" xfId="0" applyFill="true" applyFont="true" applyBorder="true">
      <alignment horizontal="left" vertical="top" indent="1" wrapText="false"/>
    </xf>
    <xf numFmtId="0" fontId="29" fillId="8" borderId="6" xfId="0" applyFill="true" applyFont="true" applyBorder="true">
      <alignment horizontal="left" vertical="top" indent="1" wrapText="false"/>
    </xf>
    <xf numFmtId="0" fontId="30" fillId="6" borderId="6" xfId="0" applyFill="true" applyFont="true" applyBorder="true">
      <alignment horizontal="left" vertical="top" indent="1" wrapText="false"/>
    </xf>
    <xf numFmtId="0" fontId="31" fillId="8" borderId="6" xfId="0" applyFill="true" applyFont="true" applyBorder="true">
      <alignment horizontal="left" vertical="top" indent="1" wrapText="false"/>
    </xf>
    <xf numFmtId="0" fontId="32" fillId="6" borderId="6" xfId="0" applyFill="true" applyFont="true" applyBorder="true">
      <alignment horizontal="left" vertical="top" indent="1" wrapText="false"/>
    </xf>
    <xf numFmtId="0" fontId="33" fillId="8" borderId="6" xfId="0" applyFill="true" applyFont="true" applyBorder="true">
      <alignment horizontal="left" vertical="top" indent="1" wrapText="false"/>
    </xf>
    <xf numFmtId="0" fontId="34" fillId="6" borderId="6" xfId="0" applyFill="true" applyFont="true" applyBorder="true">
      <alignment horizontal="left" vertical="top" indent="1" wrapText="false"/>
    </xf>
    <xf numFmtId="0" fontId="35" fillId="8" borderId="6" xfId="0" applyFill="true" applyFont="true" applyBorder="true">
      <alignment horizontal="left" vertical="top" indent="1" wrapText="false"/>
    </xf>
    <xf numFmtId="4" fontId="36" fillId="6" borderId="6" xfId="0" applyFill="true" applyFont="true" applyBorder="true" applyNumberFormat="true">
      <alignment horizontal="left" vertical="top" indent="1" wrapText="false"/>
    </xf>
    <xf numFmtId="4" fontId="37" fillId="8" borderId="6" xfId="0" applyFill="true" applyFont="true" applyBorder="true" applyNumberFormat="true">
      <alignment horizontal="left" vertical="top" indent="1" wrapText="false"/>
    </xf>
    <xf numFmtId="4" fontId="38" fillId="6" borderId="6" xfId="0" applyFill="true" applyFont="true" applyBorder="true" applyNumberFormat="true">
      <alignment horizontal="left" vertical="top" indent="1" wrapText="false"/>
    </xf>
    <xf numFmtId="4" fontId="39" fillId="8" borderId="6" xfId="0" applyFill="true" applyFont="true" applyBorder="true" applyNumberFormat="true">
      <alignment horizontal="left" vertical="top" indent="1" wrapText="false"/>
    </xf>
    <xf numFmtId="0" fontId="40" fillId="6" borderId="6" xfId="0" applyFill="true" applyFont="true" applyBorder="true">
      <alignment horizontal="left" vertical="top" indent="1" wrapText="false"/>
    </xf>
    <xf numFmtId="0" fontId="41" fillId="8" borderId="6" xfId="0" applyFill="true" applyFont="true" applyBorder="true">
      <alignment horizontal="left" vertical="top" indent="1" wrapText="false"/>
    </xf>
    <xf numFmtId="0" fontId="42" fillId="6" borderId="6" xfId="0" applyFill="true" applyFont="true" applyBorder="true">
      <alignment horizontal="left" vertical="top" indent="1" wrapText="false"/>
    </xf>
    <xf numFmtId="0" fontId="43" fillId="8" borderId="6" xfId="0" applyFill="true" applyFont="true" applyBorder="true">
      <alignment horizontal="left" vertical="top" indent="1" wrapText="false"/>
    </xf>
    <xf xmlns:x16r2="http://schemas.microsoft.com/office/spreadsheetml/2015/02/main" xmlns:xr="http://schemas.microsoft.com/office/spreadsheetml/2014/revision" numFmtId="0" fontId="44" fillId="2" borderId="0" xfId="0" applyFont="true" applyFill="true" applyBorder="true" applyNumberFormat="true"/>
    <xf xmlns:x16r2="http://schemas.microsoft.com/office/spreadsheetml/2015/02/main" xmlns:xr="http://schemas.microsoft.com/office/spreadsheetml/2014/revision" numFmtId="0" fontId="45" fillId="2" borderId="0" xfId="0" applyFont="true" applyFill="true" applyBorder="true" applyNumberFormat="true"/>
    <xf xmlns:x16r2="http://schemas.microsoft.com/office/spreadsheetml/2015/02/main" xmlns:xr="http://schemas.microsoft.com/office/spreadsheetml/2014/revision" numFmtId="0" fontId="46" fillId="2" borderId="0" xfId="1" applyFont="true" applyFill="true" applyAlignment="1" applyProtection="1" applyBorder="true" applyNumberFormat="true"/>
    <xf xmlns:x16r2="http://schemas.microsoft.com/office/spreadsheetml/2015/02/main" xmlns:xr="http://schemas.microsoft.com/office/spreadsheetml/2014/revision" numFmtId="0" fontId="47" fillId="2" borderId="0" xfId="0" applyFont="true" applyFill="true" applyBorder="true" applyNumberFormat="true"/>
    <xf xmlns:x16r2="http://schemas.microsoft.com/office/spreadsheetml/2015/02/main" xmlns:xr="http://schemas.microsoft.com/office/spreadsheetml/2014/revision" numFmtId="0" fontId="48" fillId="2" borderId="0" xfId="2" applyFont="true" applyFill="true" applyAlignment="1" applyProtection="1" applyBorder="true" applyNumberFormat="true"/>
    <xf xmlns:x16r2="http://schemas.microsoft.com/office/spreadsheetml/2015/02/main" xmlns:xr="http://schemas.microsoft.com/office/spreadsheetml/2014/revision" numFmtId="0" fontId="49" fillId="2" borderId="0" xfId="0" applyFont="true" applyFill="true" applyBorder="true" applyNumberFormat="true"/>
    <xf xmlns:x16r2="http://schemas.microsoft.com/office/spreadsheetml/2015/02/main" xmlns:xr="http://schemas.microsoft.com/office/spreadsheetml/2014/revision" numFmtId="0" fontId="50" fillId="2" borderId="0" xfId="0" applyFont="true" applyFill="true" applyBorder="true" applyNumberFormat="true"/>
    <xf xmlns:x16r2="http://schemas.microsoft.com/office/spreadsheetml/2015/02/main" xmlns:xr="http://schemas.microsoft.com/office/spreadsheetml/2014/revision" numFmtId="0" fontId="51" fillId="2" borderId="0" xfId="2" applyFont="true" applyFill="true" applyAlignment="1" applyProtection="1" applyBorder="true" applyNumberFormat="true"/>
    <xf xmlns:x16r2="http://schemas.microsoft.com/office/spreadsheetml/2015/02/main" xmlns:xr="http://schemas.microsoft.com/office/spreadsheetml/2014/revision" numFmtId="0" fontId="52" fillId="2" borderId="0" xfId="2" applyFont="true" applyFill="true" applyAlignment="1" applyProtection="1" applyBorder="true" applyNumberFormat="true"/>
    <xf xmlns:x16r2="http://schemas.microsoft.com/office/spreadsheetml/2015/02/main" xmlns:xr="http://schemas.microsoft.com/office/spreadsheetml/2014/revision" numFmtId="0" fontId="53" fillId="2" borderId="0" xfId="1" applyFont="true" applyFill="true" applyAlignment="1" applyProtection="1" applyBorder="true" applyNumberFormat="true"/>
    <xf xmlns:x16r2="http://schemas.microsoft.com/office/spreadsheetml/2015/02/main" xmlns:xr="http://schemas.microsoft.com/office/spreadsheetml/2014/revision" numFmtId="0" fontId="54" fillId="2" borderId="0" xfId="2" applyFont="true" applyFill="true" applyAlignment="1" applyProtection="1" applyBorder="true" applyNumberFormat="true"/>
    <xf numFmtId="0" fontId="55" fillId="0" borderId="0" xfId="0" applyFont="true">
      <alignment horizontal="general" vertical="bottom" wrapText="true"/>
    </xf>
  </cellXfs>
  <cellStyles count="2">
    <cellStyle name="Normal 2" xfId="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worksheets/sheet7.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1105877</xdr:colOff>
      <xdr:row>0</xdr:row>
      <xdr:rowOff>314325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https://my.pitchbook.com/?pcc=262698-40" TargetMode="External" Type="http://schemas.openxmlformats.org/officeDocument/2006/relationships/hyperlink"/></Relationships>
</file>

<file path=xl/worksheets/_rels/sheet7.xml.rels><?xml version="1.0" encoding="UTF-8" standalone="yes"?><Relationships xmlns="http://schemas.openxmlformats.org/package/2006/relationships"><Relationship Id="rId1" Target="https://pitchbook.com/subscription-agreement" TargetMode="External" Type="http://schemas.openxmlformats.org/officeDocument/2006/relationships/hyperlink"/><Relationship Id="rId2" Target="mailto:clientservices@pitchbook.com" TargetMode="External" Type="http://schemas.openxmlformats.org/officeDocument/2006/relationships/hyperlink"/><Relationship Id="rId3" Target="mailto:clientservices@pitchboo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showGridLines="0" tabSelected="false" workbookViewId="0">
      <selection activeCell="A1" sqref="A1"/>
    </sheetView>
  </sheetViews>
  <sheetFormatPr defaultRowHeight="15" x14ac:dyDescent="0.25"/>
  <cols>
    <col min="4" max="4" customWidth="true" width="19.65625" collapsed="true"/>
    <col min="3" max="3" customWidth="true" width="23.125" collapsed="true"/>
    <col min="1" max="1" customWidth="true" width="10.83984375" collapsed="false"/>
    <col min="2" max="2" customWidth="true" width="54.48828125" collapsed="false"/>
    <col min="7" max="7" customWidth="true" width="23.26953125" collapsed="false"/>
    <col min="5" max="5" width="15.17578125" customWidth="true"/>
    <col min="6" max="6" width="15.17578125" customWidth="true"/>
    <col min="8" max="8" width="19.80078125" customWidth="true"/>
  </cols>
  <sheetData>
    <row r="1" spans="1:7" ht="26.25" customHeight="1" x14ac:dyDescent="0.3">
      <c r="E1" s="4" t="s">
        <v>4</v>
      </c>
      <c r="F1" s="4"/>
      <c r="G1" s="4"/>
    </row>
    <row r="2" spans="1:7" ht="12" customHeight="1" x14ac:dyDescent="0.25"/>
    <row r="3" spans="1:7" ht="9.75" customHeight="1" x14ac:dyDescent="0.25">
      <c r="A3" s="6" t="s">
        <v>3</v>
      </c>
      <c r="B3" s="9" t="s">
        <v>6</v>
      </c>
      <c r="C3" s="8"/>
    </row>
    <row r="4" spans="1:7" x14ac:dyDescent="0.25">
      <c r="A4" s="5" t="s">
        <v>0</v>
      </c>
      <c r="B4" s="7" t="s">
        <v>5</v>
      </c>
      <c r="C4" s="7"/>
      <c r="D4" s="7"/>
    </row>
    <row r="5" spans="1:7" x14ac:dyDescent="0.25">
      <c r="B5" s="7"/>
      <c r="C5" s="7"/>
      <c r="D5" s="7"/>
      <c r="F5" s="1" t="s">
        <v>1</v>
      </c>
      <c r="G5" s="2" t="s">
        <v>7</v>
      </c>
    </row>
    <row r="6" spans="1:7" x14ac:dyDescent="0.25">
      <c r="B6" s="7"/>
      <c r="C6" s="7"/>
      <c r="D6" s="7"/>
      <c r="F6" s="1" t="s">
        <v>8</v>
      </c>
      <c r="G6" s="3" t="s">
        <v>9</v>
      </c>
    </row>
    <row r="8" spans="1:7" ht="35.0" customHeight="true" x14ac:dyDescent="0.25">
      <c r="A8" t="s" s="10">
        <v>10</v>
      </c>
      <c r="B8" t="s" s="10">
        <v>11</v>
      </c>
      <c r="C8" t="s" s="10">
        <v>12</v>
      </c>
      <c r="D8" t="s" s="10">
        <v>13</v>
      </c>
      <c r="E8" t="s" s="10">
        <v>14</v>
      </c>
      <c r="F8" t="s" s="10">
        <v>15</v>
      </c>
      <c r="G8" t="s" s="10">
        <v>16</v>
      </c>
      <c r="H8" t="s" s="11">
        <v>17</v>
      </c>
    </row>
    <row r="9">
      <c r="A9" s="13" t="inlineStr">
        <is>
          <t>10154-53</t>
        </is>
      </c>
      <c r="B9" s="14" t="inlineStr">
        <is>
          <t>Berkshire Hathaway (NYS: BRK.B)</t>
        </is>
      </c>
      <c r="C9" s="15" t="inlineStr">
        <is>
          <t>Omaha, NE</t>
        </is>
      </c>
      <c r="D9" s="16" t="inlineStr">
        <is>
          <t>68131</t>
        </is>
      </c>
      <c r="E9" s="17" t="n">
        <v>515561.34</v>
      </c>
      <c r="F9" s="18" t="n">
        <v>261008.0</v>
      </c>
      <c r="G9" s="19" t="inlineStr">
        <is>
          <t>Publicly Held</t>
        </is>
      </c>
      <c r="H9" s="43">
        <f>HYPERLINK("https://my.pitchbook.com?c=10154-53", "View company online")</f>
      </c>
    </row>
    <row r="10">
      <c r="A10" s="21" t="inlineStr">
        <is>
          <t>14203-99</t>
        </is>
      </c>
      <c r="B10" s="22" t="inlineStr">
        <is>
          <t>Cardinal Health (NYS: CAH)</t>
        </is>
      </c>
      <c r="C10" s="23" t="inlineStr">
        <is>
          <t>Dublin, OH</t>
        </is>
      </c>
      <c r="D10" s="24" t="inlineStr">
        <is>
          <t>43017</t>
        </is>
      </c>
      <c r="E10" s="25" t="n">
        <v>14740.1</v>
      </c>
      <c r="F10" s="26" t="n">
        <v>145534.0</v>
      </c>
      <c r="G10" s="27" t="inlineStr">
        <is>
          <t>Publicly Held</t>
        </is>
      </c>
      <c r="H10" s="44">
        <f>HYPERLINK("https://my.pitchbook.com?c=14203-99", "View company online")</f>
      </c>
    </row>
    <row r="11">
      <c r="A11" s="13" t="inlineStr">
        <is>
          <t>12853-18</t>
        </is>
      </c>
      <c r="B11" s="14" t="inlineStr">
        <is>
          <t>Kroger (NYS: KR)</t>
        </is>
      </c>
      <c r="C11" s="15" t="inlineStr">
        <is>
          <t>Cincinnati, OH</t>
        </is>
      </c>
      <c r="D11" s="16" t="inlineStr">
        <is>
          <t>45202</t>
        </is>
      </c>
      <c r="E11" s="17" t="n">
        <v>19327.09</v>
      </c>
      <c r="F11" s="18" t="n">
        <v>121182.0</v>
      </c>
      <c r="G11" s="19" t="inlineStr">
        <is>
          <t>Publicly Held</t>
        </is>
      </c>
      <c r="H11" s="43">
        <f>HYPERLINK("https://my.pitchbook.com?c=12853-18", "View company online")</f>
      </c>
    </row>
    <row r="12">
      <c r="A12" s="21" t="inlineStr">
        <is>
          <t>13383-64</t>
        </is>
      </c>
      <c r="B12" s="22" t="inlineStr">
        <is>
          <t>Express Scripts Holding</t>
        </is>
      </c>
      <c r="C12" s="23" t="inlineStr">
        <is>
          <t>Saint Louis, MO</t>
        </is>
      </c>
      <c r="D12" s="24" t="inlineStr">
        <is>
          <t>63121</t>
        </is>
      </c>
      <c r="E12" s="25" t="inlineStr">
        <is>
          <t/>
        </is>
      </c>
      <c r="F12" s="26" t="n">
        <v>101353.2</v>
      </c>
      <c r="G12" s="27" t="inlineStr">
        <is>
          <t>Acquired/Merged (Operating Subsidiary)</t>
        </is>
      </c>
      <c r="H12" s="44">
        <f>HYPERLINK("https://my.pitchbook.com?c=13383-64", "View company online")</f>
      </c>
    </row>
    <row r="13">
      <c r="A13" s="13" t="inlineStr">
        <is>
          <t>11457-46</t>
        </is>
      </c>
      <c r="B13" s="14" t="inlineStr">
        <is>
          <t>Anthem (NYS: ANTM)</t>
        </is>
      </c>
      <c r="C13" s="15" t="inlineStr">
        <is>
          <t>Indianapolis, IN</t>
        </is>
      </c>
      <c r="D13" s="16" t="inlineStr">
        <is>
          <t>46204</t>
        </is>
      </c>
      <c r="E13" s="17" t="n">
        <v>64739.66</v>
      </c>
      <c r="F13" s="18" t="n">
        <v>96756.0</v>
      </c>
      <c r="G13" s="19" t="inlineStr">
        <is>
          <t>Publicly Held</t>
        </is>
      </c>
      <c r="H13" s="43">
        <f>HYPERLINK("https://my.pitchbook.com?c=11457-46", "View company online")</f>
      </c>
    </row>
    <row r="14">
      <c r="A14" s="21" t="inlineStr">
        <is>
          <t>99763-84</t>
        </is>
      </c>
      <c r="B14" s="22" t="inlineStr">
        <is>
          <t>Bosch Rexroth</t>
        </is>
      </c>
      <c r="C14" s="23" t="inlineStr">
        <is>
          <t>Charlotte, NC</t>
        </is>
      </c>
      <c r="D14" s="24" t="inlineStr">
        <is>
          <t>28273</t>
        </is>
      </c>
      <c r="E14" s="25" t="inlineStr">
        <is>
          <t/>
        </is>
      </c>
      <c r="F14" s="26" t="n">
        <v>92635.21</v>
      </c>
      <c r="G14" s="27" t="inlineStr">
        <is>
          <t>Privately Held (no backing)</t>
        </is>
      </c>
      <c r="H14" s="44">
        <f>HYPERLINK("https://my.pitchbook.com?c=99763-84", "View company online")</f>
      </c>
    </row>
    <row r="15">
      <c r="A15" s="13" t="inlineStr">
        <is>
          <t>41173-48</t>
        </is>
      </c>
      <c r="B15" s="14" t="inlineStr">
        <is>
          <t>Lowe's Companies (NYS: LOW)</t>
        </is>
      </c>
      <c r="C15" s="15" t="inlineStr">
        <is>
          <t>Mooresville, NC</t>
        </is>
      </c>
      <c r="D15" s="16" t="inlineStr">
        <is>
          <t>28117</t>
        </is>
      </c>
      <c r="E15" s="17" t="n">
        <v>86402.86</v>
      </c>
      <c r="F15" s="18" t="n">
        <v>71795.0</v>
      </c>
      <c r="G15" s="19" t="inlineStr">
        <is>
          <t>Publicly Held</t>
        </is>
      </c>
      <c r="H15" s="43">
        <f>HYPERLINK("https://my.pitchbook.com?c=41173-48", "View company online")</f>
      </c>
    </row>
    <row r="16">
      <c r="A16" s="21" t="inlineStr">
        <is>
          <t>41049-46</t>
        </is>
      </c>
      <c r="B16" s="22" t="inlineStr">
        <is>
          <t>FedEx (NYS: FDX)</t>
        </is>
      </c>
      <c r="C16" s="23" t="inlineStr">
        <is>
          <t>Memphis, TN</t>
        </is>
      </c>
      <c r="D16" s="24" t="inlineStr">
        <is>
          <t>38120</t>
        </is>
      </c>
      <c r="E16" s="25" t="n">
        <v>39668.8</v>
      </c>
      <c r="F16" s="26" t="n">
        <v>69689.0</v>
      </c>
      <c r="G16" s="27" t="inlineStr">
        <is>
          <t>Publicly Held</t>
        </is>
      </c>
      <c r="H16" s="44">
        <f>HYPERLINK("https://my.pitchbook.com?c=41049-46", "View company online")</f>
      </c>
    </row>
    <row r="17">
      <c r="A17" s="13" t="inlineStr">
        <is>
          <t>41503-60</t>
        </is>
      </c>
      <c r="B17" s="14" t="inlineStr">
        <is>
          <t>Centene (NYS: CNC)</t>
        </is>
      </c>
      <c r="C17" s="15" t="inlineStr">
        <is>
          <t>Saint Louis, MO</t>
        </is>
      </c>
      <c r="D17" s="16" t="inlineStr">
        <is>
          <t>63105</t>
        </is>
      </c>
      <c r="E17" s="17" t="n">
        <v>18930.72</v>
      </c>
      <c r="F17" s="18" t="n">
        <v>69541.0</v>
      </c>
      <c r="G17" s="19" t="inlineStr">
        <is>
          <t>Publicly Held</t>
        </is>
      </c>
      <c r="H17" s="43">
        <f>HYPERLINK("https://my.pitchbook.com?c=41503-60", "View company online")</f>
      </c>
    </row>
    <row r="18">
      <c r="A18" s="21" t="inlineStr">
        <is>
          <t>10215-01</t>
        </is>
      </c>
      <c r="B18" s="22" t="inlineStr">
        <is>
          <t>Procter &amp; Gamble (NYS: PG)</t>
        </is>
      </c>
      <c r="C18" s="23" t="inlineStr">
        <is>
          <t>Cincinnati, OH</t>
        </is>
      </c>
      <c r="D18" s="24" t="inlineStr">
        <is>
          <t>45202</t>
        </is>
      </c>
      <c r="E18" s="25" t="n">
        <v>298013.55</v>
      </c>
      <c r="F18" s="26" t="n">
        <v>67684.0</v>
      </c>
      <c r="G18" s="27" t="inlineStr">
        <is>
          <t>Publicly Held</t>
        </is>
      </c>
      <c r="H18" s="44">
        <f>HYPERLINK("https://my.pitchbook.com?c=10215-01", "View company online")</f>
      </c>
    </row>
    <row r="19">
      <c r="A19" s="13" t="inlineStr">
        <is>
          <t>12264-49</t>
        </is>
      </c>
      <c r="B19" s="14" t="inlineStr">
        <is>
          <t>Humana (NYS: HUM)</t>
        </is>
      </c>
      <c r="C19" s="15" t="inlineStr">
        <is>
          <t>Louisville, KY</t>
        </is>
      </c>
      <c r="D19" s="16" t="inlineStr">
        <is>
          <t>40202</t>
        </is>
      </c>
      <c r="E19" s="17" t="n">
        <v>38790.89</v>
      </c>
      <c r="F19" s="18" t="n">
        <v>60726.0</v>
      </c>
      <c r="G19" s="19" t="inlineStr">
        <is>
          <t>Publicly Held</t>
        </is>
      </c>
      <c r="H19" s="43">
        <f>HYPERLINK("https://my.pitchbook.com?c=12264-49", "View company online")</f>
      </c>
    </row>
    <row r="20">
      <c r="A20" s="21" t="inlineStr">
        <is>
          <t>10441-90</t>
        </is>
      </c>
      <c r="B20" s="22" t="inlineStr">
        <is>
          <t>HCA Management Services (NYS: HCA)</t>
        </is>
      </c>
      <c r="C20" s="23" t="inlineStr">
        <is>
          <t>Nashville, TN</t>
        </is>
      </c>
      <c r="D20" s="24" t="inlineStr">
        <is>
          <t>37203</t>
        </is>
      </c>
      <c r="E20" s="25" t="n">
        <v>42148.88</v>
      </c>
      <c r="F20" s="26" t="n">
        <v>48844.0</v>
      </c>
      <c r="G20" s="27" t="inlineStr">
        <is>
          <t>Publicly Held</t>
        </is>
      </c>
      <c r="H20" s="44">
        <f>HYPERLINK("https://my.pitchbook.com?c=10441-90", "View company online")</f>
      </c>
    </row>
    <row r="21">
      <c r="A21" s="13" t="inlineStr">
        <is>
          <t>160602-13</t>
        </is>
      </c>
      <c r="B21" s="14" t="inlineStr">
        <is>
          <t>Bayer Crop Science U.S.</t>
        </is>
      </c>
      <c r="C21" s="15" t="inlineStr">
        <is>
          <t>Research Triangle Park, NC</t>
        </is>
      </c>
      <c r="D21" s="16" t="inlineStr">
        <is>
          <t>27709</t>
        </is>
      </c>
      <c r="E21" s="17" t="inlineStr">
        <is>
          <t/>
        </is>
      </c>
      <c r="F21" s="18" t="n">
        <v>46730.63</v>
      </c>
      <c r="G21" s="19" t="inlineStr">
        <is>
          <t>Privately Held (no backing)</t>
        </is>
      </c>
      <c r="H21" s="43">
        <f>HYPERLINK("https://my.pitchbook.com?c=160602-13", "View company online")</f>
      </c>
    </row>
    <row r="22">
      <c r="A22" s="21" t="inlineStr">
        <is>
          <t>10217-26</t>
        </is>
      </c>
      <c r="B22" s="22" t="inlineStr">
        <is>
          <t>Sprint (NYS: S)</t>
        </is>
      </c>
      <c r="C22" s="23" t="inlineStr">
        <is>
          <t>Overland Park, KS</t>
        </is>
      </c>
      <c r="D22" s="24" t="inlineStr">
        <is>
          <t>66251</t>
        </is>
      </c>
      <c r="E22" s="25" t="n">
        <v>26276.4</v>
      </c>
      <c r="F22" s="26" t="n">
        <v>33617.0</v>
      </c>
      <c r="G22" s="27" t="inlineStr">
        <is>
          <t>Publicly Held</t>
        </is>
      </c>
      <c r="H22" s="44">
        <f>HYPERLINK("https://my.pitchbook.com?c=10217-26", "View company online")</f>
      </c>
    </row>
    <row r="23">
      <c r="A23" s="13" t="inlineStr">
        <is>
          <t>61927-66</t>
        </is>
      </c>
      <c r="B23" s="14" t="inlineStr">
        <is>
          <t>GE Aviation</t>
        </is>
      </c>
      <c r="C23" s="15" t="inlineStr">
        <is>
          <t>Cincinnati, OH</t>
        </is>
      </c>
      <c r="D23" s="16" t="inlineStr">
        <is>
          <t>45215</t>
        </is>
      </c>
      <c r="E23" s="17" t="inlineStr">
        <is>
          <t/>
        </is>
      </c>
      <c r="F23" s="18" t="n">
        <v>30600.0</v>
      </c>
      <c r="G23" s="19" t="inlineStr">
        <is>
          <t>Privately Held (no backing)</t>
        </is>
      </c>
      <c r="H23" s="43">
        <f>HYPERLINK("https://my.pitchbook.com?c=61927-66", "View company online")</f>
      </c>
    </row>
    <row r="24">
      <c r="A24" s="21" t="inlineStr">
        <is>
          <t>10365-94</t>
        </is>
      </c>
      <c r="B24" s="22" t="inlineStr">
        <is>
          <t>Dollar General (NYS: DG)</t>
        </is>
      </c>
      <c r="C24" s="23" t="inlineStr">
        <is>
          <t>Goodlettsville, TN</t>
        </is>
      </c>
      <c r="D24" s="24" t="inlineStr">
        <is>
          <t>37072</t>
        </is>
      </c>
      <c r="E24" s="25" t="n">
        <v>42249.17</v>
      </c>
      <c r="F24" s="26" t="n">
        <v>26672.21</v>
      </c>
      <c r="G24" s="27" t="inlineStr">
        <is>
          <t>Publicly Held</t>
        </is>
      </c>
      <c r="H24" s="44">
        <f>HYPERLINK("https://my.pitchbook.com?c=10365-94", "View company online")</f>
      </c>
    </row>
    <row r="25">
      <c r="A25" s="13" t="inlineStr">
        <is>
          <t>41082-49</t>
        </is>
      </c>
      <c r="B25" s="14" t="inlineStr">
        <is>
          <t>Nucor (NYS: NUE)</t>
        </is>
      </c>
      <c r="C25" s="15" t="inlineStr">
        <is>
          <t>Charlotte, NC</t>
        </is>
      </c>
      <c r="D25" s="16" t="inlineStr">
        <is>
          <t>28211</t>
        </is>
      </c>
      <c r="E25" s="17" t="n">
        <v>15700.53</v>
      </c>
      <c r="F25" s="18" t="n">
        <v>25030.7</v>
      </c>
      <c r="G25" s="19" t="inlineStr">
        <is>
          <t>Publicly Held</t>
        </is>
      </c>
      <c r="H25" s="43">
        <f>HYPERLINK("https://my.pitchbook.com?c=41082-49", "View company online")</f>
      </c>
    </row>
    <row r="26">
      <c r="A26" s="21" t="inlineStr">
        <is>
          <t>10600-75</t>
        </is>
      </c>
      <c r="B26" s="22" t="inlineStr">
        <is>
          <t>Macy's (NYS: M)</t>
        </is>
      </c>
      <c r="C26" s="23" t="inlineStr">
        <is>
          <t>Cincinnati, OH</t>
        </is>
      </c>
      <c r="D26" s="24" t="inlineStr">
        <is>
          <t>45202</t>
        </is>
      </c>
      <c r="E26" s="25" t="n">
        <v>4766.56</v>
      </c>
      <c r="F26" s="26" t="n">
        <v>24909.0</v>
      </c>
      <c r="G26" s="27" t="inlineStr">
        <is>
          <t>Publicly Held</t>
        </is>
      </c>
      <c r="H26" s="44">
        <f>HYPERLINK("https://my.pitchbook.com?c=10600-75", "View company online")</f>
      </c>
    </row>
    <row r="27">
      <c r="A27" s="13" t="inlineStr">
        <is>
          <t>12781-09</t>
        </is>
      </c>
      <c r="B27" s="14" t="inlineStr">
        <is>
          <t>NGL Energy Partners (NYS: NGL)</t>
        </is>
      </c>
      <c r="C27" s="15" t="inlineStr">
        <is>
          <t>Tulsa, OK</t>
        </is>
      </c>
      <c r="D27" s="16" t="inlineStr">
        <is>
          <t>74136</t>
        </is>
      </c>
      <c r="E27" s="17" t="n">
        <v>1445.58</v>
      </c>
      <c r="F27" s="18" t="n">
        <v>24810.36</v>
      </c>
      <c r="G27" s="19" t="inlineStr">
        <is>
          <t>Publicly Held</t>
        </is>
      </c>
      <c r="H27" s="43">
        <f>HYPERLINK("https://my.pitchbook.com?c=12781-09", "View company online")</f>
      </c>
    </row>
    <row r="28">
      <c r="A28" s="21" t="inlineStr">
        <is>
          <t>11509-57</t>
        </is>
      </c>
      <c r="B28" s="22" t="inlineStr">
        <is>
          <t>Duke Energy (NYS: DUK)</t>
        </is>
      </c>
      <c r="C28" s="23" t="inlineStr">
        <is>
          <t>Charlotte, NC</t>
        </is>
      </c>
      <c r="D28" s="24" t="inlineStr">
        <is>
          <t>28202</t>
        </is>
      </c>
      <c r="E28" s="25" t="n">
        <v>69457.54</v>
      </c>
      <c r="F28" s="26" t="n">
        <v>24779.0</v>
      </c>
      <c r="G28" s="27" t="inlineStr">
        <is>
          <t>Publicly Held</t>
        </is>
      </c>
      <c r="H28" s="44">
        <f>HYPERLINK("https://my.pitchbook.com?c=11509-57", "View company online")</f>
      </c>
    </row>
    <row r="29">
      <c r="A29" s="13" t="inlineStr">
        <is>
          <t>41289-94</t>
        </is>
      </c>
      <c r="B29" s="14" t="inlineStr">
        <is>
          <t>Cummins (NYS: CMI)</t>
        </is>
      </c>
      <c r="C29" s="15" t="inlineStr">
        <is>
          <t>Columbus, IN</t>
        </is>
      </c>
      <c r="D29" s="16" t="inlineStr">
        <is>
          <t>47202</t>
        </is>
      </c>
      <c r="E29" s="17" t="n">
        <v>27031.95</v>
      </c>
      <c r="F29" s="18" t="n">
        <v>24294.0</v>
      </c>
      <c r="G29" s="19" t="inlineStr">
        <is>
          <t>Publicly Held</t>
        </is>
      </c>
      <c r="H29" s="43">
        <f>HYPERLINK("https://my.pitchbook.com?c=41289-94", "View company online")</f>
      </c>
    </row>
    <row r="30">
      <c r="A30" s="21" t="inlineStr">
        <is>
          <t>11565-19</t>
        </is>
      </c>
      <c r="B30" s="22" t="inlineStr">
        <is>
          <t>Eli Lilly (NYS: LLY)</t>
        </is>
      </c>
      <c r="C30" s="23" t="inlineStr">
        <is>
          <t>Indianapolis, IN</t>
        </is>
      </c>
      <c r="D30" s="24" t="inlineStr">
        <is>
          <t>46285</t>
        </is>
      </c>
      <c r="E30" s="25" t="n">
        <v>104179.87</v>
      </c>
      <c r="F30" s="26" t="n">
        <v>23229.4</v>
      </c>
      <c r="G30" s="27" t="inlineStr">
        <is>
          <t>Publicly Held</t>
        </is>
      </c>
      <c r="H30" s="44">
        <f>HYPERLINK("https://my.pitchbook.com?c=11565-19", "View company online")</f>
      </c>
    </row>
    <row r="31">
      <c r="A31" s="13" t="inlineStr">
        <is>
          <t>10593-10</t>
        </is>
      </c>
      <c r="B31" s="14" t="inlineStr">
        <is>
          <t>International Paper (NYS: IP)</t>
        </is>
      </c>
      <c r="C31" s="15" t="inlineStr">
        <is>
          <t>Memphis, TN</t>
        </is>
      </c>
      <c r="D31" s="16" t="inlineStr">
        <is>
          <t>38197</t>
        </is>
      </c>
      <c r="E31" s="17" t="n">
        <v>16609.12</v>
      </c>
      <c r="F31" s="18" t="n">
        <v>23162.0</v>
      </c>
      <c r="G31" s="19" t="inlineStr">
        <is>
          <t>Publicly Held</t>
        </is>
      </c>
      <c r="H31" s="43">
        <f>HYPERLINK("https://my.pitchbook.com?c=10593-10", "View company online")</f>
      </c>
    </row>
    <row r="32">
      <c r="A32" s="21" t="inlineStr">
        <is>
          <t>41123-17</t>
        </is>
      </c>
      <c r="B32" s="22" t="inlineStr">
        <is>
          <t>Union Pacific (NYS: UNP)</t>
        </is>
      </c>
      <c r="C32" s="23" t="inlineStr">
        <is>
          <t>Omaha, NE</t>
        </is>
      </c>
      <c r="D32" s="24" t="inlineStr">
        <is>
          <t>68179</t>
        </is>
      </c>
      <c r="E32" s="25" t="n">
        <v>115979.97</v>
      </c>
      <c r="F32" s="26" t="n">
        <v>22253.0</v>
      </c>
      <c r="G32" s="27" t="inlineStr">
        <is>
          <t>Publicly Held</t>
        </is>
      </c>
      <c r="H32" s="44">
        <f>HYPERLINK("https://my.pitchbook.com?c=41123-17", "View company online")</f>
      </c>
    </row>
    <row r="33">
      <c r="A33" s="13" t="inlineStr">
        <is>
          <t>11774-17</t>
        </is>
      </c>
      <c r="B33" s="14" t="inlineStr">
        <is>
          <t>Emerson (NYS: EMR)</t>
        </is>
      </c>
      <c r="C33" s="15" t="inlineStr">
        <is>
          <t>Saint Louis, MO</t>
        </is>
      </c>
      <c r="D33" s="16" t="inlineStr">
        <is>
          <t>63136</t>
        </is>
      </c>
      <c r="E33" s="17" t="n">
        <v>42706.49</v>
      </c>
      <c r="F33" s="18" t="n">
        <v>18289.0</v>
      </c>
      <c r="G33" s="19" t="inlineStr">
        <is>
          <t>Publicly Held</t>
        </is>
      </c>
      <c r="H33" s="43">
        <f>HYPERLINK("https://my.pitchbook.com?c=11774-17", "View company online")</f>
      </c>
    </row>
    <row r="34">
      <c r="A34" s="21" t="inlineStr">
        <is>
          <t>11077-84</t>
        </is>
      </c>
      <c r="B34" s="22" t="inlineStr">
        <is>
          <t>Automatic Data Processing (NAS: ADP)</t>
        </is>
      </c>
      <c r="C34" s="23" t="inlineStr">
        <is>
          <t>Birmingham, AL</t>
        </is>
      </c>
      <c r="D34" s="24" t="inlineStr">
        <is>
          <t>35242</t>
        </is>
      </c>
      <c r="E34" s="25" t="n">
        <v>70272.26</v>
      </c>
      <c r="F34" s="26" t="n">
        <v>14175.2</v>
      </c>
      <c r="G34" s="27" t="inlineStr">
        <is>
          <t>Publicly Held</t>
        </is>
      </c>
      <c r="H34" s="44">
        <f>HYPERLINK("https://my.pitchbook.com?c=11077-84", "View company online")</f>
      </c>
    </row>
    <row r="35">
      <c r="A35" s="13" t="inlineStr">
        <is>
          <t>11035-81</t>
        </is>
      </c>
      <c r="B35" s="14" t="inlineStr">
        <is>
          <t>Community Health Systems (NYS: CYH)</t>
        </is>
      </c>
      <c r="C35" s="15" t="inlineStr">
        <is>
          <t>Franklin, TN</t>
        </is>
      </c>
      <c r="D35" s="16" t="inlineStr">
        <is>
          <t>37067</t>
        </is>
      </c>
      <c r="E35" s="17" t="n">
        <v>505.26</v>
      </c>
      <c r="F35" s="18" t="n">
        <v>13583.0</v>
      </c>
      <c r="G35" s="19" t="inlineStr">
        <is>
          <t>Publicly Held</t>
        </is>
      </c>
      <c r="H35" s="43">
        <f>HYPERLINK("https://my.pitchbook.com?c=11035-81", "View company online")</f>
      </c>
    </row>
    <row r="36">
      <c r="A36" s="21" t="inlineStr">
        <is>
          <t>10219-51</t>
        </is>
      </c>
      <c r="B36" s="22" t="inlineStr">
        <is>
          <t>VF Corporation (NYS: VFC)</t>
        </is>
      </c>
      <c r="C36" s="23" t="inlineStr">
        <is>
          <t>Greensboro, NC</t>
        </is>
      </c>
      <c r="D36" s="24" t="inlineStr">
        <is>
          <t>27408</t>
        </is>
      </c>
      <c r="E36" s="25" t="n">
        <v>37197.65</v>
      </c>
      <c r="F36" s="26" t="n">
        <v>13331.99</v>
      </c>
      <c r="G36" s="27" t="inlineStr">
        <is>
          <t>Publicly Held</t>
        </is>
      </c>
      <c r="H36" s="44">
        <f>HYPERLINK("https://my.pitchbook.com?c=10219-51", "View company online")</f>
      </c>
    </row>
    <row r="37">
      <c r="A37" s="13" t="inlineStr">
        <is>
          <t>10308-97</t>
        </is>
      </c>
      <c r="B37" s="14" t="inlineStr">
        <is>
          <t>L Brands (NYS: LB)</t>
        </is>
      </c>
      <c r="C37" s="15" t="inlineStr">
        <is>
          <t>Columbus, OH</t>
        </is>
      </c>
      <c r="D37" s="16" t="inlineStr">
        <is>
          <t>43230</t>
        </is>
      </c>
      <c r="E37" s="17" t="n">
        <v>4588.1</v>
      </c>
      <c r="F37" s="18" t="n">
        <v>13157.0</v>
      </c>
      <c r="G37" s="19" t="inlineStr">
        <is>
          <t>Publicly Held</t>
        </is>
      </c>
      <c r="H37" s="43">
        <f>HYPERLINK("https://my.pitchbook.com?c=10308-97", "View company online")</f>
      </c>
    </row>
    <row r="38">
      <c r="A38" s="21" t="inlineStr">
        <is>
          <t>12806-56</t>
        </is>
      </c>
      <c r="B38" s="22" t="inlineStr">
        <is>
          <t>CSX (freight transportation) (NAS: CSX)</t>
        </is>
      </c>
      <c r="C38" s="23" t="inlineStr">
        <is>
          <t>Jacksonville, FL</t>
        </is>
      </c>
      <c r="D38" s="24" t="inlineStr">
        <is>
          <t>32202</t>
        </is>
      </c>
      <c r="E38" s="25" t="n">
        <v>55350.31</v>
      </c>
      <c r="F38" s="26" t="n">
        <v>12195.0</v>
      </c>
      <c r="G38" s="27" t="inlineStr">
        <is>
          <t>Publicly Held</t>
        </is>
      </c>
      <c r="H38" s="44">
        <f>HYPERLINK("https://my.pitchbook.com?c=12806-56", "View company online")</f>
      </c>
    </row>
    <row r="39">
      <c r="A39" s="13" t="inlineStr">
        <is>
          <t>10296-82</t>
        </is>
      </c>
      <c r="B39" s="14" t="inlineStr">
        <is>
          <t>Tenaska</t>
        </is>
      </c>
      <c r="C39" s="15" t="inlineStr">
        <is>
          <t>Omaha, NE</t>
        </is>
      </c>
      <c r="D39" s="16" t="inlineStr">
        <is>
          <t>68154</t>
        </is>
      </c>
      <c r="E39" s="17" t="inlineStr">
        <is>
          <t/>
        </is>
      </c>
      <c r="F39" s="18" t="n">
        <v>11900.0</v>
      </c>
      <c r="G39" s="19" t="inlineStr">
        <is>
          <t>Privately Held (no backing)</t>
        </is>
      </c>
      <c r="H39" s="43">
        <f>HYPERLINK("https://my.pitchbook.com?c=10296-82", "View company online")</f>
      </c>
    </row>
    <row r="40">
      <c r="A40" s="21" t="inlineStr">
        <is>
          <t>11023-66</t>
        </is>
      </c>
      <c r="B40" s="22" t="inlineStr">
        <is>
          <t>AutoZone (NYS: AZO)</t>
        </is>
      </c>
      <c r="C40" s="23" t="inlineStr">
        <is>
          <t>Memphis, TN</t>
        </is>
      </c>
      <c r="D40" s="24" t="inlineStr">
        <is>
          <t>38103</t>
        </is>
      </c>
      <c r="E40" s="25" t="n">
        <v>26680.26</v>
      </c>
      <c r="F40" s="26" t="n">
        <v>11863.74</v>
      </c>
      <c r="G40" s="27" t="inlineStr">
        <is>
          <t>Publicly Held</t>
        </is>
      </c>
      <c r="H40" s="44">
        <f>HYPERLINK("https://my.pitchbook.com?c=11023-66", "View company online")</f>
      </c>
    </row>
    <row r="41">
      <c r="A41" s="13" t="inlineStr">
        <is>
          <t>40782-70</t>
        </is>
      </c>
      <c r="B41" s="14" t="inlineStr">
        <is>
          <t>Branch Banking and Trust (NYS: BBT)</t>
        </is>
      </c>
      <c r="C41" s="15" t="inlineStr">
        <is>
          <t>Winston-Salem, NC</t>
        </is>
      </c>
      <c r="D41" s="16" t="inlineStr">
        <is>
          <t>27101</t>
        </is>
      </c>
      <c r="E41" s="17" t="n">
        <v>40958.9</v>
      </c>
      <c r="F41" s="18" t="n">
        <v>11777.0</v>
      </c>
      <c r="G41" s="19" t="inlineStr">
        <is>
          <t>Publicly Held</t>
        </is>
      </c>
      <c r="H41" s="43">
        <f>HYPERLINK("https://my.pitchbook.com?c=40782-70", "View company online")</f>
      </c>
    </row>
    <row r="42">
      <c r="A42" s="21" t="inlineStr">
        <is>
          <t>10944-55</t>
        </is>
      </c>
      <c r="B42" s="22" t="inlineStr">
        <is>
          <t>ONEOK (NYS: OKE)</t>
        </is>
      </c>
      <c r="C42" s="23" t="inlineStr">
        <is>
          <t>Tulsa, OK</t>
        </is>
      </c>
      <c r="D42" s="24" t="inlineStr">
        <is>
          <t>74103</t>
        </is>
      </c>
      <c r="E42" s="25" t="n">
        <v>28742.59</v>
      </c>
      <c r="F42" s="26" t="n">
        <v>11768.12</v>
      </c>
      <c r="G42" s="27" t="inlineStr">
        <is>
          <t>Publicly Held</t>
        </is>
      </c>
      <c r="H42" s="44">
        <f>HYPERLINK("https://my.pitchbook.com?c=10944-55", "View company online")</f>
      </c>
    </row>
    <row r="43">
      <c r="A43" s="13" t="inlineStr">
        <is>
          <t>41152-24</t>
        </is>
      </c>
      <c r="B43" s="14" t="inlineStr">
        <is>
          <t>Laboratory Corporation of America Holdings (NYS: LH)</t>
        </is>
      </c>
      <c r="C43" s="15" t="inlineStr">
        <is>
          <t>Burlington, NC</t>
        </is>
      </c>
      <c r="D43" s="16" t="inlineStr">
        <is>
          <t>27216</t>
        </is>
      </c>
      <c r="E43" s="17" t="n">
        <v>16417.51</v>
      </c>
      <c r="F43" s="18" t="n">
        <v>11291.7</v>
      </c>
      <c r="G43" s="19" t="inlineStr">
        <is>
          <t>Publicly Held</t>
        </is>
      </c>
      <c r="H43" s="43">
        <f>HYPERLINK("https://my.pitchbook.com?c=41152-24", "View company online")</f>
      </c>
    </row>
    <row r="44">
      <c r="A44" s="21" t="inlineStr">
        <is>
          <t>11610-46</t>
        </is>
      </c>
      <c r="B44" s="22" t="inlineStr">
        <is>
          <t>Tennessee Valley Authority</t>
        </is>
      </c>
      <c r="C44" s="23" t="inlineStr">
        <is>
          <t>Knoxville, TN</t>
        </is>
      </c>
      <c r="D44" s="24" t="inlineStr">
        <is>
          <t>37902</t>
        </is>
      </c>
      <c r="E44" s="25" t="inlineStr">
        <is>
          <t/>
        </is>
      </c>
      <c r="F44" s="26" t="n">
        <v>11264.0</v>
      </c>
      <c r="G44" s="27" t="inlineStr">
        <is>
          <t>Publicly Held</t>
        </is>
      </c>
      <c r="H44" s="44">
        <f>HYPERLINK("https://my.pitchbook.com?c=11610-46", "View company online")</f>
      </c>
    </row>
    <row r="45">
      <c r="A45" s="13" t="inlineStr">
        <is>
          <t>11555-74</t>
        </is>
      </c>
      <c r="B45" s="14" t="inlineStr">
        <is>
          <t>Progress Energy</t>
        </is>
      </c>
      <c r="C45" s="15" t="inlineStr">
        <is>
          <t>Raleigh, NC</t>
        </is>
      </c>
      <c r="D45" s="16" t="inlineStr">
        <is>
          <t>27602</t>
        </is>
      </c>
      <c r="E45" s="17" t="inlineStr">
        <is>
          <t/>
        </is>
      </c>
      <c r="F45" s="18" t="n">
        <v>10970.0</v>
      </c>
      <c r="G45" s="19" t="inlineStr">
        <is>
          <t>Acquired/Merged (Operating Subsidiary)</t>
        </is>
      </c>
      <c r="H45" s="43">
        <f>HYPERLINK("https://my.pitchbook.com?c=11555-74", "View company online")</f>
      </c>
    </row>
    <row r="46">
      <c r="A46" s="21" t="inlineStr">
        <is>
          <t>41183-20</t>
        </is>
      </c>
      <c r="B46" s="22" t="inlineStr">
        <is>
          <t>Sonic Automotive (NYS: SAH)</t>
        </is>
      </c>
      <c r="C46" s="23" t="inlineStr">
        <is>
          <t>Charlotte, NC</t>
        </is>
      </c>
      <c r="D46" s="24" t="inlineStr">
        <is>
          <t>28211</t>
        </is>
      </c>
      <c r="E46" s="25" t="n">
        <v>1293.86</v>
      </c>
      <c r="F46" s="26" t="n">
        <v>10048.33</v>
      </c>
      <c r="G46" s="27" t="inlineStr">
        <is>
          <t>Publicly Held</t>
        </is>
      </c>
      <c r="H46" s="44">
        <f>HYPERLINK("https://my.pitchbook.com?c=41183-20", "View company online")</f>
      </c>
    </row>
    <row r="47">
      <c r="A47" s="13" t="inlineStr">
        <is>
          <t>11783-53</t>
        </is>
      </c>
      <c r="B47" s="14" t="inlineStr">
        <is>
          <t>Chesapeake Energy (NYS: CHK)</t>
        </is>
      </c>
      <c r="C47" s="15" t="inlineStr">
        <is>
          <t>Oklahoma City, OK</t>
        </is>
      </c>
      <c r="D47" s="16" t="inlineStr">
        <is>
          <t>73154</t>
        </is>
      </c>
      <c r="E47" s="17" t="n">
        <v>2657.21</v>
      </c>
      <c r="F47" s="18" t="n">
        <v>10019.0</v>
      </c>
      <c r="G47" s="19" t="inlineStr">
        <is>
          <t>Publicly Held</t>
        </is>
      </c>
      <c r="H47" s="43">
        <f>HYPERLINK("https://my.pitchbook.com?c=11783-53", "View company online")</f>
      </c>
    </row>
    <row r="48">
      <c r="A48" s="21" t="inlineStr">
        <is>
          <t>55946-17</t>
        </is>
      </c>
      <c r="B48" s="22" t="inlineStr">
        <is>
          <t>World Wide Technology</t>
        </is>
      </c>
      <c r="C48" s="23" t="inlineStr">
        <is>
          <t>Saint Louis, MO</t>
        </is>
      </c>
      <c r="D48" s="24" t="inlineStr">
        <is>
          <t>63043</t>
        </is>
      </c>
      <c r="E48" s="25" t="inlineStr">
        <is>
          <t/>
        </is>
      </c>
      <c r="F48" s="26" t="n">
        <v>10000.0</v>
      </c>
      <c r="G48" s="27" t="inlineStr">
        <is>
          <t>Privately Held (no backing)</t>
        </is>
      </c>
      <c r="H48" s="44">
        <f>HYPERLINK("https://my.pitchbook.com?c=55946-17", "View company online")</f>
      </c>
    </row>
    <row r="49">
      <c r="A49" s="13" t="inlineStr">
        <is>
          <t>42065-11</t>
        </is>
      </c>
      <c r="B49" s="14" t="inlineStr">
        <is>
          <t>Delek US Holdings (NYS: DK)</t>
        </is>
      </c>
      <c r="C49" s="15" t="inlineStr">
        <is>
          <t>Brentwood, TN</t>
        </is>
      </c>
      <c r="D49" s="16" t="inlineStr">
        <is>
          <t>37027</t>
        </is>
      </c>
      <c r="E49" s="17" t="n">
        <v>2858.97</v>
      </c>
      <c r="F49" s="18" t="n">
        <v>9996.6</v>
      </c>
      <c r="G49" s="19" t="inlineStr">
        <is>
          <t>Publicly Held</t>
        </is>
      </c>
      <c r="H49" s="43">
        <f>HYPERLINK("https://my.pitchbook.com?c=42065-11", "View company online")</f>
      </c>
    </row>
    <row r="50">
      <c r="A50" s="21" t="inlineStr">
        <is>
          <t>11808-01</t>
        </is>
      </c>
      <c r="B50" s="22" t="inlineStr">
        <is>
          <t>Devon Energy (NYS: DVN)</t>
        </is>
      </c>
      <c r="C50" s="23" t="inlineStr">
        <is>
          <t>Oklahoma City, OK</t>
        </is>
      </c>
      <c r="D50" s="24" t="inlineStr">
        <is>
          <t>73102</t>
        </is>
      </c>
      <c r="E50" s="25" t="n">
        <v>8181.01</v>
      </c>
      <c r="F50" s="26" t="n">
        <v>9436.0</v>
      </c>
      <c r="G50" s="27" t="inlineStr">
        <is>
          <t>Publicly Held</t>
        </is>
      </c>
      <c r="H50" s="44">
        <f>HYPERLINK("https://my.pitchbook.com?c=11808-01", "View company online")</f>
      </c>
    </row>
    <row r="51">
      <c r="A51" s="13" t="inlineStr">
        <is>
          <t>10321-93</t>
        </is>
      </c>
      <c r="B51" s="14" t="inlineStr">
        <is>
          <t>The Williams Companies (NYS: WMB)</t>
        </is>
      </c>
      <c r="C51" s="15" t="inlineStr">
        <is>
          <t>Tulsa, OK</t>
        </is>
      </c>
      <c r="D51" s="16" t="inlineStr">
        <is>
          <t>74172</t>
        </is>
      </c>
      <c r="E51" s="17" t="n">
        <v>27925.0</v>
      </c>
      <c r="F51" s="18" t="n">
        <v>8602.0</v>
      </c>
      <c r="G51" s="19" t="inlineStr">
        <is>
          <t>Publicly Held</t>
        </is>
      </c>
      <c r="H51" s="43">
        <f>HYPERLINK("https://my.pitchbook.com?c=10321-93", "View company online")</f>
      </c>
    </row>
    <row r="52">
      <c r="A52" s="21" t="inlineStr">
        <is>
          <t>52470-64</t>
        </is>
      </c>
      <c r="B52" s="22" t="inlineStr">
        <is>
          <t>Brighthouse Financial (NAS: BHF)</t>
        </is>
      </c>
      <c r="C52" s="23" t="inlineStr">
        <is>
          <t>Charlotte, NC</t>
        </is>
      </c>
      <c r="D52" s="24" t="inlineStr">
        <is>
          <t>28277</t>
        </is>
      </c>
      <c r="E52" s="25" t="n">
        <v>4199.05</v>
      </c>
      <c r="F52" s="26" t="n">
        <v>8509.0</v>
      </c>
      <c r="G52" s="27" t="inlineStr">
        <is>
          <t>Publicly Held</t>
        </is>
      </c>
      <c r="H52" s="44">
        <f>HYPERLINK("https://my.pitchbook.com?c=52470-64", "View company online")</f>
      </c>
    </row>
    <row r="53">
      <c r="A53" s="13" t="inlineStr">
        <is>
          <t>11787-22</t>
        </is>
      </c>
      <c r="B53" s="14" t="inlineStr">
        <is>
          <t>Fidelity National Information Services (NYS: FIS)</t>
        </is>
      </c>
      <c r="C53" s="15" t="inlineStr">
        <is>
          <t>Jacksonville, FL</t>
        </is>
      </c>
      <c r="D53" s="16" t="inlineStr">
        <is>
          <t>32204</t>
        </is>
      </c>
      <c r="E53" s="17" t="n">
        <v>79029.99</v>
      </c>
      <c r="F53" s="18" t="n">
        <v>8420.0</v>
      </c>
      <c r="G53" s="19" t="inlineStr">
        <is>
          <t>Publicly Held</t>
        </is>
      </c>
      <c r="H53" s="43">
        <f>HYPERLINK("https://my.pitchbook.com?c=11787-22", "View company online")</f>
      </c>
    </row>
    <row r="54">
      <c r="A54" s="21" t="inlineStr">
        <is>
          <t>41374-81</t>
        </is>
      </c>
      <c r="B54" s="22" t="inlineStr">
        <is>
          <t>SpartanNash (NAS: SPTN)</t>
        </is>
      </c>
      <c r="C54" s="23" t="inlineStr">
        <is>
          <t>Grand Rapids, MI</t>
        </is>
      </c>
      <c r="D54" s="24" t="inlineStr">
        <is>
          <t>49518</t>
        </is>
      </c>
      <c r="E54" s="25" t="n">
        <v>474.16</v>
      </c>
      <c r="F54" s="26" t="n">
        <v>8321.83</v>
      </c>
      <c r="G54" s="27" t="inlineStr">
        <is>
          <t>Publicly Held</t>
        </is>
      </c>
      <c r="H54" s="44">
        <f>HYPERLINK("https://my.pitchbook.com?c=41374-81", "View company online")</f>
      </c>
    </row>
    <row r="55">
      <c r="A55" s="13" t="inlineStr">
        <is>
          <t>41226-85</t>
        </is>
      </c>
      <c r="B55" s="14" t="inlineStr">
        <is>
          <t>Tractor Supply (NAS: TSCO)</t>
        </is>
      </c>
      <c r="C55" s="15" t="inlineStr">
        <is>
          <t>Brentwood, TN</t>
        </is>
      </c>
      <c r="D55" s="16" t="inlineStr">
        <is>
          <t>37027</t>
        </is>
      </c>
      <c r="E55" s="17" t="n">
        <v>11024.85</v>
      </c>
      <c r="F55" s="18" t="n">
        <v>8190.9</v>
      </c>
      <c r="G55" s="19" t="inlineStr">
        <is>
          <t>Publicly Held</t>
        </is>
      </c>
      <c r="H55" s="43">
        <f>HYPERLINK("https://my.pitchbook.com?c=41226-85", "View company online")</f>
      </c>
    </row>
    <row r="56">
      <c r="A56" s="21" t="inlineStr">
        <is>
          <t>10195-21</t>
        </is>
      </c>
      <c r="B56" s="22" t="inlineStr">
        <is>
          <t>IASIS Healthcare</t>
        </is>
      </c>
      <c r="C56" s="23" t="inlineStr">
        <is>
          <t>Franklin, TN</t>
        </is>
      </c>
      <c r="D56" s="24" t="inlineStr">
        <is>
          <t>37067</t>
        </is>
      </c>
      <c r="E56" s="25" t="inlineStr">
        <is>
          <t/>
        </is>
      </c>
      <c r="F56" s="26" t="n">
        <v>8000.0</v>
      </c>
      <c r="G56" s="27" t="inlineStr">
        <is>
          <t>Acquired/Merged</t>
        </is>
      </c>
      <c r="H56" s="44">
        <f>HYPERLINK("https://my.pitchbook.com?c=10195-21", "View company online")</f>
      </c>
    </row>
    <row r="57">
      <c r="A57" s="13" t="inlineStr">
        <is>
          <t>10387-09</t>
        </is>
      </c>
      <c r="B57" s="14" t="inlineStr">
        <is>
          <t>American Financial Group (NYS: AFG)</t>
        </is>
      </c>
      <c r="C57" s="15" t="inlineStr">
        <is>
          <t>Cincinnati, OH</t>
        </is>
      </c>
      <c r="D57" s="16" t="inlineStr">
        <is>
          <t>45202</t>
        </is>
      </c>
      <c r="E57" s="17" t="n">
        <v>9418.71</v>
      </c>
      <c r="F57" s="18" t="n">
        <v>7682.0</v>
      </c>
      <c r="G57" s="19" t="inlineStr">
        <is>
          <t>Publicly Held</t>
        </is>
      </c>
      <c r="H57" s="43">
        <f>HYPERLINK("https://my.pitchbook.com?c=10387-09", "View company online")</f>
      </c>
    </row>
    <row r="58">
      <c r="A58" s="21" t="inlineStr">
        <is>
          <t>10924-21</t>
        </is>
      </c>
      <c r="B58" s="22" t="inlineStr">
        <is>
          <t>Fidelity National Financial (NYS: FNF)</t>
        </is>
      </c>
      <c r="C58" s="23" t="inlineStr">
        <is>
          <t>Jacksonville, FL</t>
        </is>
      </c>
      <c r="D58" s="24" t="inlineStr">
        <is>
          <t>32204</t>
        </is>
      </c>
      <c r="E58" s="25" t="n">
        <v>12554.56</v>
      </c>
      <c r="F58" s="26" t="n">
        <v>7644.0</v>
      </c>
      <c r="G58" s="27" t="inlineStr">
        <is>
          <t>Publicly Held</t>
        </is>
      </c>
      <c r="H58" s="44">
        <f>HYPERLINK("https://my.pitchbook.com?c=10924-21", "View company online")</f>
      </c>
    </row>
    <row r="59">
      <c r="A59" s="13" t="inlineStr">
        <is>
          <t>42042-07</t>
        </is>
      </c>
      <c r="B59" s="14" t="inlineStr">
        <is>
          <t>LifePoint Health</t>
        </is>
      </c>
      <c r="C59" s="15" t="inlineStr">
        <is>
          <t>Brentwood, TN</t>
        </is>
      </c>
      <c r="D59" s="16" t="inlineStr">
        <is>
          <t>37027</t>
        </is>
      </c>
      <c r="E59" s="17" t="inlineStr">
        <is>
          <t/>
        </is>
      </c>
      <c r="F59" s="18" t="n">
        <v>7191.7</v>
      </c>
      <c r="G59" s="19" t="inlineStr">
        <is>
          <t>Privately Held (backing)</t>
        </is>
      </c>
      <c r="H59" s="43">
        <f>HYPERLINK("https://my.pitchbook.com?c=42042-07", "View company online")</f>
      </c>
    </row>
    <row r="60">
      <c r="A60" s="21" t="inlineStr">
        <is>
          <t>41168-44</t>
        </is>
      </c>
      <c r="B60" s="22" t="inlineStr">
        <is>
          <t>Cintas (NAS: CTAS)</t>
        </is>
      </c>
      <c r="C60" s="23" t="inlineStr">
        <is>
          <t>Cincinnati, OH</t>
        </is>
      </c>
      <c r="D60" s="24" t="inlineStr">
        <is>
          <t>45262</t>
        </is>
      </c>
      <c r="E60" s="25" t="n">
        <v>27943.87</v>
      </c>
      <c r="F60" s="26" t="n">
        <v>7005.47</v>
      </c>
      <c r="G60" s="27" t="inlineStr">
        <is>
          <t>Publicly Held</t>
        </is>
      </c>
      <c r="H60" s="44">
        <f>HYPERLINK("https://my.pitchbook.com?c=41168-44", "View company online")</f>
      </c>
    </row>
    <row r="61">
      <c r="A61" s="13" t="inlineStr">
        <is>
          <t>11477-89</t>
        </is>
      </c>
      <c r="B61" s="14" t="inlineStr">
        <is>
          <t>AK Steel Holding (NYS: AKS)</t>
        </is>
      </c>
      <c r="C61" s="15" t="inlineStr">
        <is>
          <t>West Chester, OH</t>
        </is>
      </c>
      <c r="D61" s="16" t="inlineStr">
        <is>
          <t>45069</t>
        </is>
      </c>
      <c r="E61" s="17" t="n">
        <v>790.96</v>
      </c>
      <c r="F61" s="18" t="n">
        <v>6790.9</v>
      </c>
      <c r="G61" s="19" t="inlineStr">
        <is>
          <t>Publicly Held</t>
        </is>
      </c>
      <c r="H61" s="43">
        <f>HYPERLINK("https://my.pitchbook.com?c=11477-89", "View company online")</f>
      </c>
    </row>
    <row r="62">
      <c r="A62" s="21" t="inlineStr">
        <is>
          <t>10360-36</t>
        </is>
      </c>
      <c r="B62" s="22" t="inlineStr">
        <is>
          <t>Alliance Data Systems (NYS: ADS)</t>
        </is>
      </c>
      <c r="C62" s="23" t="inlineStr">
        <is>
          <t>Columbus, OH</t>
        </is>
      </c>
      <c r="D62" s="24" t="inlineStr">
        <is>
          <t>43219</t>
        </is>
      </c>
      <c r="E62" s="25" t="n">
        <v>6375.45</v>
      </c>
      <c r="F62" s="26" t="n">
        <v>6685.8</v>
      </c>
      <c r="G62" s="27" t="inlineStr">
        <is>
          <t>Publicly Held</t>
        </is>
      </c>
      <c r="H62" s="44">
        <f>HYPERLINK("https://my.pitchbook.com?c=10360-36", "View company online")</f>
      </c>
    </row>
    <row r="63">
      <c r="A63" s="13" t="inlineStr">
        <is>
          <t>41286-52</t>
        </is>
      </c>
      <c r="B63" s="14" t="inlineStr">
        <is>
          <t>Seaboard (ASE: SEB)</t>
        </is>
      </c>
      <c r="C63" s="15" t="inlineStr">
        <is>
          <t>Mission, KS</t>
        </is>
      </c>
      <c r="D63" s="16" t="inlineStr">
        <is>
          <t>66202</t>
        </is>
      </c>
      <c r="E63" s="17" t="n">
        <v>4894.31</v>
      </c>
      <c r="F63" s="18" t="n">
        <v>6678.0</v>
      </c>
      <c r="G63" s="19" t="inlineStr">
        <is>
          <t>Publicly Held</t>
        </is>
      </c>
      <c r="H63" s="43">
        <f>HYPERLINK("https://my.pitchbook.com?c=41286-52", "View company online")</f>
      </c>
    </row>
    <row r="64">
      <c r="A64" s="21" t="inlineStr">
        <is>
          <t>10798-75</t>
        </is>
      </c>
      <c r="B64" s="22" t="inlineStr">
        <is>
          <t>Olin (NYS: OLN)</t>
        </is>
      </c>
      <c r="C64" s="23" t="inlineStr">
        <is>
          <t>Clayton, MO</t>
        </is>
      </c>
      <c r="D64" s="24" t="inlineStr">
        <is>
          <t>63105</t>
        </is>
      </c>
      <c r="E64" s="25" t="n">
        <v>3013.23</v>
      </c>
      <c r="F64" s="26" t="n">
        <v>6653.7</v>
      </c>
      <c r="G64" s="27" t="inlineStr">
        <is>
          <t>Publicly Held</t>
        </is>
      </c>
      <c r="H64" s="44">
        <f>HYPERLINK("https://my.pitchbook.com?c=10798-75", "View company online")</f>
      </c>
    </row>
    <row r="65">
      <c r="A65" s="13" t="inlineStr">
        <is>
          <t>10335-07</t>
        </is>
      </c>
      <c r="B65" s="14" t="inlineStr">
        <is>
          <t>Fifth Third Bank (NAS: FITB)</t>
        </is>
      </c>
      <c r="C65" s="15" t="inlineStr">
        <is>
          <t>Cincinnati, OH</t>
        </is>
      </c>
      <c r="D65" s="16" t="inlineStr">
        <is>
          <t>45263</t>
        </is>
      </c>
      <c r="E65" s="17" t="n">
        <v>20139.66</v>
      </c>
      <c r="F65" s="18" t="n">
        <v>6617.0</v>
      </c>
      <c r="G65" s="19" t="inlineStr">
        <is>
          <t>Publicly Held</t>
        </is>
      </c>
      <c r="H65" s="43">
        <f>HYPERLINK("https://my.pitchbook.com?c=10335-07", "View company online")</f>
      </c>
    </row>
    <row r="66">
      <c r="A66" s="21" t="inlineStr">
        <is>
          <t>54179-56</t>
        </is>
      </c>
      <c r="B66" s="22" t="inlineStr">
        <is>
          <t>Post Holdings (NYS: POST)</t>
        </is>
      </c>
      <c r="C66" s="23" t="inlineStr">
        <is>
          <t>Saint Louis, MO</t>
        </is>
      </c>
      <c r="D66" s="24" t="inlineStr">
        <is>
          <t>63144</t>
        </is>
      </c>
      <c r="E66" s="25" t="n">
        <v>7433.08</v>
      </c>
      <c r="F66" s="26" t="n">
        <v>5868.2</v>
      </c>
      <c r="G66" s="27" t="inlineStr">
        <is>
          <t>Publicly Held</t>
        </is>
      </c>
      <c r="H66" s="44">
        <f>HYPERLINK("https://my.pitchbook.com?c=54179-56", "View company online")</f>
      </c>
    </row>
    <row r="67">
      <c r="A67" s="13" t="inlineStr">
        <is>
          <t>10408-69</t>
        </is>
      </c>
      <c r="B67" s="14" t="inlineStr">
        <is>
          <t>Regions Financial (NYS: RF)</t>
        </is>
      </c>
      <c r="C67" s="15" t="inlineStr">
        <is>
          <t>Birmingham, AL</t>
        </is>
      </c>
      <c r="D67" s="16" t="inlineStr">
        <is>
          <t>35203</t>
        </is>
      </c>
      <c r="E67" s="17" t="n">
        <v>16034.2</v>
      </c>
      <c r="F67" s="18" t="n">
        <v>5835.0</v>
      </c>
      <c r="G67" s="19" t="inlineStr">
        <is>
          <t>Publicly Held</t>
        </is>
      </c>
      <c r="H67" s="43">
        <f>HYPERLINK("https://my.pitchbook.com?c=10408-69", "View company online")</f>
      </c>
    </row>
    <row r="68">
      <c r="A68" s="21" t="inlineStr">
        <is>
          <t>11780-74</t>
        </is>
      </c>
      <c r="B68" s="22" t="inlineStr">
        <is>
          <t>Carolina Power and Light</t>
        </is>
      </c>
      <c r="C68" s="23" t="inlineStr">
        <is>
          <t>Raleigh, NC</t>
        </is>
      </c>
      <c r="D68" s="24" t="inlineStr">
        <is>
          <t>27601</t>
        </is>
      </c>
      <c r="E68" s="25" t="inlineStr">
        <is>
          <t/>
        </is>
      </c>
      <c r="F68" s="26" t="n">
        <v>5819.0</v>
      </c>
      <c r="G68" s="27" t="inlineStr">
        <is>
          <t>Privately Held (no backing)</t>
        </is>
      </c>
      <c r="H68" s="44">
        <f>HYPERLINK("https://my.pitchbook.com?c=11780-74", "View company online")</f>
      </c>
    </row>
    <row r="69">
      <c r="A69" s="13" t="inlineStr">
        <is>
          <t>11749-87</t>
        </is>
      </c>
      <c r="B69" s="14" t="inlineStr">
        <is>
          <t>TD Ameritrade (NAS: AMTD)</t>
        </is>
      </c>
      <c r="C69" s="15" t="inlineStr">
        <is>
          <t>Omaha, NE</t>
        </is>
      </c>
      <c r="D69" s="16" t="inlineStr">
        <is>
          <t>68154</t>
        </is>
      </c>
      <c r="E69" s="17" t="n">
        <v>20651.91</v>
      </c>
      <c r="F69" s="18" t="n">
        <v>5721.0</v>
      </c>
      <c r="G69" s="19" t="inlineStr">
        <is>
          <t>Publicly Held</t>
        </is>
      </c>
      <c r="H69" s="43">
        <f>HYPERLINK("https://my.pitchbook.com?c=11749-87", "View company online")</f>
      </c>
    </row>
    <row r="70">
      <c r="A70" s="21" t="inlineStr">
        <is>
          <t>41394-25</t>
        </is>
      </c>
      <c r="B70" s="22" t="inlineStr">
        <is>
          <t>Simon Property Group (NYS: SPG)</t>
        </is>
      </c>
      <c r="C70" s="23" t="inlineStr">
        <is>
          <t>Indianapolis, IN</t>
        </is>
      </c>
      <c r="D70" s="24" t="inlineStr">
        <is>
          <t>46204</t>
        </is>
      </c>
      <c r="E70" s="25" t="n">
        <v>47179.66</v>
      </c>
      <c r="F70" s="26" t="n">
        <v>5719.77</v>
      </c>
      <c r="G70" s="27" t="inlineStr">
        <is>
          <t>Publicly Held</t>
        </is>
      </c>
      <c r="H70" s="44">
        <f>HYPERLINK("https://my.pitchbook.com?c=41394-25", "View company online")</f>
      </c>
    </row>
    <row r="71">
      <c r="A71" s="13" t="inlineStr">
        <is>
          <t>41337-91</t>
        </is>
      </c>
      <c r="B71" s="14" t="inlineStr">
        <is>
          <t>Cerner (NAS: CERN)</t>
        </is>
      </c>
      <c r="C71" s="15" t="inlineStr">
        <is>
          <t>North Kansas City, MO</t>
        </is>
      </c>
      <c r="D71" s="16" t="inlineStr">
        <is>
          <t>64117</t>
        </is>
      </c>
      <c r="E71" s="17" t="n">
        <v>21701.73</v>
      </c>
      <c r="F71" s="18" t="n">
        <v>5526.68</v>
      </c>
      <c r="G71" s="19" t="inlineStr">
        <is>
          <t>Publicly Held</t>
        </is>
      </c>
      <c r="H71" s="43">
        <f>HYPERLINK("https://my.pitchbook.com?c=41337-91", "View company online")</f>
      </c>
    </row>
    <row r="72">
      <c r="A72" s="21" t="inlineStr">
        <is>
          <t>41115-43</t>
        </is>
      </c>
      <c r="B72" s="22" t="inlineStr">
        <is>
          <t>Yum! Brands (NYS: YUM)</t>
        </is>
      </c>
      <c r="C72" s="23" t="inlineStr">
        <is>
          <t>Louisville, KY</t>
        </is>
      </c>
      <c r="D72" s="24" t="inlineStr">
        <is>
          <t>40213</t>
        </is>
      </c>
      <c r="E72" s="25" t="n">
        <v>34174.33</v>
      </c>
      <c r="F72" s="26" t="n">
        <v>5513.0</v>
      </c>
      <c r="G72" s="27" t="inlineStr">
        <is>
          <t>Publicly Held</t>
        </is>
      </c>
      <c r="H72" s="44">
        <f>HYPERLINK("https://my.pitchbook.com?c=41115-43", "View company online")</f>
      </c>
    </row>
    <row r="73">
      <c r="A73" s="13" t="inlineStr">
        <is>
          <t>41115-52</t>
        </is>
      </c>
      <c r="B73" s="14" t="inlineStr">
        <is>
          <t>Protective Life</t>
        </is>
      </c>
      <c r="C73" s="15" t="inlineStr">
        <is>
          <t>Birmingham, AL</t>
        </is>
      </c>
      <c r="D73" s="16" t="inlineStr">
        <is>
          <t>35223</t>
        </is>
      </c>
      <c r="E73" s="17" t="inlineStr">
        <is>
          <t/>
        </is>
      </c>
      <c r="F73" s="18" t="n">
        <v>5494.03</v>
      </c>
      <c r="G73" s="19" t="inlineStr">
        <is>
          <t>Acquired/Merged (Operating Subsidiary)</t>
        </is>
      </c>
      <c r="H73" s="43">
        <f>HYPERLINK("https://my.pitchbook.com?c=41115-52", "View company online")</f>
      </c>
    </row>
    <row r="74">
      <c r="A74" s="21" t="inlineStr">
        <is>
          <t>41315-32</t>
        </is>
      </c>
      <c r="B74" s="22" t="inlineStr">
        <is>
          <t>Big Lots (NYS: BIG)</t>
        </is>
      </c>
      <c r="C74" s="23" t="inlineStr">
        <is>
          <t>Columbus, OH</t>
        </is>
      </c>
      <c r="D74" s="24" t="inlineStr">
        <is>
          <t>43228</t>
        </is>
      </c>
      <c r="E74" s="25" t="n">
        <v>792.8</v>
      </c>
      <c r="F74" s="26" t="n">
        <v>5296.16</v>
      </c>
      <c r="G74" s="27" t="inlineStr">
        <is>
          <t>Publicly Held</t>
        </is>
      </c>
      <c r="H74" s="44">
        <f>HYPERLINK("https://my.pitchbook.com?c=41315-32", "View company online")</f>
      </c>
    </row>
    <row r="75">
      <c r="A75" s="13" t="inlineStr">
        <is>
          <t>41393-35</t>
        </is>
      </c>
      <c r="B75" s="14" t="inlineStr">
        <is>
          <t>Peabody Energy (NYS: BTU)</t>
        </is>
      </c>
      <c r="C75" s="15" t="inlineStr">
        <is>
          <t>Saint Louis, MO</t>
        </is>
      </c>
      <c r="D75" s="16" t="inlineStr">
        <is>
          <t>63101</t>
        </is>
      </c>
      <c r="E75" s="17" t="n">
        <v>1583.01</v>
      </c>
      <c r="F75" s="18" t="n">
        <v>5209.3</v>
      </c>
      <c r="G75" s="19" t="inlineStr">
        <is>
          <t>Publicly Held</t>
        </is>
      </c>
      <c r="H75" s="43">
        <f>HYPERLINK("https://my.pitchbook.com?c=41393-35", "View company online")</f>
      </c>
    </row>
    <row r="76">
      <c r="A76" s="21" t="inlineStr">
        <is>
          <t>41232-70</t>
        </is>
      </c>
      <c r="B76" s="22" t="inlineStr">
        <is>
          <t>YRC Worldwide (NAS: YRCW)</t>
        </is>
      </c>
      <c r="C76" s="23" t="inlineStr">
        <is>
          <t>Overland Park, KS</t>
        </is>
      </c>
      <c r="D76" s="24" t="inlineStr">
        <is>
          <t>66211</t>
        </is>
      </c>
      <c r="E76" s="25" t="n">
        <v>163.96</v>
      </c>
      <c r="F76" s="26" t="n">
        <v>5005.9</v>
      </c>
      <c r="G76" s="27" t="inlineStr">
        <is>
          <t>Publicly Held</t>
        </is>
      </c>
      <c r="H76" s="44">
        <f>HYPERLINK("https://my.pitchbook.com?c=41232-70", "View company online")</f>
      </c>
    </row>
    <row r="77">
      <c r="A77" s="13" t="inlineStr">
        <is>
          <t>57497-68</t>
        </is>
      </c>
      <c r="B77" s="14" t="inlineStr">
        <is>
          <t>National General Insurance (NAS: NGHC)</t>
        </is>
      </c>
      <c r="C77" s="15" t="inlineStr">
        <is>
          <t>Winston-Salem, NC</t>
        </is>
      </c>
      <c r="D77" s="16" t="inlineStr">
        <is>
          <t>27102</t>
        </is>
      </c>
      <c r="E77" s="17" t="n">
        <v>2525.84</v>
      </c>
      <c r="F77" s="18" t="n">
        <v>4857.93</v>
      </c>
      <c r="G77" s="19" t="inlineStr">
        <is>
          <t>Publicly Held</t>
        </is>
      </c>
      <c r="H77" s="43">
        <f>HYPERLINK("https://my.pitchbook.com?c=57497-68", "View company online")</f>
      </c>
    </row>
    <row r="78">
      <c r="A78" s="21" t="inlineStr">
        <is>
          <t>41966-47</t>
        </is>
      </c>
      <c r="B78" s="22" t="inlineStr">
        <is>
          <t>Continental Resources (NYS: CLR)</t>
        </is>
      </c>
      <c r="C78" s="23" t="inlineStr">
        <is>
          <t>Oklahoma City, OK</t>
        </is>
      </c>
      <c r="D78" s="24" t="inlineStr">
        <is>
          <t>73102</t>
        </is>
      </c>
      <c r="E78" s="25" t="n">
        <v>10492.85</v>
      </c>
      <c r="F78" s="26" t="n">
        <v>4764.06</v>
      </c>
      <c r="G78" s="27" t="inlineStr">
        <is>
          <t>Publicly Held</t>
        </is>
      </c>
      <c r="H78" s="44">
        <f>HYPERLINK("https://my.pitchbook.com?c=41966-47", "View company online")</f>
      </c>
    </row>
    <row r="79">
      <c r="A79" s="13" t="inlineStr">
        <is>
          <t>10488-16</t>
        </is>
      </c>
      <c r="B79" s="14" t="inlineStr">
        <is>
          <t>Sealed Air (NYS: SEE)</t>
        </is>
      </c>
      <c r="C79" s="15" t="inlineStr">
        <is>
          <t>Charlotte, NC</t>
        </is>
      </c>
      <c r="D79" s="16" t="inlineStr">
        <is>
          <t>28208</t>
        </is>
      </c>
      <c r="E79" s="17" t="n">
        <v>6451.46</v>
      </c>
      <c r="F79" s="18" t="n">
        <v>4720.2</v>
      </c>
      <c r="G79" s="19" t="inlineStr">
        <is>
          <t>Publicly Held</t>
        </is>
      </c>
      <c r="H79" s="43">
        <f>HYPERLINK("https://my.pitchbook.com?c=10488-16", "View company online")</f>
      </c>
    </row>
    <row r="80">
      <c r="A80" s="21" t="inlineStr">
        <is>
          <t>41182-48</t>
        </is>
      </c>
      <c r="B80" s="22" t="inlineStr">
        <is>
          <t>Coca Cola Bottling Company (NAS: COKE)</t>
        </is>
      </c>
      <c r="C80" s="23" t="inlineStr">
        <is>
          <t>Charlotte, NC</t>
        </is>
      </c>
      <c r="D80" s="24" t="inlineStr">
        <is>
          <t>28211</t>
        </is>
      </c>
      <c r="E80" s="25" t="n">
        <v>2075.66</v>
      </c>
      <c r="F80" s="26" t="n">
        <v>4702.6</v>
      </c>
      <c r="G80" s="27" t="inlineStr">
        <is>
          <t>Publicly Held</t>
        </is>
      </c>
      <c r="H80" s="44">
        <f>HYPERLINK("https://my.pitchbook.com?c=41182-48", "View company online")</f>
      </c>
    </row>
    <row r="81">
      <c r="A81" s="13" t="inlineStr">
        <is>
          <t>41330-17</t>
        </is>
      </c>
      <c r="B81" s="14" t="inlineStr">
        <is>
          <t>Huntington National Bank (NAS: HBAN)</t>
        </is>
      </c>
      <c r="C81" s="15" t="inlineStr">
        <is>
          <t>Columbus, OH</t>
        </is>
      </c>
      <c r="D81" s="16" t="inlineStr">
        <is>
          <t>43287</t>
        </is>
      </c>
      <c r="E81" s="17" t="n">
        <v>14903.4</v>
      </c>
      <c r="F81" s="18" t="n">
        <v>4633.0</v>
      </c>
      <c r="G81" s="19" t="inlineStr">
        <is>
          <t>Publicly Held</t>
        </is>
      </c>
      <c r="H81" s="43">
        <f>HYPERLINK("https://my.pitchbook.com?c=41330-17", "View company online")</f>
      </c>
    </row>
    <row r="82">
      <c r="A82" s="21" t="inlineStr">
        <is>
          <t>226030-33</t>
        </is>
      </c>
      <c r="B82" s="22" t="inlineStr">
        <is>
          <t>Syneos Health (NAS: SYNH)</t>
        </is>
      </c>
      <c r="C82" s="23" t="inlineStr">
        <is>
          <t>Morrisville, NC</t>
        </is>
      </c>
      <c r="D82" s="24" t="inlineStr">
        <is>
          <t>27560</t>
        </is>
      </c>
      <c r="E82" s="25" t="n">
        <v>5627.53</v>
      </c>
      <c r="F82" s="26" t="n">
        <v>4546.22</v>
      </c>
      <c r="G82" s="27" t="inlineStr">
        <is>
          <t>Publicly Held</t>
        </is>
      </c>
      <c r="H82" s="44">
        <f>HYPERLINK("https://my.pitchbook.com?c=226030-33", "View company online")</f>
      </c>
    </row>
    <row r="83">
      <c r="A83" s="13" t="inlineStr">
        <is>
          <t>12367-81</t>
        </is>
      </c>
      <c r="B83" s="14" t="inlineStr">
        <is>
          <t>Landstar System (NAS: LSTR)</t>
        </is>
      </c>
      <c r="C83" s="15" t="inlineStr">
        <is>
          <t>Jacksonville, FL</t>
        </is>
      </c>
      <c r="D83" s="16" t="inlineStr">
        <is>
          <t>32224</t>
        </is>
      </c>
      <c r="E83" s="17" t="n">
        <v>4520.96</v>
      </c>
      <c r="F83" s="18" t="n">
        <v>4462.47</v>
      </c>
      <c r="G83" s="19" t="inlineStr">
        <is>
          <t>Publicly Held</t>
        </is>
      </c>
      <c r="H83" s="43">
        <f>HYPERLINK("https://my.pitchbook.com?c=12367-81", "View company online")</f>
      </c>
    </row>
    <row r="84">
      <c r="A84" s="21" t="inlineStr">
        <is>
          <t>12025-81</t>
        </is>
      </c>
      <c r="B84" s="22" t="inlineStr">
        <is>
          <t>Martin Marietta (NYS: MLM)</t>
        </is>
      </c>
      <c r="C84" s="23" t="inlineStr">
        <is>
          <t>Raleigh, NC</t>
        </is>
      </c>
      <c r="D84" s="24" t="inlineStr">
        <is>
          <t>27607</t>
        </is>
      </c>
      <c r="E84" s="25" t="n">
        <v>16771.88</v>
      </c>
      <c r="F84" s="26" t="n">
        <v>4458.28</v>
      </c>
      <c r="G84" s="27" t="inlineStr">
        <is>
          <t>Publicly Held</t>
        </is>
      </c>
      <c r="H84" s="44">
        <f>HYPERLINK("https://my.pitchbook.com?c=12025-81", "View company online")</f>
      </c>
    </row>
    <row r="85">
      <c r="A85" s="13" t="inlineStr">
        <is>
          <t>41276-62</t>
        </is>
      </c>
      <c r="B85" s="14" t="inlineStr">
        <is>
          <t>Universal Forest Products (NAS: UFPI)</t>
        </is>
      </c>
      <c r="C85" s="15" t="inlineStr">
        <is>
          <t>Grand Rapids, MI</t>
        </is>
      </c>
      <c r="D85" s="16" t="inlineStr">
        <is>
          <t>49525</t>
        </is>
      </c>
      <c r="E85" s="17" t="n">
        <v>2554.08</v>
      </c>
      <c r="F85" s="18" t="n">
        <v>4455.83</v>
      </c>
      <c r="G85" s="19" t="inlineStr">
        <is>
          <t>Publicly Held</t>
        </is>
      </c>
      <c r="H85" s="43">
        <f>HYPERLINK("https://my.pitchbook.com?c=41276-62", "View company online")</f>
      </c>
    </row>
    <row r="86">
      <c r="A86" s="21" t="inlineStr">
        <is>
          <t>10446-49</t>
        </is>
      </c>
      <c r="B86" s="22" t="inlineStr">
        <is>
          <t>Encompass Health (NYS: EHC)</t>
        </is>
      </c>
      <c r="C86" s="23" t="inlineStr">
        <is>
          <t>Birmingham, AL</t>
        </is>
      </c>
      <c r="D86" s="24" t="inlineStr">
        <is>
          <t>35242</t>
        </is>
      </c>
      <c r="E86" s="25" t="n">
        <v>6558.88</v>
      </c>
      <c r="F86" s="26" t="n">
        <v>4422.6</v>
      </c>
      <c r="G86" s="27" t="inlineStr">
        <is>
          <t>Publicly Held</t>
        </is>
      </c>
      <c r="H86" s="44">
        <f>HYPERLINK("https://my.pitchbook.com?c=10446-49", "View company online")</f>
      </c>
    </row>
    <row r="87">
      <c r="A87" s="13" t="inlineStr">
        <is>
          <t>52158-61</t>
        </is>
      </c>
      <c r="B87" s="14" t="inlineStr">
        <is>
          <t>Jeld-Wen (NYS: JELD)</t>
        </is>
      </c>
      <c r="C87" s="15" t="inlineStr">
        <is>
          <t>Charlotte, NC</t>
        </is>
      </c>
      <c r="D87" s="16" t="inlineStr">
        <is>
          <t>28202</t>
        </is>
      </c>
      <c r="E87" s="17" t="n">
        <v>1758.8</v>
      </c>
      <c r="F87" s="18" t="n">
        <v>4357.27</v>
      </c>
      <c r="G87" s="19" t="inlineStr">
        <is>
          <t>Publicly Held</t>
        </is>
      </c>
      <c r="H87" s="43">
        <f>HYPERLINK("https://my.pitchbook.com?c=52158-61", "View company online")</f>
      </c>
    </row>
    <row r="88">
      <c r="A88" s="21" t="inlineStr">
        <is>
          <t>11708-65</t>
        </is>
      </c>
      <c r="B88" s="22" t="inlineStr">
        <is>
          <t>Greif (NYS: GEF)</t>
        </is>
      </c>
      <c r="C88" s="23" t="inlineStr">
        <is>
          <t>Delaware, OH</t>
        </is>
      </c>
      <c r="D88" s="24" t="inlineStr">
        <is>
          <t>43015</t>
        </is>
      </c>
      <c r="E88" s="25" t="n">
        <v>2042.42</v>
      </c>
      <c r="F88" s="26" t="n">
        <v>4350.6</v>
      </c>
      <c r="G88" s="27" t="inlineStr">
        <is>
          <t>Publicly Held</t>
        </is>
      </c>
      <c r="H88" s="44">
        <f>HYPERLINK("https://my.pitchbook.com?c=11708-65", "View company online")</f>
      </c>
    </row>
    <row r="89">
      <c r="A89" s="13" t="inlineStr">
        <is>
          <t>12595-78</t>
        </is>
      </c>
      <c r="B89" s="14" t="inlineStr">
        <is>
          <t>CNO Financial Group (NYS: CNO)</t>
        </is>
      </c>
      <c r="C89" s="15" t="inlineStr">
        <is>
          <t>Carmel, IN</t>
        </is>
      </c>
      <c r="D89" s="16" t="inlineStr">
        <is>
          <t>46032</t>
        </is>
      </c>
      <c r="E89" s="17" t="n">
        <v>2444.41</v>
      </c>
      <c r="F89" s="18" t="n">
        <v>4262.2</v>
      </c>
      <c r="G89" s="19" t="inlineStr">
        <is>
          <t>Publicly Held</t>
        </is>
      </c>
      <c r="H89" s="43">
        <f>HYPERLINK("https://my.pitchbook.com?c=12595-78", "View company online")</f>
      </c>
    </row>
    <row r="90">
      <c r="A90" s="21" t="inlineStr">
        <is>
          <t>11733-67</t>
        </is>
      </c>
      <c r="B90" s="22" t="inlineStr">
        <is>
          <t>Brookdale Senior Living (NYS: BKD)</t>
        </is>
      </c>
      <c r="C90" s="23" t="inlineStr">
        <is>
          <t>Brentwood, TN</t>
        </is>
      </c>
      <c r="D90" s="24" t="inlineStr">
        <is>
          <t>37027</t>
        </is>
      </c>
      <c r="E90" s="25" t="n">
        <v>1571.54</v>
      </c>
      <c r="F90" s="26" t="n">
        <v>4250.49</v>
      </c>
      <c r="G90" s="27" t="inlineStr">
        <is>
          <t>Publicly Held</t>
        </is>
      </c>
      <c r="H90" s="44">
        <f>HYPERLINK("https://my.pitchbook.com?c=11733-67", "View company online")</f>
      </c>
    </row>
    <row r="91">
      <c r="A91" s="13" t="inlineStr">
        <is>
          <t>25197-04</t>
        </is>
      </c>
      <c r="B91" s="14" t="inlineStr">
        <is>
          <t>Old Dominion Freight Line (NAS: ODFL)</t>
        </is>
      </c>
      <c r="C91" s="15" t="inlineStr">
        <is>
          <t>Thomasville, NC</t>
        </is>
      </c>
      <c r="D91" s="16" t="inlineStr">
        <is>
          <t>27360</t>
        </is>
      </c>
      <c r="E91" s="17" t="n">
        <v>14392.33</v>
      </c>
      <c r="F91" s="18" t="n">
        <v>4136.63</v>
      </c>
      <c r="G91" s="19" t="inlineStr">
        <is>
          <t>Publicly Held</t>
        </is>
      </c>
      <c r="H91" s="43">
        <f>HYPERLINK("https://my.pitchbook.com?c=25197-04", "View company online")</f>
      </c>
    </row>
    <row r="92">
      <c r="A92" s="21" t="inlineStr">
        <is>
          <t>24761-35</t>
        </is>
      </c>
      <c r="B92" s="22" t="inlineStr">
        <is>
          <t>Worldpay</t>
        </is>
      </c>
      <c r="C92" s="23" t="inlineStr">
        <is>
          <t>Symmes Township, OH</t>
        </is>
      </c>
      <c r="D92" s="24" t="inlineStr">
        <is>
          <t>45249</t>
        </is>
      </c>
      <c r="E92" s="25" t="inlineStr">
        <is>
          <t/>
        </is>
      </c>
      <c r="F92" s="26" t="n">
        <v>4110.9</v>
      </c>
      <c r="G92" s="27" t="inlineStr">
        <is>
          <t>Acquired/Merged</t>
        </is>
      </c>
      <c r="H92" s="44">
        <f>HYPERLINK("https://my.pitchbook.com?c=24761-35", "View company online")</f>
      </c>
    </row>
    <row r="93">
      <c r="A93" s="13" t="inlineStr">
        <is>
          <t>135843-85</t>
        </is>
      </c>
      <c r="B93" s="14" t="inlineStr">
        <is>
          <t>Save-A-Lot</t>
        </is>
      </c>
      <c r="C93" s="15" t="inlineStr">
        <is>
          <t>Earth City, MO</t>
        </is>
      </c>
      <c r="D93" s="16" t="inlineStr">
        <is>
          <t>63045</t>
        </is>
      </c>
      <c r="E93" s="17" t="inlineStr">
        <is>
          <t/>
        </is>
      </c>
      <c r="F93" s="18" t="n">
        <v>4100.0</v>
      </c>
      <c r="G93" s="19" t="inlineStr">
        <is>
          <t>Privately Held (backing)</t>
        </is>
      </c>
      <c r="H93" s="43">
        <f>HYPERLINK("https://my.pitchbook.com?c=135843-85", "View company online")</f>
      </c>
    </row>
    <row r="94">
      <c r="A94" s="21" t="inlineStr">
        <is>
          <t>41966-29</t>
        </is>
      </c>
      <c r="B94" s="22" t="inlineStr">
        <is>
          <t>Amdocs (NAS: DOX)</t>
        </is>
      </c>
      <c r="C94" s="23" t="inlineStr">
        <is>
          <t>Chesterfield, MO</t>
        </is>
      </c>
      <c r="D94" s="24" t="inlineStr">
        <is>
          <t>63017</t>
        </is>
      </c>
      <c r="E94" s="25" t="n">
        <v>8944.21</v>
      </c>
      <c r="F94" s="26" t="n">
        <v>4059.0</v>
      </c>
      <c r="G94" s="27" t="inlineStr">
        <is>
          <t>Publicly Held</t>
        </is>
      </c>
      <c r="H94" s="44">
        <f>HYPERLINK("https://my.pitchbook.com?c=41966-29", "View company online")</f>
      </c>
    </row>
    <row r="95">
      <c r="A95" s="13" t="inlineStr">
        <is>
          <t>54566-65</t>
        </is>
      </c>
      <c r="B95" s="14" t="inlineStr">
        <is>
          <t>McCarthy Building Companies</t>
        </is>
      </c>
      <c r="C95" s="15" t="inlineStr">
        <is>
          <t>Saint Louis, MO</t>
        </is>
      </c>
      <c r="D95" s="16" t="inlineStr">
        <is>
          <t>63124</t>
        </is>
      </c>
      <c r="E95" s="17" t="inlineStr">
        <is>
          <t/>
        </is>
      </c>
      <c r="F95" s="18" t="n">
        <v>3900.0</v>
      </c>
      <c r="G95" s="19" t="inlineStr">
        <is>
          <t>Acquired/Merged</t>
        </is>
      </c>
      <c r="H95" s="43">
        <f>HYPERLINK("https://my.pitchbook.com?c=54566-65", "View company online")</f>
      </c>
    </row>
    <row r="96">
      <c r="A96" s="21" t="inlineStr">
        <is>
          <t>41283-82</t>
        </is>
      </c>
      <c r="B96" s="22" t="inlineStr">
        <is>
          <t>ScanSource (NAS: SCSC)</t>
        </is>
      </c>
      <c r="C96" s="23" t="inlineStr">
        <is>
          <t>Greenville, SC</t>
        </is>
      </c>
      <c r="D96" s="24" t="inlineStr">
        <is>
          <t>29615</t>
        </is>
      </c>
      <c r="E96" s="25" t="n">
        <v>777.55</v>
      </c>
      <c r="F96" s="26" t="n">
        <v>3873.11</v>
      </c>
      <c r="G96" s="27" t="inlineStr">
        <is>
          <t>Publicly Held</t>
        </is>
      </c>
      <c r="H96" s="44">
        <f>HYPERLINK("https://my.pitchbook.com?c=41283-82", "View company online")</f>
      </c>
    </row>
    <row r="97">
      <c r="A97" s="13" t="inlineStr">
        <is>
          <t>10892-53</t>
        </is>
      </c>
      <c r="B97" s="14" t="inlineStr">
        <is>
          <t>Ashland Global Holdings (NYS: ASH)</t>
        </is>
      </c>
      <c r="C97" s="15" t="inlineStr">
        <is>
          <t>Covington, KY</t>
        </is>
      </c>
      <c r="D97" s="16" t="inlineStr">
        <is>
          <t>41012</t>
        </is>
      </c>
      <c r="E97" s="17" t="n">
        <v>4663.25</v>
      </c>
      <c r="F97" s="18" t="n">
        <v>3705.0</v>
      </c>
      <c r="G97" s="19" t="inlineStr">
        <is>
          <t>Publicly Held</t>
        </is>
      </c>
      <c r="H97" s="43">
        <f>HYPERLINK("https://my.pitchbook.com?c=10892-53", "View company online")</f>
      </c>
    </row>
    <row r="98">
      <c r="A98" s="21" t="inlineStr">
        <is>
          <t>41259-34</t>
        </is>
      </c>
      <c r="B98" s="22" t="inlineStr">
        <is>
          <t>Steelcase (NYS: SCS)</t>
        </is>
      </c>
      <c r="C98" s="23" t="inlineStr">
        <is>
          <t>Grand Rapids, MI</t>
        </is>
      </c>
      <c r="D98" s="24" t="inlineStr">
        <is>
          <t>49508</t>
        </is>
      </c>
      <c r="E98" s="25" t="n">
        <v>2137.29</v>
      </c>
      <c r="F98" s="26" t="n">
        <v>3635.7</v>
      </c>
      <c r="G98" s="27" t="inlineStr">
        <is>
          <t>Publicly Held</t>
        </is>
      </c>
      <c r="H98" s="44">
        <f>HYPERLINK("https://my.pitchbook.com?c=41259-34", "View company online")</f>
      </c>
    </row>
    <row r="99">
      <c r="A99" s="13" t="inlineStr">
        <is>
          <t>42131-98</t>
        </is>
      </c>
      <c r="B99" s="14" t="inlineStr">
        <is>
          <t>Worthington Industries (NYS: WOR)</t>
        </is>
      </c>
      <c r="C99" s="15" t="inlineStr">
        <is>
          <t>Columbus, OH</t>
        </is>
      </c>
      <c r="D99" s="16" t="inlineStr">
        <is>
          <t>43085</t>
        </is>
      </c>
      <c r="E99" s="17" t="n">
        <v>1974.67</v>
      </c>
      <c r="F99" s="18" t="n">
        <v>3627.31</v>
      </c>
      <c r="G99" s="19" t="inlineStr">
        <is>
          <t>Publicly Held</t>
        </is>
      </c>
      <c r="H99" s="43">
        <f>HYPERLINK("https://my.pitchbook.com?c=42131-98", "View company online")</f>
      </c>
    </row>
    <row r="100">
      <c r="A100" s="21" t="inlineStr">
        <is>
          <t>128797-30</t>
        </is>
      </c>
      <c r="B100" s="22" t="inlineStr">
        <is>
          <t>Total Quality Logistics</t>
        </is>
      </c>
      <c r="C100" s="23" t="inlineStr">
        <is>
          <t>Cincinnati, OH</t>
        </is>
      </c>
      <c r="D100" s="24" t="inlineStr">
        <is>
          <t>45245</t>
        </is>
      </c>
      <c r="E100" s="25" t="inlineStr">
        <is>
          <t/>
        </is>
      </c>
      <c r="F100" s="26" t="n">
        <v>3600.0</v>
      </c>
      <c r="G100" s="27" t="inlineStr">
        <is>
          <t>Privately Held (no backing)</t>
        </is>
      </c>
      <c r="H100" s="44">
        <f>HYPERLINK("https://my.pitchbook.com?c=128797-30", "View company online")</f>
      </c>
    </row>
    <row r="101">
      <c r="A101" s="13" t="inlineStr">
        <is>
          <t>41195-26</t>
        </is>
      </c>
      <c r="B101" s="14" t="inlineStr">
        <is>
          <t>Abercrombie &amp; Fitch (NYS: ANF)</t>
        </is>
      </c>
      <c r="C101" s="15" t="inlineStr">
        <is>
          <t>New Albany, OH</t>
        </is>
      </c>
      <c r="D101" s="16" t="inlineStr">
        <is>
          <t>43054</t>
        </is>
      </c>
      <c r="E101" s="17" t="n">
        <v>1015.19</v>
      </c>
      <c r="F101" s="18" t="n">
        <v>3591.85</v>
      </c>
      <c r="G101" s="19" t="inlineStr">
        <is>
          <t>Publicly Held</t>
        </is>
      </c>
      <c r="H101" s="43">
        <f>HYPERLINK("https://my.pitchbook.com?c=41195-26", "View company online")</f>
      </c>
    </row>
    <row r="102">
      <c r="A102" s="21" t="inlineStr">
        <is>
          <t>84797-92</t>
        </is>
      </c>
      <c r="B102" s="22" t="inlineStr">
        <is>
          <t>Express Services</t>
        </is>
      </c>
      <c r="C102" s="23" t="inlineStr">
        <is>
          <t>Oklahoma City, OK</t>
        </is>
      </c>
      <c r="D102" s="24" t="inlineStr">
        <is>
          <t>73102</t>
        </is>
      </c>
      <c r="E102" s="25" t="inlineStr">
        <is>
          <t/>
        </is>
      </c>
      <c r="F102" s="26" t="n">
        <v>3560.0</v>
      </c>
      <c r="G102" s="27" t="inlineStr">
        <is>
          <t>Acquired/Merged (Operating Subsidiary)</t>
        </is>
      </c>
      <c r="H102" s="44">
        <f>HYPERLINK("https://my.pitchbook.com?c=84797-92", "View company online")</f>
      </c>
    </row>
    <row r="103">
      <c r="A103" s="13" t="inlineStr">
        <is>
          <t>42059-35</t>
        </is>
      </c>
      <c r="B103" s="14" t="inlineStr">
        <is>
          <t>Calumet Specialty Products Partners (NAS: CLMT)</t>
        </is>
      </c>
      <c r="C103" s="15" t="inlineStr">
        <is>
          <t>Indianapolis, IN</t>
        </is>
      </c>
      <c r="D103" s="16" t="inlineStr">
        <is>
          <t>46214</t>
        </is>
      </c>
      <c r="E103" s="17" t="n">
        <v>261.36</v>
      </c>
      <c r="F103" s="18" t="n">
        <v>3549.7</v>
      </c>
      <c r="G103" s="19" t="inlineStr">
        <is>
          <t>Publicly Held</t>
        </is>
      </c>
      <c r="H103" s="43">
        <f>HYPERLINK("https://my.pitchbook.com?c=42059-35", "View company online")</f>
      </c>
    </row>
    <row r="104">
      <c r="A104" s="21" t="inlineStr">
        <is>
          <t>52549-48</t>
        </is>
      </c>
      <c r="B104" s="22" t="inlineStr">
        <is>
          <t>Black &amp; Veatch</t>
        </is>
      </c>
      <c r="C104" s="23" t="inlineStr">
        <is>
          <t>Overland Park, KS</t>
        </is>
      </c>
      <c r="D104" s="24" t="inlineStr">
        <is>
          <t>66211</t>
        </is>
      </c>
      <c r="E104" s="25" t="inlineStr">
        <is>
          <t/>
        </is>
      </c>
      <c r="F104" s="26" t="n">
        <v>3500.0</v>
      </c>
      <c r="G104" s="27" t="inlineStr">
        <is>
          <t>Privately Held (no backing)</t>
        </is>
      </c>
      <c r="H104" s="44">
        <f>HYPERLINK("https://my.pitchbook.com?c=52549-48", "View company online")</f>
      </c>
    </row>
    <row r="105">
      <c r="A105" s="13" t="inlineStr">
        <is>
          <t>41182-21</t>
        </is>
      </c>
      <c r="B105" s="14" t="inlineStr">
        <is>
          <t>Red Hat</t>
        </is>
      </c>
      <c r="C105" s="15" t="inlineStr">
        <is>
          <t>Raleigh, NC</t>
        </is>
      </c>
      <c r="D105" s="16" t="inlineStr">
        <is>
          <t>27601</t>
        </is>
      </c>
      <c r="E105" s="17" t="inlineStr">
        <is>
          <t/>
        </is>
      </c>
      <c r="F105" s="18" t="n">
        <v>3482.65</v>
      </c>
      <c r="G105" s="19" t="inlineStr">
        <is>
          <t>Privately Held (backing)</t>
        </is>
      </c>
      <c r="H105" s="43">
        <f>HYPERLINK("https://my.pitchbook.com?c=41182-21", "View company online")</f>
      </c>
    </row>
    <row r="106">
      <c r="A106" s="21" t="inlineStr">
        <is>
          <t>41471-92</t>
        </is>
      </c>
      <c r="B106" s="22" t="inlineStr">
        <is>
          <t>Garmin (NAS: GRMN)</t>
        </is>
      </c>
      <c r="C106" s="23" t="inlineStr">
        <is>
          <t>Olathe, KS</t>
        </is>
      </c>
      <c r="D106" s="24" t="inlineStr">
        <is>
          <t>66062</t>
        </is>
      </c>
      <c r="E106" s="25" t="n">
        <v>16550.32</v>
      </c>
      <c r="F106" s="26" t="n">
        <v>3463.01</v>
      </c>
      <c r="G106" s="27" t="inlineStr">
        <is>
          <t>Publicly Held</t>
        </is>
      </c>
      <c r="H106" s="44">
        <f>HYPERLINK("https://my.pitchbook.com?c=41471-92", "View company online")</f>
      </c>
    </row>
    <row r="107">
      <c r="A107" s="13" t="inlineStr">
        <is>
          <t>41253-58</t>
        </is>
      </c>
      <c r="B107" s="14" t="inlineStr">
        <is>
          <t>Albemarle (NYS: ALB)</t>
        </is>
      </c>
      <c r="C107" s="15" t="inlineStr">
        <is>
          <t>Charlotte, NC</t>
        </is>
      </c>
      <c r="D107" s="16" t="inlineStr">
        <is>
          <t>28209</t>
        </is>
      </c>
      <c r="E107" s="17" t="n">
        <v>7126.52</v>
      </c>
      <c r="F107" s="18" t="n">
        <v>3416.56</v>
      </c>
      <c r="G107" s="19" t="inlineStr">
        <is>
          <t>Publicly Held</t>
        </is>
      </c>
      <c r="H107" s="43">
        <f>HYPERLINK("https://my.pitchbook.com?c=41253-58", "View company online")</f>
      </c>
    </row>
    <row r="108">
      <c r="A108" s="21" t="inlineStr">
        <is>
          <t>41593-51</t>
        </is>
      </c>
      <c r="B108" s="22" t="inlineStr">
        <is>
          <t>DSW (NYS: DBI)</t>
        </is>
      </c>
      <c r="C108" s="23" t="inlineStr">
        <is>
          <t>Columbus, OH</t>
        </is>
      </c>
      <c r="D108" s="24" t="inlineStr">
        <is>
          <t>43219</t>
        </is>
      </c>
      <c r="E108" s="25" t="n">
        <v>1213.16</v>
      </c>
      <c r="F108" s="26" t="n">
        <v>3415.08</v>
      </c>
      <c r="G108" s="27" t="inlineStr">
        <is>
          <t>Publicly Held</t>
        </is>
      </c>
      <c r="H108" s="44">
        <f>HYPERLINK("https://my.pitchbook.com?c=41593-51", "View company online")</f>
      </c>
    </row>
    <row r="109">
      <c r="A109" s="13" t="inlineStr">
        <is>
          <t>56373-31</t>
        </is>
      </c>
      <c r="B109" s="14" t="inlineStr">
        <is>
          <t>Enable Midstream Partners (NYS: ENBL)</t>
        </is>
      </c>
      <c r="C109" s="15" t="inlineStr">
        <is>
          <t>Oklahoma City, OK</t>
        </is>
      </c>
      <c r="D109" s="16" t="inlineStr">
        <is>
          <t>73102</t>
        </is>
      </c>
      <c r="E109" s="17" t="n">
        <v>4716.58</v>
      </c>
      <c r="F109" s="18" t="n">
        <v>3408.0</v>
      </c>
      <c r="G109" s="19" t="inlineStr">
        <is>
          <t>Publicly Held</t>
        </is>
      </c>
      <c r="H109" s="43">
        <f>HYPERLINK("https://my.pitchbook.com?c=56373-31", "View company online")</f>
      </c>
    </row>
    <row r="110">
      <c r="A110" s="21" t="inlineStr">
        <is>
          <t>41258-62</t>
        </is>
      </c>
      <c r="B110" s="22" t="inlineStr">
        <is>
          <t>Union Electric (PINX: UEPEO)</t>
        </is>
      </c>
      <c r="C110" s="23" t="inlineStr">
        <is>
          <t>Saint Louis, MO</t>
        </is>
      </c>
      <c r="D110" s="24" t="inlineStr">
        <is>
          <t>63103</t>
        </is>
      </c>
      <c r="E110" s="25" t="inlineStr">
        <is>
          <t/>
        </is>
      </c>
      <c r="F110" s="26" t="n">
        <v>3398.0</v>
      </c>
      <c r="G110" s="27" t="inlineStr">
        <is>
          <t>Publicly Held</t>
        </is>
      </c>
      <c r="H110" s="44">
        <f>HYPERLINK("https://my.pitchbook.com?c=41258-62", "View company online")</f>
      </c>
    </row>
    <row r="111">
      <c r="A111" s="13" t="inlineStr">
        <is>
          <t>42045-04</t>
        </is>
      </c>
      <c r="B111" s="14" t="inlineStr">
        <is>
          <t>Green Plains (NAS: GPRE)</t>
        </is>
      </c>
      <c r="C111" s="15" t="inlineStr">
        <is>
          <t>Omaha, NE</t>
        </is>
      </c>
      <c r="D111" s="16" t="inlineStr">
        <is>
          <t>68106</t>
        </is>
      </c>
      <c r="E111" s="17" t="n">
        <v>425.39</v>
      </c>
      <c r="F111" s="18" t="n">
        <v>3349.4</v>
      </c>
      <c r="G111" s="19" t="inlineStr">
        <is>
          <t>Publicly Held</t>
        </is>
      </c>
      <c r="H111" s="43">
        <f>HYPERLINK("https://my.pitchbook.com?c=42045-04", "View company online")</f>
      </c>
    </row>
    <row r="112">
      <c r="A112" s="21" t="inlineStr">
        <is>
          <t>41144-41</t>
        </is>
      </c>
      <c r="B112" s="22" t="inlineStr">
        <is>
          <t>Brown-Forman (NYS: BF.B)</t>
        </is>
      </c>
      <c r="C112" s="23" t="inlineStr">
        <is>
          <t>Louisville, KY</t>
        </is>
      </c>
      <c r="D112" s="24" t="inlineStr">
        <is>
          <t>40210</t>
        </is>
      </c>
      <c r="E112" s="25" t="n">
        <v>29992.55</v>
      </c>
      <c r="F112" s="26" t="n">
        <v>3324.0</v>
      </c>
      <c r="G112" s="27" t="inlineStr">
        <is>
          <t>Publicly Held</t>
        </is>
      </c>
      <c r="H112" s="44">
        <f>HYPERLINK("https://my.pitchbook.com?c=41144-41", "View company online")</f>
      </c>
    </row>
    <row r="113">
      <c r="A113" s="13" t="inlineStr">
        <is>
          <t>10662-13</t>
        </is>
      </c>
      <c r="B113" s="14" t="inlineStr">
        <is>
          <t>KAR Global (NYS: KAR)</t>
        </is>
      </c>
      <c r="C113" s="15" t="inlineStr">
        <is>
          <t>Carmel, IN</t>
        </is>
      </c>
      <c r="D113" s="16" t="inlineStr">
        <is>
          <t>46032</t>
        </is>
      </c>
      <c r="E113" s="17" t="n">
        <v>3390.27</v>
      </c>
      <c r="F113" s="18" t="n">
        <v>3271.2</v>
      </c>
      <c r="G113" s="19" t="inlineStr">
        <is>
          <t>Publicly Held</t>
        </is>
      </c>
      <c r="H113" s="43">
        <f>HYPERLINK("https://my.pitchbook.com?c=10662-13", "View company online")</f>
      </c>
    </row>
    <row r="114">
      <c r="A114" s="21" t="inlineStr">
        <is>
          <t>61081-03</t>
        </is>
      </c>
      <c r="B114" s="22" t="inlineStr">
        <is>
          <t>SAS Institute</t>
        </is>
      </c>
      <c r="C114" s="23" t="inlineStr">
        <is>
          <t>Cary, NC</t>
        </is>
      </c>
      <c r="D114" s="24" t="inlineStr">
        <is>
          <t>27513</t>
        </is>
      </c>
      <c r="E114" s="25" t="inlineStr">
        <is>
          <t/>
        </is>
      </c>
      <c r="F114" s="26" t="n">
        <v>3270.0</v>
      </c>
      <c r="G114" s="27" t="inlineStr">
        <is>
          <t>Privately Held (no backing)</t>
        </is>
      </c>
      <c r="H114" s="44">
        <f>HYPERLINK("https://my.pitchbook.com?c=61081-03", "View company online")</f>
      </c>
    </row>
    <row r="115">
      <c r="A115" s="13" t="inlineStr">
        <is>
          <t>10559-17</t>
        </is>
      </c>
      <c r="B115" s="14" t="inlineStr">
        <is>
          <t>Qorvo (NAS: QRVO)</t>
        </is>
      </c>
      <c r="C115" s="15" t="inlineStr">
        <is>
          <t>Greensboro, NC</t>
        </is>
      </c>
      <c r="D115" s="16" t="inlineStr">
        <is>
          <t>27409</t>
        </is>
      </c>
      <c r="E115" s="17" t="n">
        <v>9275.54</v>
      </c>
      <c r="F115" s="18" t="n">
        <v>3173.25</v>
      </c>
      <c r="G115" s="19" t="inlineStr">
        <is>
          <t>Publicly Held</t>
        </is>
      </c>
      <c r="H115" s="43">
        <f>HYPERLINK("https://my.pitchbook.com?c=10559-17", "View company online")</f>
      </c>
    </row>
    <row r="116">
      <c r="A116" s="21" t="inlineStr">
        <is>
          <t>10605-43</t>
        </is>
      </c>
      <c r="B116" s="22" t="inlineStr">
        <is>
          <t>H&amp;R Block (NYS: HRB)</t>
        </is>
      </c>
      <c r="C116" s="23" t="inlineStr">
        <is>
          <t>Kansas City, MO</t>
        </is>
      </c>
      <c r="D116" s="24" t="inlineStr">
        <is>
          <t>64105</t>
        </is>
      </c>
      <c r="E116" s="25" t="n">
        <v>4763.09</v>
      </c>
      <c r="F116" s="26" t="n">
        <v>3100.06</v>
      </c>
      <c r="G116" s="27" t="inlineStr">
        <is>
          <t>Publicly Held</t>
        </is>
      </c>
      <c r="H116" s="44">
        <f>HYPERLINK("https://my.pitchbook.com?c=10605-43", "View company online")</f>
      </c>
    </row>
    <row r="117">
      <c r="A117" s="13" t="inlineStr">
        <is>
          <t>56671-84</t>
        </is>
      </c>
      <c r="B117" s="14" t="inlineStr">
        <is>
          <t>Elanco (NYS: ELAN)</t>
        </is>
      </c>
      <c r="C117" s="15" t="inlineStr">
        <is>
          <t>Greenfield, IN</t>
        </is>
      </c>
      <c r="D117" s="16" t="inlineStr">
        <is>
          <t>46140</t>
        </is>
      </c>
      <c r="E117" s="17" t="n">
        <v>9832.21</v>
      </c>
      <c r="F117" s="18" t="n">
        <v>3073.1</v>
      </c>
      <c r="G117" s="19" t="inlineStr">
        <is>
          <t>Publicly Held</t>
        </is>
      </c>
      <c r="H117" s="43">
        <f>HYPERLINK("https://my.pitchbook.com?c=56671-84", "View company online")</f>
      </c>
    </row>
    <row r="118">
      <c r="A118" s="21" t="inlineStr">
        <is>
          <t>11089-36</t>
        </is>
      </c>
      <c r="B118" s="22" t="inlineStr">
        <is>
          <t>Cracker Barrel Old Country Store (NAS: CBRL)</t>
        </is>
      </c>
      <c r="C118" s="23" t="inlineStr">
        <is>
          <t>Lebanon, TN</t>
        </is>
      </c>
      <c r="D118" s="24" t="inlineStr">
        <is>
          <t>37088</t>
        </is>
      </c>
      <c r="E118" s="25" t="n">
        <v>3851.32</v>
      </c>
      <c r="F118" s="26" t="n">
        <v>3071.95</v>
      </c>
      <c r="G118" s="27" t="inlineStr">
        <is>
          <t>Publicly Held</t>
        </is>
      </c>
      <c r="H118" s="44">
        <f>HYPERLINK("https://my.pitchbook.com?c=11089-36", "View company online")</f>
      </c>
    </row>
    <row r="119">
      <c r="A119" s="13" t="inlineStr">
        <is>
          <t>10430-92</t>
        </is>
      </c>
      <c r="B119" s="14" t="inlineStr">
        <is>
          <t>Stifel Financial (NYS: SF)</t>
        </is>
      </c>
      <c r="C119" s="15" t="inlineStr">
        <is>
          <t>Saint Louis, MO</t>
        </is>
      </c>
      <c r="D119" s="16" t="inlineStr">
        <is>
          <t>63102</t>
        </is>
      </c>
      <c r="E119" s="17" t="n">
        <v>3880.72</v>
      </c>
      <c r="F119" s="18" t="n">
        <v>3058.53</v>
      </c>
      <c r="G119" s="19" t="inlineStr">
        <is>
          <t>Publicly Held</t>
        </is>
      </c>
      <c r="H119" s="43">
        <f>HYPERLINK("https://my.pitchbook.com?c=10430-92", "View company online")</f>
      </c>
    </row>
    <row r="120">
      <c r="A120" s="21" t="inlineStr">
        <is>
          <t>10995-58</t>
        </is>
      </c>
      <c r="B120" s="22" t="inlineStr">
        <is>
          <t>Acadia Healthcare (NAS: ACHC)</t>
        </is>
      </c>
      <c r="C120" s="23" t="inlineStr">
        <is>
          <t>Franklin, TN</t>
        </is>
      </c>
      <c r="D120" s="24" t="inlineStr">
        <is>
          <t>37067</t>
        </is>
      </c>
      <c r="E120" s="25" t="n">
        <v>2733.64</v>
      </c>
      <c r="F120" s="26" t="n">
        <v>3054.44</v>
      </c>
      <c r="G120" s="27" t="inlineStr">
        <is>
          <t>Publicly Held</t>
        </is>
      </c>
      <c r="H120" s="44">
        <f>HYPERLINK("https://my.pitchbook.com?c=10995-58", "View company online")</f>
      </c>
    </row>
    <row r="121">
      <c r="A121" s="13" t="inlineStr">
        <is>
          <t>162299-98</t>
        </is>
      </c>
      <c r="B121" s="14" t="inlineStr">
        <is>
          <t>Center Oil Company</t>
        </is>
      </c>
      <c r="C121" s="15" t="inlineStr">
        <is>
          <t>Saint Louis, MO</t>
        </is>
      </c>
      <c r="D121" s="16" t="inlineStr">
        <is>
          <t>63141</t>
        </is>
      </c>
      <c r="E121" s="17" t="inlineStr">
        <is>
          <t/>
        </is>
      </c>
      <c r="F121" s="18" t="n">
        <v>3000.0</v>
      </c>
      <c r="G121" s="19" t="inlineStr">
        <is>
          <t>Acquired/Merged (Operating Subsidiary)</t>
        </is>
      </c>
      <c r="H121" s="43">
        <f>HYPERLINK("https://my.pitchbook.com?c=162299-98", "View company online")</f>
      </c>
    </row>
    <row r="122">
      <c r="A122" s="21" t="inlineStr">
        <is>
          <t>41171-23</t>
        </is>
      </c>
      <c r="B122" s="22" t="inlineStr">
        <is>
          <t>Ohio Power</t>
        </is>
      </c>
      <c r="C122" s="23" t="inlineStr">
        <is>
          <t>Columbus, OH</t>
        </is>
      </c>
      <c r="D122" s="24" t="inlineStr">
        <is>
          <t>43215</t>
        </is>
      </c>
      <c r="E122" s="25" t="inlineStr">
        <is>
          <t/>
        </is>
      </c>
      <c r="F122" s="26" t="n">
        <v>2967.1</v>
      </c>
      <c r="G122" s="27" t="inlineStr">
        <is>
          <t>Privately Held (no backing)</t>
        </is>
      </c>
      <c r="H122" s="44">
        <f>HYPERLINK("https://my.pitchbook.com?c=41171-23", "View company online")</f>
      </c>
    </row>
    <row r="123">
      <c r="A123" s="13" t="inlineStr">
        <is>
          <t>41057-20</t>
        </is>
      </c>
      <c r="B123" s="14" t="inlineStr">
        <is>
          <t>Mettler-Toledo International (NYS: MTD)</t>
        </is>
      </c>
      <c r="C123" s="15" t="inlineStr">
        <is>
          <t>Columbus, OH</t>
        </is>
      </c>
      <c r="D123" s="16" t="inlineStr">
        <is>
          <t>43240</t>
        </is>
      </c>
      <c r="E123" s="17" t="n">
        <v>16862.74</v>
      </c>
      <c r="F123" s="18" t="n">
        <v>2963.59</v>
      </c>
      <c r="G123" s="19" t="inlineStr">
        <is>
          <t>Publicly Held</t>
        </is>
      </c>
      <c r="H123" s="43">
        <f>HYPERLINK("https://my.pitchbook.com?c=41057-20", "View company online")</f>
      </c>
    </row>
    <row r="124">
      <c r="A124" s="21" t="inlineStr">
        <is>
          <t>10333-09</t>
        </is>
      </c>
      <c r="B124" s="22" t="inlineStr">
        <is>
          <t>PRA Health Sciences (NAS: PRAH)</t>
        </is>
      </c>
      <c r="C124" s="23" t="inlineStr">
        <is>
          <t>Raleigh, NC</t>
        </is>
      </c>
      <c r="D124" s="24" t="inlineStr">
        <is>
          <t>27612</t>
        </is>
      </c>
      <c r="E124" s="25" t="n">
        <v>6072.94</v>
      </c>
      <c r="F124" s="26" t="n">
        <v>2932.58</v>
      </c>
      <c r="G124" s="27" t="inlineStr">
        <is>
          <t>Publicly Held</t>
        </is>
      </c>
      <c r="H124" s="44">
        <f>HYPERLINK("https://my.pitchbook.com?c=10333-09", "View company online")</f>
      </c>
    </row>
    <row r="125">
      <c r="A125" s="13" t="inlineStr">
        <is>
          <t>41279-50</t>
        </is>
      </c>
      <c r="B125" s="14" t="inlineStr">
        <is>
          <t>Appalachian Power</t>
        </is>
      </c>
      <c r="C125" s="15" t="inlineStr">
        <is>
          <t>Columbus, OH</t>
        </is>
      </c>
      <c r="D125" s="16" t="inlineStr">
        <is>
          <t>43215</t>
        </is>
      </c>
      <c r="E125" s="17" t="inlineStr">
        <is>
          <t/>
        </is>
      </c>
      <c r="F125" s="18" t="n">
        <v>2928.7</v>
      </c>
      <c r="G125" s="19" t="inlineStr">
        <is>
          <t>Privately Held (no backing)</t>
        </is>
      </c>
      <c r="H125" s="43">
        <f>HYPERLINK("https://my.pitchbook.com?c=41279-50", "View company online")</f>
      </c>
    </row>
    <row r="126">
      <c r="A126" s="21" t="inlineStr">
        <is>
          <t>41269-78</t>
        </is>
      </c>
      <c r="B126" s="22" t="inlineStr">
        <is>
          <t>Caleres (NYS: CAL)</t>
        </is>
      </c>
      <c r="C126" s="23" t="inlineStr">
        <is>
          <t>Saint Louis, MO</t>
        </is>
      </c>
      <c r="D126" s="24" t="inlineStr">
        <is>
          <t>63105</t>
        </is>
      </c>
      <c r="E126" s="25" t="n">
        <v>903.88</v>
      </c>
      <c r="F126" s="26" t="n">
        <v>2926.33</v>
      </c>
      <c r="G126" s="27" t="inlineStr">
        <is>
          <t>Publicly Held</t>
        </is>
      </c>
      <c r="H126" s="44">
        <f>HYPERLINK("https://my.pitchbook.com?c=41269-78", "View company online")</f>
      </c>
    </row>
    <row r="127">
      <c r="A127" s="13" t="inlineStr">
        <is>
          <t>41088-34</t>
        </is>
      </c>
      <c r="B127" s="14" t="inlineStr">
        <is>
          <t>Helmerich &amp; Payne (NYS: HP)</t>
        </is>
      </c>
      <c r="C127" s="15" t="inlineStr">
        <is>
          <t>Tulsa, OK</t>
        </is>
      </c>
      <c r="D127" s="16" t="inlineStr">
        <is>
          <t>74119</t>
        </is>
      </c>
      <c r="E127" s="17" t="n">
        <v>4205.54</v>
      </c>
      <c r="F127" s="18" t="n">
        <v>2846.27</v>
      </c>
      <c r="G127" s="19" t="inlineStr">
        <is>
          <t>Publicly Held</t>
        </is>
      </c>
      <c r="H127" s="43">
        <f>HYPERLINK("https://my.pitchbook.com?c=41088-34", "View company online")</f>
      </c>
    </row>
    <row r="128">
      <c r="A128" s="21" t="inlineStr">
        <is>
          <t>11839-87</t>
        </is>
      </c>
      <c r="B128" s="22" t="inlineStr">
        <is>
          <t>Magellan Midstream Partners (NYS: MMP)</t>
        </is>
      </c>
      <c r="C128" s="23" t="inlineStr">
        <is>
          <t>Tulsa, OK</t>
        </is>
      </c>
      <c r="D128" s="24" t="inlineStr">
        <is>
          <t>74172</t>
        </is>
      </c>
      <c r="E128" s="25" t="n">
        <v>14793.69</v>
      </c>
      <c r="F128" s="26" t="n">
        <v>2834.34</v>
      </c>
      <c r="G128" s="27" t="inlineStr">
        <is>
          <t>Publicly Held</t>
        </is>
      </c>
      <c r="H128" s="44">
        <f>HYPERLINK("https://my.pitchbook.com?c=11839-87", "View company online")</f>
      </c>
    </row>
    <row r="129">
      <c r="A129" s="13" t="inlineStr">
        <is>
          <t>41283-73</t>
        </is>
      </c>
      <c r="B129" s="14" t="inlineStr">
        <is>
          <t>Valmont Industries (NYS: VMI)</t>
        </is>
      </c>
      <c r="C129" s="15" t="inlineStr">
        <is>
          <t>Omaha, NE</t>
        </is>
      </c>
      <c r="D129" s="16" t="inlineStr">
        <is>
          <t>68154</t>
        </is>
      </c>
      <c r="E129" s="17" t="n">
        <v>3001.33</v>
      </c>
      <c r="F129" s="18" t="n">
        <v>2769.07</v>
      </c>
      <c r="G129" s="19" t="inlineStr">
        <is>
          <t>Publicly Held</t>
        </is>
      </c>
      <c r="H129" s="43">
        <f>HYPERLINK("https://my.pitchbook.com?c=41283-73", "View company online")</f>
      </c>
    </row>
    <row r="130">
      <c r="A130" s="21" t="inlineStr">
        <is>
          <t>10361-53</t>
        </is>
      </c>
      <c r="B130" s="22" t="inlineStr">
        <is>
          <t>Allison Transmission (NYS: ALSN)</t>
        </is>
      </c>
      <c r="C130" s="23" t="inlineStr">
        <is>
          <t>Indianapolis, IN</t>
        </is>
      </c>
      <c r="D130" s="24" t="inlineStr">
        <is>
          <t>46222</t>
        </is>
      </c>
      <c r="E130" s="25" t="n">
        <v>5457.78</v>
      </c>
      <c r="F130" s="26" t="n">
        <v>2751.0</v>
      </c>
      <c r="G130" s="27" t="inlineStr">
        <is>
          <t>Publicly Held</t>
        </is>
      </c>
      <c r="H130" s="44">
        <f>HYPERLINK("https://my.pitchbook.com?c=10361-53", "View company online")</f>
      </c>
    </row>
    <row r="131">
      <c r="A131" s="13" t="inlineStr">
        <is>
          <t>235052-92</t>
        </is>
      </c>
      <c r="B131" s="14" t="inlineStr">
        <is>
          <t>Kontoor Brands (NYS: KTB)</t>
        </is>
      </c>
      <c r="C131" s="15" t="inlineStr">
        <is>
          <t>Greensboro, NC</t>
        </is>
      </c>
      <c r="D131" s="16" t="inlineStr">
        <is>
          <t>27401</t>
        </is>
      </c>
      <c r="E131" s="17" t="n">
        <v>2223.41</v>
      </c>
      <c r="F131" s="18" t="n">
        <v>2688.57</v>
      </c>
      <c r="G131" s="19" t="inlineStr">
        <is>
          <t>Publicly Held</t>
        </is>
      </c>
      <c r="H131" s="43">
        <f>HYPERLINK("https://my.pitchbook.com?c=235052-92", "View company online")</f>
      </c>
    </row>
    <row r="132">
      <c r="A132" s="21" t="inlineStr">
        <is>
          <t>11425-69</t>
        </is>
      </c>
      <c r="B132" s="22" t="inlineStr">
        <is>
          <t>Verso (NYS: VRS)</t>
        </is>
      </c>
      <c r="C132" s="23" t="inlineStr">
        <is>
          <t>Miamisburg, OH</t>
        </is>
      </c>
      <c r="D132" s="24" t="inlineStr">
        <is>
          <t>45342</t>
        </is>
      </c>
      <c r="E132" s="25" t="n">
        <v>468.68</v>
      </c>
      <c r="F132" s="26" t="n">
        <v>2640.0</v>
      </c>
      <c r="G132" s="27" t="inlineStr">
        <is>
          <t>Publicly Held</t>
        </is>
      </c>
      <c r="H132" s="44">
        <f>HYPERLINK("https://my.pitchbook.com?c=11425-69", "View company online")</f>
      </c>
    </row>
    <row r="133">
      <c r="A133" s="13" t="inlineStr">
        <is>
          <t>41149-00</t>
        </is>
      </c>
      <c r="B133" s="14" t="inlineStr">
        <is>
          <t>Euronet Worldwide (NAS: EEFT)</t>
        </is>
      </c>
      <c r="C133" s="15" t="inlineStr">
        <is>
          <t>Leawood, KS</t>
        </is>
      </c>
      <c r="D133" s="16" t="inlineStr">
        <is>
          <t>66211</t>
        </is>
      </c>
      <c r="E133" s="17" t="n">
        <v>7993.77</v>
      </c>
      <c r="F133" s="18" t="n">
        <v>2633.27</v>
      </c>
      <c r="G133" s="19" t="inlineStr">
        <is>
          <t>Publicly Held</t>
        </is>
      </c>
      <c r="H133" s="43">
        <f>HYPERLINK("https://my.pitchbook.com?c=41149-00", "View company online")</f>
      </c>
    </row>
    <row r="134">
      <c r="A134" s="21" t="inlineStr">
        <is>
          <t>41087-53</t>
        </is>
      </c>
      <c r="B134" s="22" t="inlineStr">
        <is>
          <t>Herman Miller (NAS: MLHR)</t>
        </is>
      </c>
      <c r="C134" s="23" t="inlineStr">
        <is>
          <t>Zeeland, MI</t>
        </is>
      </c>
      <c r="D134" s="24" t="inlineStr">
        <is>
          <t>49464</t>
        </is>
      </c>
      <c r="E134" s="25" t="n">
        <v>2743.85</v>
      </c>
      <c r="F134" s="26" t="n">
        <v>2613.5</v>
      </c>
      <c r="G134" s="27" t="inlineStr">
        <is>
          <t>Publicly Held</t>
        </is>
      </c>
      <c r="H134" s="44">
        <f>HYPERLINK("https://my.pitchbook.com?c=41087-53", "View company online")</f>
      </c>
    </row>
    <row r="135">
      <c r="A135" s="13" t="inlineStr">
        <is>
          <t>42034-42</t>
        </is>
      </c>
      <c r="B135" s="14" t="inlineStr">
        <is>
          <t>Texas Roadhouse (NAS: TXRH)</t>
        </is>
      </c>
      <c r="C135" s="15" t="inlineStr">
        <is>
          <t>Louisville, KY</t>
        </is>
      </c>
      <c r="D135" s="16" t="inlineStr">
        <is>
          <t>40205</t>
        </is>
      </c>
      <c r="E135" s="17" t="n">
        <v>3411.9</v>
      </c>
      <c r="F135" s="18" t="n">
        <v>2580.94</v>
      </c>
      <c r="G135" s="19" t="inlineStr">
        <is>
          <t>Publicly Held</t>
        </is>
      </c>
      <c r="H135" s="43">
        <f>HYPERLINK("https://my.pitchbook.com?c=42034-42", "View company online")</f>
      </c>
    </row>
    <row r="136">
      <c r="A136" s="21" t="inlineStr">
        <is>
          <t>41145-67</t>
        </is>
      </c>
      <c r="B136" s="22" t="inlineStr">
        <is>
          <t>Ameren Illinois</t>
        </is>
      </c>
      <c r="C136" s="23" t="inlineStr">
        <is>
          <t>Collinsville, IL</t>
        </is>
      </c>
      <c r="D136" s="24" t="inlineStr">
        <is>
          <t>62234</t>
        </is>
      </c>
      <c r="E136" s="25" t="inlineStr">
        <is>
          <t/>
        </is>
      </c>
      <c r="F136" s="26" t="n">
        <v>2547.0</v>
      </c>
      <c r="G136" s="27" t="inlineStr">
        <is>
          <t>Publicly Held</t>
        </is>
      </c>
      <c r="H136" s="44">
        <f>HYPERLINK("https://my.pitchbook.com?c=41145-67", "View company online")</f>
      </c>
    </row>
    <row r="137">
      <c r="A137" s="13" t="inlineStr">
        <is>
          <t>42781-15</t>
        </is>
      </c>
      <c r="B137" s="14" t="inlineStr">
        <is>
          <t>Belden (NYS: BDC)</t>
        </is>
      </c>
      <c r="C137" s="15" t="inlineStr">
        <is>
          <t>Saint Louis, MO</t>
        </is>
      </c>
      <c r="D137" s="16" t="inlineStr">
        <is>
          <t>63105</t>
        </is>
      </c>
      <c r="E137" s="17" t="n">
        <v>2453.07</v>
      </c>
      <c r="F137" s="18" t="n">
        <v>2535.87</v>
      </c>
      <c r="G137" s="19" t="inlineStr">
        <is>
          <t>Publicly Held</t>
        </is>
      </c>
      <c r="H137" s="43">
        <f>HYPERLINK("https://my.pitchbook.com?c=42781-15", "View company online")</f>
      </c>
    </row>
    <row r="138">
      <c r="A138" s="21" t="inlineStr">
        <is>
          <t>63975-16</t>
        </is>
      </c>
      <c r="B138" s="22" t="inlineStr">
        <is>
          <t>EBSCO Industries</t>
        </is>
      </c>
      <c r="C138" s="23" t="inlineStr">
        <is>
          <t>Birmingham, AL</t>
        </is>
      </c>
      <c r="D138" s="24" t="inlineStr">
        <is>
          <t>35201</t>
        </is>
      </c>
      <c r="E138" s="25" t="inlineStr">
        <is>
          <t/>
        </is>
      </c>
      <c r="F138" s="26" t="n">
        <v>2500.0</v>
      </c>
      <c r="G138" s="27" t="inlineStr">
        <is>
          <t>Privately Held (no backing)</t>
        </is>
      </c>
      <c r="H138" s="44">
        <f>HYPERLINK("https://my.pitchbook.com?c=63975-16", "View company online")</f>
      </c>
    </row>
    <row r="139">
      <c r="A139" s="13" t="inlineStr">
        <is>
          <t>41110-03</t>
        </is>
      </c>
      <c r="B139" s="14" t="inlineStr">
        <is>
          <t>Louisiana-Pacific (NYS: LPX)</t>
        </is>
      </c>
      <c r="C139" s="15" t="inlineStr">
        <is>
          <t>Nashville, TN</t>
        </is>
      </c>
      <c r="D139" s="16" t="inlineStr">
        <is>
          <t>37219</t>
        </is>
      </c>
      <c r="E139" s="17" t="n">
        <v>3246.64</v>
      </c>
      <c r="F139" s="18" t="n">
        <v>2495.9</v>
      </c>
      <c r="G139" s="19" t="inlineStr">
        <is>
          <t>Publicly Held</t>
        </is>
      </c>
      <c r="H139" s="43">
        <f>HYPERLINK("https://my.pitchbook.com?c=41110-03", "View company online")</f>
      </c>
    </row>
    <row r="140">
      <c r="A140" s="21" t="inlineStr">
        <is>
          <t>51422-41</t>
        </is>
      </c>
      <c r="B140" s="22" t="inlineStr">
        <is>
          <t>SemGroup (NYS: SEMG)</t>
        </is>
      </c>
      <c r="C140" s="23" t="inlineStr">
        <is>
          <t>Louisville, KY</t>
        </is>
      </c>
      <c r="D140" s="24" t="inlineStr">
        <is>
          <t>40233</t>
        </is>
      </c>
      <c r="E140" s="25" t="n">
        <v>1284.96</v>
      </c>
      <c r="F140" s="26" t="n">
        <v>2488.03</v>
      </c>
      <c r="G140" s="27" t="inlineStr">
        <is>
          <t>Publicly Held</t>
        </is>
      </c>
      <c r="H140" s="44">
        <f>HYPERLINK("https://my.pitchbook.com?c=51422-41", "View company online")</f>
      </c>
    </row>
    <row r="141">
      <c r="A141" s="13" t="inlineStr">
        <is>
          <t>41252-86</t>
        </is>
      </c>
      <c r="B141" s="14" t="inlineStr">
        <is>
          <t>Mueller Industries (NYS: MLI)</t>
        </is>
      </c>
      <c r="C141" s="15" t="inlineStr">
        <is>
          <t>Memphis, TN</t>
        </is>
      </c>
      <c r="D141" s="16" t="inlineStr">
        <is>
          <t>38125</t>
        </is>
      </c>
      <c r="E141" s="17" t="n">
        <v>1655.22</v>
      </c>
      <c r="F141" s="18" t="n">
        <v>2483.22</v>
      </c>
      <c r="G141" s="19" t="inlineStr">
        <is>
          <t>Publicly Held</t>
        </is>
      </c>
      <c r="H141" s="43">
        <f>HYPERLINK("https://my.pitchbook.com?c=41252-86", "View company online")</f>
      </c>
    </row>
    <row r="142">
      <c r="A142" s="21" t="inlineStr">
        <is>
          <t>41185-81</t>
        </is>
      </c>
      <c r="B142" s="22" t="inlineStr">
        <is>
          <t>Curtiss-Wright (NYS: CW)</t>
        </is>
      </c>
      <c r="C142" s="23" t="inlineStr">
        <is>
          <t>Davidson, NC</t>
        </is>
      </c>
      <c r="D142" s="24" t="inlineStr">
        <is>
          <t>28036</t>
        </is>
      </c>
      <c r="E142" s="25" t="n">
        <v>5372.88</v>
      </c>
      <c r="F142" s="26" t="n">
        <v>2461.32</v>
      </c>
      <c r="G142" s="27" t="inlineStr">
        <is>
          <t>Publicly Held</t>
        </is>
      </c>
      <c r="H142" s="44">
        <f>HYPERLINK("https://my.pitchbook.com?c=41185-81", "View company online")</f>
      </c>
    </row>
    <row r="143">
      <c r="A143" s="13" t="inlineStr">
        <is>
          <t>13339-00</t>
        </is>
      </c>
      <c r="B143" s="14" t="inlineStr">
        <is>
          <t>Arch Coal (NYS: ARCH)</t>
        </is>
      </c>
      <c r="C143" s="15" t="inlineStr">
        <is>
          <t>Creve Coeur, MO</t>
        </is>
      </c>
      <c r="D143" s="16" t="inlineStr">
        <is>
          <t>63141</t>
        </is>
      </c>
      <c r="E143" s="17" t="n">
        <v>1283.56</v>
      </c>
      <c r="F143" s="18" t="n">
        <v>2409.55</v>
      </c>
      <c r="G143" s="19" t="inlineStr">
        <is>
          <t>Publicly Held</t>
        </is>
      </c>
      <c r="H143" s="43">
        <f>HYPERLINK("https://my.pitchbook.com?c=13339-00", "View company online")</f>
      </c>
    </row>
    <row r="144">
      <c r="A144" s="21" t="inlineStr">
        <is>
          <t>41349-07</t>
        </is>
      </c>
      <c r="B144" s="22" t="inlineStr">
        <is>
          <t>M/I Homes (NYS: MHO)</t>
        </is>
      </c>
      <c r="C144" s="23" t="inlineStr">
        <is>
          <t>Columbus, OH</t>
        </is>
      </c>
      <c r="D144" s="24" t="inlineStr">
        <is>
          <t>43219</t>
        </is>
      </c>
      <c r="E144" s="25" t="n">
        <v>1087.57</v>
      </c>
      <c r="F144" s="26" t="n">
        <v>2395.12</v>
      </c>
      <c r="G144" s="27" t="inlineStr">
        <is>
          <t>Publicly Held</t>
        </is>
      </c>
      <c r="H144" s="44">
        <f>HYPERLINK("https://my.pitchbook.com?c=41349-07", "View company online")</f>
      </c>
    </row>
    <row r="145">
      <c r="A145" s="13" t="inlineStr">
        <is>
          <t>52314-13</t>
        </is>
      </c>
      <c r="B145" s="14" t="inlineStr">
        <is>
          <t>WPX Energy (NYS: WPX)</t>
        </is>
      </c>
      <c r="C145" s="15" t="inlineStr">
        <is>
          <t>Tulsa, OK</t>
        </is>
      </c>
      <c r="D145" s="16" t="inlineStr">
        <is>
          <t>74172</t>
        </is>
      </c>
      <c r="E145" s="17" t="n">
        <v>4042.32</v>
      </c>
      <c r="F145" s="18" t="n">
        <v>2385.0</v>
      </c>
      <c r="G145" s="19" t="inlineStr">
        <is>
          <t>Publicly Held</t>
        </is>
      </c>
      <c r="H145" s="43">
        <f>HYPERLINK("https://my.pitchbook.com?c=52314-13", "View company online")</f>
      </c>
    </row>
    <row r="146">
      <c r="A146" s="21" t="inlineStr">
        <is>
          <t>11809-18</t>
        </is>
      </c>
      <c r="B146" s="22" t="inlineStr">
        <is>
          <t>BrightSpring Health Services</t>
        </is>
      </c>
      <c r="C146" s="23" t="inlineStr">
        <is>
          <t>Louisville, KY</t>
        </is>
      </c>
      <c r="D146" s="24" t="inlineStr">
        <is>
          <t>40222</t>
        </is>
      </c>
      <c r="E146" s="25" t="inlineStr">
        <is>
          <t/>
        </is>
      </c>
      <c r="F146" s="26" t="n">
        <v>2280.0</v>
      </c>
      <c r="G146" s="27" t="inlineStr">
        <is>
          <t>Acquired/Merged (Operating Subsidiary)</t>
        </is>
      </c>
      <c r="H146" s="44">
        <f>HYPERLINK("https://my.pitchbook.com?c=11809-18", "View company online")</f>
      </c>
    </row>
    <row r="147">
      <c r="A147" s="13" t="inlineStr">
        <is>
          <t>115048-90</t>
        </is>
      </c>
      <c r="B147" s="14" t="inlineStr">
        <is>
          <t>Energizer Holdings (NYS: ENR)</t>
        </is>
      </c>
      <c r="C147" s="15" t="inlineStr">
        <is>
          <t>Saint Louis, MO</t>
        </is>
      </c>
      <c r="D147" s="16" t="inlineStr">
        <is>
          <t>63141</t>
        </is>
      </c>
      <c r="E147" s="17" t="n">
        <v>2851.17</v>
      </c>
      <c r="F147" s="18" t="n">
        <v>2232.7</v>
      </c>
      <c r="G147" s="19" t="inlineStr">
        <is>
          <t>Publicly Held</t>
        </is>
      </c>
      <c r="H147" s="43">
        <f>HYPERLINK("https://my.pitchbook.com?c=115048-90", "View company online")</f>
      </c>
    </row>
    <row r="148">
      <c r="A148" s="21" t="inlineStr">
        <is>
          <t>41035-33</t>
        </is>
      </c>
      <c r="B148" s="22" t="inlineStr">
        <is>
          <t>Wolverine World Wide (NYS: WWW)</t>
        </is>
      </c>
      <c r="C148" s="23" t="inlineStr">
        <is>
          <t>Rockford, MI</t>
        </is>
      </c>
      <c r="D148" s="24" t="inlineStr">
        <is>
          <t>49351</t>
        </is>
      </c>
      <c r="E148" s="25" t="n">
        <v>2467.21</v>
      </c>
      <c r="F148" s="26" t="n">
        <v>2230.2</v>
      </c>
      <c r="G148" s="27" t="inlineStr">
        <is>
          <t>Publicly Held</t>
        </is>
      </c>
      <c r="H148" s="44">
        <f>HYPERLINK("https://my.pitchbook.com?c=41035-33", "View company online")</f>
      </c>
    </row>
    <row r="149">
      <c r="A149" s="13" t="inlineStr">
        <is>
          <t>41041-72</t>
        </is>
      </c>
      <c r="B149" s="14" t="inlineStr">
        <is>
          <t>Oge Energy (NYS: OGE)</t>
        </is>
      </c>
      <c r="C149" s="15" t="inlineStr">
        <is>
          <t>Oklahoma City, OK</t>
        </is>
      </c>
      <c r="D149" s="16" t="inlineStr">
        <is>
          <t>73101</t>
        </is>
      </c>
      <c r="E149" s="17" t="n">
        <v>8597.55</v>
      </c>
      <c r="F149" s="18" t="n">
        <v>2214.3</v>
      </c>
      <c r="G149" s="19" t="inlineStr">
        <is>
          <t>Publicly Held</t>
        </is>
      </c>
      <c r="H149" s="43">
        <f>HYPERLINK("https://my.pitchbook.com?c=41041-72", "View company online")</f>
      </c>
    </row>
    <row r="150">
      <c r="A150" s="21" t="inlineStr">
        <is>
          <t>52241-32</t>
        </is>
      </c>
      <c r="B150" s="22" t="inlineStr">
        <is>
          <t>Fanatics</t>
        </is>
      </c>
      <c r="C150" s="23" t="inlineStr">
        <is>
          <t>Jacksonville, FL</t>
        </is>
      </c>
      <c r="D150" s="24" t="inlineStr">
        <is>
          <t>32256</t>
        </is>
      </c>
      <c r="E150" s="25" t="inlineStr">
        <is>
          <t/>
        </is>
      </c>
      <c r="F150" s="26" t="n">
        <v>2200.0</v>
      </c>
      <c r="G150" s="27" t="inlineStr">
        <is>
          <t>Privately Held (backing)</t>
        </is>
      </c>
      <c r="H150" s="44">
        <f>HYPERLINK("https://my.pitchbook.com?c=52241-32", "View company online")</f>
      </c>
    </row>
    <row r="151">
      <c r="A151" s="13" t="inlineStr">
        <is>
          <t>41299-75</t>
        </is>
      </c>
      <c r="B151" s="14" t="inlineStr">
        <is>
          <t>Alliance Resource Partners (NAS: ARLP)</t>
        </is>
      </c>
      <c r="C151" s="15" t="inlineStr">
        <is>
          <t>Tulsa, OK</t>
        </is>
      </c>
      <c r="D151" s="16" t="inlineStr">
        <is>
          <t>74119</t>
        </is>
      </c>
      <c r="E151" s="17" t="n">
        <v>1789.77</v>
      </c>
      <c r="F151" s="18" t="n">
        <v>2073.25</v>
      </c>
      <c r="G151" s="19" t="inlineStr">
        <is>
          <t>Publicly Held</t>
        </is>
      </c>
      <c r="H151" s="43">
        <f>HYPERLINK("https://my.pitchbook.com?c=41299-75", "View company online")</f>
      </c>
    </row>
    <row r="152">
      <c r="A152" s="21" t="inlineStr">
        <is>
          <t>10395-73</t>
        </is>
      </c>
      <c r="B152" s="22" t="inlineStr">
        <is>
          <t>Express (NYS: EXPR)</t>
        </is>
      </c>
      <c r="C152" s="23" t="inlineStr">
        <is>
          <t>Columbus, OH</t>
        </is>
      </c>
      <c r="D152" s="24" t="inlineStr">
        <is>
          <t>43230</t>
        </is>
      </c>
      <c r="E152" s="25" t="n">
        <v>230.05</v>
      </c>
      <c r="F152" s="26" t="n">
        <v>2067.37</v>
      </c>
      <c r="G152" s="27" t="inlineStr">
        <is>
          <t>Publicly Held</t>
        </is>
      </c>
      <c r="H152" s="44">
        <f>HYPERLINK("https://my.pitchbook.com?c=10395-73", "View company online")</f>
      </c>
    </row>
    <row r="153">
      <c r="A153" s="13" t="inlineStr">
        <is>
          <t>64139-59</t>
        </is>
      </c>
      <c r="B153" s="14" t="inlineStr">
        <is>
          <t>Rayonier Advanced Materials (NYS: RYAM)</t>
        </is>
      </c>
      <c r="C153" s="15" t="inlineStr">
        <is>
          <t>Jacksonville, FL</t>
        </is>
      </c>
      <c r="D153" s="16" t="inlineStr">
        <is>
          <t>32207</t>
        </is>
      </c>
      <c r="E153" s="17" t="n">
        <v>266.91</v>
      </c>
      <c r="F153" s="18" t="n">
        <v>2041.3</v>
      </c>
      <c r="G153" s="19" t="inlineStr">
        <is>
          <t>Publicly Held</t>
        </is>
      </c>
      <c r="H153" s="43">
        <f>HYPERLINK("https://my.pitchbook.com?c=64139-59", "View company online")</f>
      </c>
    </row>
    <row r="154">
      <c r="A154" s="21" t="inlineStr">
        <is>
          <t>41476-51</t>
        </is>
      </c>
      <c r="B154" s="22" t="inlineStr">
        <is>
          <t>Spire Energy (NYS: SR)</t>
        </is>
      </c>
      <c r="C154" s="23" t="inlineStr">
        <is>
          <t>Saint Louis, MO</t>
        </is>
      </c>
      <c r="D154" s="24" t="inlineStr">
        <is>
          <t>63101</t>
        </is>
      </c>
      <c r="E154" s="25" t="n">
        <v>4276.12</v>
      </c>
      <c r="F154" s="26" t="n">
        <v>1966.0</v>
      </c>
      <c r="G154" s="27" t="inlineStr">
        <is>
          <t>Publicly Held</t>
        </is>
      </c>
      <c r="H154" s="44">
        <f>HYPERLINK("https://my.pitchbook.com?c=41476-51", "View company online")</f>
      </c>
    </row>
    <row r="157">
      <c r="A157" s="12" t="inlineStr">
        <is>
          <t>© PitchBook Data, Inc. 2019</t>
        </is>
      </c>
    </row>
  </sheetData>
  <mergeCells count="2">
    <mergeCell ref="B4:D6"/>
    <mergeCell ref="B3:C3"/>
  </mergeCells>
  <hyperlinks>
    <hyperlink display="https://my.pitchbook.com/?pcc=262698-40" ref="B3" r:id="rId3"/>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I21"/>
  <sheetViews>
    <sheetView workbookViewId="0" showGridLines="false" tabSelected="false">
      <selection activeCell="A100" sqref="A100"/>
    </sheetView>
  </sheetViews>
  <sheetFormatPr defaultRowHeight="15.0"/>
  <cols>
    <col min="1" max="1" width="19.1640625" customWidth="true"/>
    <col min="2" max="2" width="23.1640625" customWidth="true"/>
    <col min="3" max="3" width="9.1640625" customWidth="true"/>
    <col min="4" max="4" width="9.1640625" customWidth="true"/>
    <col min="5" max="5" width="9.1640625" customWidth="true"/>
    <col min="6" max="6" width="9.1640625" customWidth="true"/>
    <col min="7" max="7" width="9.1640625" customWidth="true"/>
    <col min="8" max="8" width="2.83203125" customWidth="true"/>
    <col min="9" max="9" width="26.5" customWidth="true"/>
    <col min="10" max="10" width="9.1640625" customWidth="true"/>
    <col min="11" max="11" width="9.1640625" customWidth="true"/>
    <col min="12" max="12" width="9.1640625" customWidth="true"/>
    <col min="13" max="13" width="9.1640625" customWidth="true"/>
    <col min="14" max="14" width="9.1640625" customWidth="true"/>
    <col min="15" max="15" width="9.1640625" customWidth="true"/>
    <col min="16" max="16" width="9.1640625" customWidth="true"/>
    <col min="17" max="17" width="9.1640625" customWidth="true"/>
  </cols>
  <sheetData>
    <row r="1">
      <c r="A1" t="s" s="45">
        <v>18</v>
      </c>
    </row>
    <row r="3">
      <c r="A3" t="s" s="46">
        <v>19</v>
      </c>
    </row>
    <row r="4">
      <c r="A4" t="s" s="54">
        <v>20</v>
      </c>
    </row>
    <row r="6">
      <c r="A6" t="s" s="48">
        <v>21</v>
      </c>
      <c r="B6" t="s" s="53">
        <v>22</v>
      </c>
      <c r="C6" t="s" s="50">
        <v>23</v>
      </c>
    </row>
    <row r="8">
      <c r="A8" t="s" s="51">
        <v>24</v>
      </c>
      <c r="I8" t="s" s="55">
        <v>25</v>
      </c>
    </row>
    <row r="10">
      <c r="A10" t="s" s="56">
        <v>26</v>
      </c>
    </row>
    <row r="21">
      <c r="A21"/>
    </row>
  </sheetData>
  <sheetProtection password="C9C1" sheet="true" scenarios="true" objects="true"/>
  <hyperlinks>
    <hyperlink display="PitchBook User Agreement" ref="B6" r:id="rId1"/>
    <hyperlink display="clientservices@pitchbook.com " ref="A4" r:id="rId2"/>
    <hyperlink display="clientservices@pitchbook.com." ref="I8" r:id="rId3"/>
  </hyperlink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2</vt:i4>
      </vt:variant>
    </vt:vector>
  </HeadingPairs>
  <TitlesOfParts>
    <vt:vector size="3" baseType="lpstr">
      <vt:lpstr>Data</vt:lpstr>
      <vt:lpstr>CreatedFor</vt:lpstr>
      <vt:lpstr>CreatedForTitle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2010-12-15T16:54:07Z</dcterms:created>
  <dc:creator>PitchBook</dc:creator>
  <cp:lastModifiedBy>PitchBook</cp:lastModifiedBy>
  <dcterms:modified xsi:type="dcterms:W3CDTF">2018-07-26T12:21:18Z</dcterms:modified>
</cp:coreProperties>
</file>