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gran\Documents\Python\test\"/>
    </mc:Choice>
  </mc:AlternateContent>
  <xr:revisionPtr revIDLastSave="0" documentId="13_ncr:1_{DE540CB3-F2FE-4768-8917-DEE4B0D36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As2" sheetId="2" r:id="rId2"/>
  </sheets>
  <definedNames>
    <definedName name="Beton">List1!$B$2</definedName>
    <definedName name="c_">List1!$B$18</definedName>
    <definedName name="cotθ">List1!$B$17</definedName>
    <definedName name="d_g">List1!$B$16</definedName>
    <definedName name="E_cm">List1!$B$9</definedName>
    <definedName name="E_s">List1!$B$14</definedName>
    <definedName name="f_cd">List1!$B$4</definedName>
    <definedName name="f_ck">List1!$B$3</definedName>
    <definedName name="f_cm">List1!$B$5</definedName>
    <definedName name="f_ctk0.05">List1!$B$7</definedName>
    <definedName name="f_ctk0.95">List1!$B$8</definedName>
    <definedName name="f_ctm">List1!$B$6</definedName>
    <definedName name="f_yd">List1!$B$13</definedName>
    <definedName name="f_yk">List1!$B$12</definedName>
    <definedName name="ν">List1!$B$10</definedName>
    <definedName name="ν_">List1!$B$11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B50" i="1"/>
  <c r="B49" i="1"/>
  <c r="B47" i="1"/>
  <c r="B45" i="1"/>
  <c r="B6" i="1"/>
  <c r="B106" i="1"/>
  <c r="B43" i="1" l="1"/>
  <c r="B4" i="1"/>
  <c r="B53" i="1"/>
  <c r="B3" i="1"/>
  <c r="B44" i="1" l="1"/>
  <c r="B51" i="1" a="1"/>
  <c r="B51" i="1" s="1"/>
  <c r="B102" i="1"/>
  <c r="B62" i="1"/>
  <c r="B63" i="1" s="1"/>
  <c r="B65" i="1" s="1"/>
  <c r="B74" i="1" s="1"/>
  <c r="B61" i="1"/>
  <c r="B79" i="1" s="1"/>
  <c r="B60" i="1"/>
  <c r="B70" i="1" s="1"/>
  <c r="B76" i="1"/>
  <c r="B69" i="1"/>
  <c r="B77" i="1" l="1"/>
  <c r="B78" i="1" s="1"/>
  <c r="B80" i="1" s="1"/>
  <c r="B75" i="1"/>
  <c r="B46" i="1" l="1"/>
  <c r="B56" i="1"/>
  <c r="B11" i="1"/>
  <c r="B32" i="1"/>
  <c r="B31" i="1"/>
  <c r="B33" i="1" s="1"/>
  <c r="B103" i="1" l="1"/>
  <c r="B104" i="1" s="1"/>
  <c r="B97" i="1"/>
  <c r="B42" i="1"/>
  <c r="B30" i="1"/>
  <c r="B13" i="1"/>
  <c r="B37" i="1"/>
  <c r="B35" i="1" l="1"/>
  <c r="B38" i="1"/>
  <c r="B10" i="1"/>
  <c r="B5" i="1"/>
  <c r="B9" i="1" s="1"/>
  <c r="B7" i="1" l="1"/>
  <c r="B8" i="1"/>
  <c r="B71" i="1" l="1"/>
  <c r="B72" i="1" s="1"/>
  <c r="B48" i="1"/>
  <c r="B89" i="1" s="1"/>
  <c r="B90" i="1" s="1"/>
  <c r="B87" i="1" l="1"/>
  <c r="B88" i="1" s="1"/>
  <c r="B95" i="1" s="1"/>
  <c r="B67" i="1"/>
  <c r="B91" i="1" l="1"/>
  <c r="B92" i="1" s="1"/>
  <c r="B55" i="1"/>
  <c r="B58" i="1" s="1"/>
  <c r="B66" i="1"/>
  <c r="B68" i="1" s="1"/>
  <c r="B73" i="1" s="1"/>
  <c r="B84" i="1" l="1"/>
  <c r="B85" i="1"/>
  <c r="B105" i="1"/>
  <c r="B107" i="1" s="1"/>
  <c r="B108" i="1" s="1"/>
  <c r="B96" i="1"/>
  <c r="B98" i="1" s="1"/>
  <c r="B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<sst xmlns="http://schemas.openxmlformats.org/spreadsheetml/2006/main" count="229" uniqueCount="120">
  <si>
    <t>Mechanické vlastnosti betonu a oceli</t>
  </si>
  <si>
    <t>Beton</t>
  </si>
  <si>
    <t>C 50/60</t>
  </si>
  <si>
    <t>f ck</t>
  </si>
  <si>
    <t>MPa</t>
  </si>
  <si>
    <t>f cd</t>
  </si>
  <si>
    <t>f cm</t>
  </si>
  <si>
    <t>f ctm</t>
  </si>
  <si>
    <t>E cm</t>
  </si>
  <si>
    <t>ν</t>
  </si>
  <si>
    <t>ν'</t>
  </si>
  <si>
    <t>f yk</t>
  </si>
  <si>
    <t>f yd</t>
  </si>
  <si>
    <t>E s</t>
  </si>
  <si>
    <t>Konstanty</t>
  </si>
  <si>
    <t>d g</t>
  </si>
  <si>
    <t>mm</t>
  </si>
  <si>
    <t>cotθ</t>
  </si>
  <si>
    <t>Příhradová anologie - kratká konzola</t>
  </si>
  <si>
    <t>Geometrie konzoly</t>
  </si>
  <si>
    <t>L</t>
  </si>
  <si>
    <t>H</t>
  </si>
  <si>
    <t>B</t>
  </si>
  <si>
    <t>Geometrie ložiska</t>
  </si>
  <si>
    <t>e</t>
  </si>
  <si>
    <t>u</t>
  </si>
  <si>
    <t>l ložisko</t>
  </si>
  <si>
    <t>b ložisko</t>
  </si>
  <si>
    <t>Δh</t>
  </si>
  <si>
    <t>A ložisko</t>
  </si>
  <si>
    <t>a c</t>
  </si>
  <si>
    <t>h c</t>
  </si>
  <si>
    <t>k 1</t>
  </si>
  <si>
    <t>σ Rd,CCC</t>
  </si>
  <si>
    <t>k 2</t>
  </si>
  <si>
    <t>σ Rd,CCT</t>
  </si>
  <si>
    <t>σ Rd,max</t>
  </si>
  <si>
    <t>Návrh hlavní tahové výztuže</t>
  </si>
  <si>
    <t>F Ed</t>
  </si>
  <si>
    <t>kN</t>
  </si>
  <si>
    <t>H Ed</t>
  </si>
  <si>
    <t>x 1</t>
  </si>
  <si>
    <t>d'</t>
  </si>
  <si>
    <t>a</t>
  </si>
  <si>
    <t>d</t>
  </si>
  <si>
    <t>y 1</t>
  </si>
  <si>
    <t>z</t>
  </si>
  <si>
    <t>F t</t>
  </si>
  <si>
    <t>A s,req</t>
  </si>
  <si>
    <t>A s</t>
  </si>
  <si>
    <t>n</t>
  </si>
  <si>
    <t>Kontrola zakřivení prutu</t>
  </si>
  <si>
    <t>F bt</t>
  </si>
  <si>
    <t>a b</t>
  </si>
  <si>
    <t>Posouzení tlačené diagonaly</t>
  </si>
  <si>
    <t>θ</t>
  </si>
  <si>
    <t>F c</t>
  </si>
  <si>
    <t>b ef</t>
  </si>
  <si>
    <t>σ</t>
  </si>
  <si>
    <t>Vodorovné třmínky</t>
  </si>
  <si>
    <t>2F t</t>
  </si>
  <si>
    <t>2F t,h</t>
  </si>
  <si>
    <t>A sw</t>
  </si>
  <si>
    <t>A swh,req</t>
  </si>
  <si>
    <t>A swh</t>
  </si>
  <si>
    <t>Svislé třmínky</t>
  </si>
  <si>
    <t>a v</t>
  </si>
  <si>
    <t>β</t>
  </si>
  <si>
    <t>βF Ed</t>
  </si>
  <si>
    <t>2F t,v</t>
  </si>
  <si>
    <t>A swv,req</t>
  </si>
  <si>
    <t>A swv</t>
  </si>
  <si>
    <t>Hmotnost</t>
  </si>
  <si>
    <t>Profil</t>
  </si>
  <si>
    <r>
      <t>PRŮŘEZOVÁ PLOCHA A</t>
    </r>
    <r>
      <rPr>
        <b/>
        <vertAlign val="subscript"/>
        <sz val="8.5"/>
        <color rgb="FF000000"/>
        <rFont val="Palatino Linotype"/>
        <family val="1"/>
        <charset val="238"/>
      </rPr>
      <t xml:space="preserve">s </t>
    </r>
    <r>
      <rPr>
        <b/>
        <sz val="8.5"/>
        <color rgb="FF000000"/>
        <rFont val="Palatino Linotype"/>
        <family val="1"/>
        <charset val="238"/>
      </rPr>
      <t>[mm</t>
    </r>
    <r>
      <rPr>
        <b/>
        <vertAlign val="superscript"/>
        <sz val="8.5"/>
        <color rgb="FF000000"/>
        <rFont val="Palatino Linotype"/>
        <family val="1"/>
        <charset val="238"/>
      </rPr>
      <t>2</t>
    </r>
    <r>
      <rPr>
        <b/>
        <sz val="8.5"/>
        <color rgb="FF000000"/>
        <rFont val="Palatino Linotype"/>
        <family val="1"/>
        <charset val="238"/>
      </rPr>
      <t xml:space="preserve">] </t>
    </r>
  </si>
  <si>
    <t>1m prutu</t>
  </si>
  <si>
    <t>prutů Ø</t>
  </si>
  <si>
    <t>Počet prutů [ks]</t>
  </si>
  <si>
    <t>[kg/m]</t>
  </si>
  <si>
    <t>[mm]</t>
  </si>
  <si>
    <t>c</t>
  </si>
  <si>
    <t>Kotevní délka</t>
  </si>
  <si>
    <t>Tah</t>
  </si>
  <si>
    <t>c 1</t>
  </si>
  <si>
    <t>c d</t>
  </si>
  <si>
    <t>σ sd</t>
  </si>
  <si>
    <t>η 1</t>
  </si>
  <si>
    <t>η 2</t>
  </si>
  <si>
    <t>f ctd</t>
  </si>
  <si>
    <t>l b,rqd</t>
  </si>
  <si>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</rPr>
      <t xml:space="preserve"> 1</t>
    </r>
  </si>
  <si>
    <r>
      <t>α</t>
    </r>
    <r>
      <rPr>
        <sz val="11"/>
        <color theme="1"/>
        <rFont val="Calibri"/>
        <family val="2"/>
      </rPr>
      <t xml:space="preserve"> 2</t>
    </r>
  </si>
  <si>
    <t>K</t>
  </si>
  <si>
    <t>Trám</t>
  </si>
  <si>
    <t>ΣA st,min</t>
  </si>
  <si>
    <t>ΣA st</t>
  </si>
  <si>
    <t>λ</t>
  </si>
  <si>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Calibri"/>
        <family val="2"/>
        <charset val="238"/>
        <scheme val="minor"/>
      </rPr>
      <t/>
    </r>
  </si>
  <si>
    <r>
      <t>α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</si>
  <si>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Calibri"/>
        <family val="2"/>
        <charset val="238"/>
        <scheme val="minor"/>
      </rPr>
      <t/>
    </r>
  </si>
  <si>
    <t>l bd</t>
  </si>
  <si>
    <t>l b,min</t>
  </si>
  <si>
    <t>Ohybaný</t>
  </si>
  <si>
    <t>Ostatní</t>
  </si>
  <si>
    <t>Posouzení</t>
  </si>
  <si>
    <t>f ctk0.05</t>
  </si>
  <si>
    <t>f ctk0.95</t>
  </si>
  <si>
    <t>[-]</t>
  </si>
  <si>
    <t>°</t>
  </si>
  <si>
    <t>c kot</t>
  </si>
  <si>
    <t>f bd</t>
  </si>
  <si>
    <t>mm^2</t>
  </si>
  <si>
    <t>⌀ s</t>
  </si>
  <si>
    <t>⌀ m,min</t>
  </si>
  <si>
    <t>⌀ m</t>
  </si>
  <si>
    <t>⌀ tř</t>
  </si>
  <si>
    <t>Section</t>
  </si>
  <si>
    <t>Subsection</t>
  </si>
  <si>
    <t>ArrayFormula</t>
  </si>
  <si>
    <t>Návrh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</si>
</sst>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vertAlign val="subscript"/>
      <sz val="8.5"/>
      <color rgb="FF000000"/>
      <name val="Palatino Linotype"/>
      <family val="1"/>
      <charset val="238"/>
    </font>
    <font>
      <b/>
      <sz val="8.5"/>
      <color rgb="FF000000"/>
      <name val="Palatino Linotype"/>
      <family val="1"/>
      <charset val="238"/>
    </font>
    <font>
      <b/>
      <vertAlign val="superscript"/>
      <sz val="8.5"/>
      <color rgb="FF000000"/>
      <name val="Palatino Linotype"/>
      <family val="1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0" fontId="0" fillId="0" borderId="8" xfId="0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8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64" fontId="0" fillId="2" borderId="0" xfId="0" applyNumberFormat="1" applyFill="1" applyAlignment="1">
      <alignment horizontal="center" vertical="center"/>
    </xf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8"/>
  <sheetViews>
    <sheetView tabSelected="1" topLeftCell="A92" zoomScaleNormal="100" workbookViewId="0">
      <selection activeCell="B42" sqref="B42"/>
    </sheetView>
  </sheetViews>
  <sheetFormatPr defaultColWidth="0" defaultRowHeight="14.4" x14ac:dyDescent="0.3"/>
  <cols>
    <col min="1" max="1" width="8.88671875" customWidth="1"/>
    <col min="2" max="2" width="11.44140625" customWidth="1"/>
    <col min="3" max="10" width="8.88671875" customWidth="1"/>
    <col min="11" max="16383" width="8.88671875" hidden="1"/>
    <col min="16384" max="16384" width="0.109375" hidden="1"/>
  </cols>
  <sheetData>
    <row r="1" spans="1:4" ht="15" thickBot="1" x14ac:dyDescent="0.35">
      <c r="A1" s="1" t="s">
        <v>0</v>
      </c>
      <c r="B1" s="2"/>
      <c r="C1" s="3"/>
      <c r="D1" t="s">
        <v>116</v>
      </c>
    </row>
    <row r="2" spans="1:4" x14ac:dyDescent="0.3">
      <c r="A2" s="4" t="s">
        <v>1</v>
      </c>
      <c r="B2" s="5" t="s">
        <v>2</v>
      </c>
      <c r="C2" s="51" t="s">
        <v>43</v>
      </c>
    </row>
    <row r="3" spans="1:4" x14ac:dyDescent="0.3">
      <c r="A3" s="7" t="s">
        <v>3</v>
      </c>
      <c r="B3" s="8">
        <f>VALUE(MID(B2,3,2))</f>
        <v>50</v>
      </c>
      <c r="C3" s="9" t="s">
        <v>4</v>
      </c>
    </row>
    <row r="4" spans="1:4" x14ac:dyDescent="0.3">
      <c r="A4" s="7" t="s">
        <v>5</v>
      </c>
      <c r="B4" s="10">
        <f>B3/1.5</f>
        <v>33.333333333333336</v>
      </c>
      <c r="C4" s="9" t="s">
        <v>4</v>
      </c>
    </row>
    <row r="5" spans="1:4" x14ac:dyDescent="0.3">
      <c r="A5" s="7" t="s">
        <v>6</v>
      </c>
      <c r="B5" s="8">
        <f>B3+8</f>
        <v>58</v>
      </c>
      <c r="C5" s="9" t="s">
        <v>4</v>
      </c>
    </row>
    <row r="6" spans="1:4" x14ac:dyDescent="0.3">
      <c r="A6" s="7" t="s">
        <v>7</v>
      </c>
      <c r="B6" s="10">
        <f>0.3*POWER(B3,2/3)</f>
        <v>4.0716264248923588</v>
      </c>
      <c r="C6" s="9" t="s">
        <v>4</v>
      </c>
    </row>
    <row r="7" spans="1:4" x14ac:dyDescent="0.3">
      <c r="A7" s="7" t="s">
        <v>105</v>
      </c>
      <c r="B7" s="10">
        <f>0.7*B6</f>
        <v>2.8501384974246511</v>
      </c>
      <c r="C7" s="9" t="s">
        <v>4</v>
      </c>
    </row>
    <row r="8" spans="1:4" x14ac:dyDescent="0.3">
      <c r="A8" s="7" t="s">
        <v>106</v>
      </c>
      <c r="B8" s="10">
        <f>1.3*B6</f>
        <v>5.2931143523600666</v>
      </c>
      <c r="C8" s="9" t="s">
        <v>4</v>
      </c>
    </row>
    <row r="9" spans="1:4" x14ac:dyDescent="0.3">
      <c r="A9" s="7" t="s">
        <v>8</v>
      </c>
      <c r="B9" s="10">
        <f>9500*POWER(B5,1/3)</f>
        <v>36773.328085964065</v>
      </c>
      <c r="C9" s="9" t="s">
        <v>4</v>
      </c>
    </row>
    <row r="10" spans="1:4" x14ac:dyDescent="0.3">
      <c r="A10" s="11" t="s">
        <v>9</v>
      </c>
      <c r="B10" s="12">
        <f>0.6*(1-B3/250)</f>
        <v>0.48</v>
      </c>
      <c r="C10" s="9" t="s">
        <v>107</v>
      </c>
    </row>
    <row r="11" spans="1:4" ht="15" thickBot="1" x14ac:dyDescent="0.35">
      <c r="A11" s="13" t="s">
        <v>10</v>
      </c>
      <c r="B11" s="14">
        <f>1-B3/250</f>
        <v>0.8</v>
      </c>
      <c r="C11" s="9" t="s">
        <v>107</v>
      </c>
    </row>
    <row r="12" spans="1:4" x14ac:dyDescent="0.3">
      <c r="A12" s="16" t="s">
        <v>11</v>
      </c>
      <c r="B12" s="17">
        <v>500</v>
      </c>
      <c r="C12" s="6" t="s">
        <v>4</v>
      </c>
    </row>
    <row r="13" spans="1:4" x14ac:dyDescent="0.3">
      <c r="A13" s="7" t="s">
        <v>12</v>
      </c>
      <c r="B13" s="10">
        <f>B12/1.15</f>
        <v>434.78260869565219</v>
      </c>
      <c r="C13" s="9" t="s">
        <v>4</v>
      </c>
    </row>
    <row r="14" spans="1:4" ht="15" thickBot="1" x14ac:dyDescent="0.35">
      <c r="A14" s="18" t="s">
        <v>13</v>
      </c>
      <c r="B14" s="14">
        <v>210000</v>
      </c>
      <c r="C14" s="15" t="s">
        <v>4</v>
      </c>
    </row>
    <row r="15" spans="1:4" ht="15" thickBot="1" x14ac:dyDescent="0.35">
      <c r="A15" s="19" t="s">
        <v>14</v>
      </c>
      <c r="B15" s="20"/>
      <c r="C15" s="15"/>
      <c r="D15" t="s">
        <v>117</v>
      </c>
    </row>
    <row r="16" spans="1:4" x14ac:dyDescent="0.3">
      <c r="A16" s="7" t="s">
        <v>15</v>
      </c>
      <c r="B16" s="12">
        <v>16</v>
      </c>
      <c r="C16" s="9" t="s">
        <v>16</v>
      </c>
    </row>
    <row r="17" spans="1:4" ht="15" thickBot="1" x14ac:dyDescent="0.35">
      <c r="A17" s="18" t="s">
        <v>17</v>
      </c>
      <c r="B17" s="14">
        <v>1.5</v>
      </c>
      <c r="C17" s="21" t="s">
        <v>107</v>
      </c>
    </row>
    <row r="18" spans="1:4" ht="15" thickBot="1" x14ac:dyDescent="0.35">
      <c r="A18" s="39" t="s">
        <v>80</v>
      </c>
      <c r="B18" s="40">
        <v>25</v>
      </c>
      <c r="C18" s="3" t="s">
        <v>16</v>
      </c>
    </row>
    <row r="19" spans="1:4" ht="15" thickBot="1" x14ac:dyDescent="0.35">
      <c r="A19" s="1" t="s">
        <v>18</v>
      </c>
      <c r="B19" s="2"/>
      <c r="C19" s="3"/>
      <c r="D19" t="s">
        <v>116</v>
      </c>
    </row>
    <row r="20" spans="1:4" ht="15" thickBot="1" x14ac:dyDescent="0.35">
      <c r="A20" s="1" t="s">
        <v>19</v>
      </c>
      <c r="B20" s="2"/>
      <c r="C20" s="3"/>
      <c r="D20" t="s">
        <v>117</v>
      </c>
    </row>
    <row r="21" spans="1:4" x14ac:dyDescent="0.3">
      <c r="A21" s="16" t="s">
        <v>20</v>
      </c>
      <c r="B21" s="22">
        <v>375</v>
      </c>
      <c r="C21" s="6" t="s">
        <v>16</v>
      </c>
    </row>
    <row r="22" spans="1:4" x14ac:dyDescent="0.3">
      <c r="A22" s="7" t="s">
        <v>21</v>
      </c>
      <c r="B22" s="23">
        <v>525</v>
      </c>
      <c r="C22" s="9" t="s">
        <v>16</v>
      </c>
    </row>
    <row r="23" spans="1:4" ht="15" thickBot="1" x14ac:dyDescent="0.35">
      <c r="A23" s="18" t="s">
        <v>22</v>
      </c>
      <c r="B23" s="24">
        <v>410</v>
      </c>
      <c r="C23" s="15" t="s">
        <v>16</v>
      </c>
    </row>
    <row r="24" spans="1:4" ht="15" thickBot="1" x14ac:dyDescent="0.35">
      <c r="A24" s="1" t="s">
        <v>23</v>
      </c>
      <c r="B24" s="25"/>
      <c r="C24" s="25"/>
      <c r="D24" t="s">
        <v>117</v>
      </c>
    </row>
    <row r="25" spans="1:4" x14ac:dyDescent="0.3">
      <c r="A25" s="16" t="s">
        <v>24</v>
      </c>
      <c r="B25" s="22">
        <v>20</v>
      </c>
      <c r="C25" s="6" t="s">
        <v>16</v>
      </c>
    </row>
    <row r="26" spans="1:4" x14ac:dyDescent="0.3">
      <c r="A26" s="7" t="s">
        <v>25</v>
      </c>
      <c r="B26" s="23">
        <v>50</v>
      </c>
      <c r="C26" s="9" t="s">
        <v>16</v>
      </c>
    </row>
    <row r="27" spans="1:4" x14ac:dyDescent="0.3">
      <c r="A27" s="7" t="s">
        <v>26</v>
      </c>
      <c r="B27" s="23">
        <v>200</v>
      </c>
      <c r="C27" s="9" t="s">
        <v>16</v>
      </c>
    </row>
    <row r="28" spans="1:4" x14ac:dyDescent="0.3">
      <c r="A28" s="7" t="s">
        <v>27</v>
      </c>
      <c r="B28" s="23">
        <v>250</v>
      </c>
      <c r="C28" s="9" t="s">
        <v>16</v>
      </c>
    </row>
    <row r="29" spans="1:4" x14ac:dyDescent="0.3">
      <c r="A29" s="11" t="s">
        <v>28</v>
      </c>
      <c r="B29" s="23">
        <v>10</v>
      </c>
      <c r="C29" s="9" t="s">
        <v>16</v>
      </c>
    </row>
    <row r="30" spans="1:4" ht="15" thickBot="1" x14ac:dyDescent="0.35">
      <c r="A30" s="18" t="s">
        <v>29</v>
      </c>
      <c r="B30" s="24">
        <f>B27*B28</f>
        <v>50000</v>
      </c>
      <c r="C30" s="15" t="s">
        <v>111</v>
      </c>
    </row>
    <row r="31" spans="1:4" x14ac:dyDescent="0.3">
      <c r="A31" s="16" t="s">
        <v>30</v>
      </c>
      <c r="B31" s="26">
        <f>B21-B26-B27/2+B25</f>
        <v>245</v>
      </c>
      <c r="C31" s="6" t="s">
        <v>16</v>
      </c>
    </row>
    <row r="32" spans="1:4" x14ac:dyDescent="0.3">
      <c r="A32" s="7" t="s">
        <v>31</v>
      </c>
      <c r="B32" s="27">
        <f>B22+B29</f>
        <v>535</v>
      </c>
      <c r="C32" s="9" t="s">
        <v>16</v>
      </c>
    </row>
    <row r="33" spans="1:4" ht="15" thickBot="1" x14ac:dyDescent="0.35">
      <c r="A33" s="19" t="s">
        <v>104</v>
      </c>
      <c r="B33" s="28">
        <f>B31/B32</f>
        <v>0.45794392523364486</v>
      </c>
      <c r="C33" s="21" t="s">
        <v>107</v>
      </c>
    </row>
    <row r="34" spans="1:4" x14ac:dyDescent="0.3">
      <c r="A34" s="16" t="s">
        <v>32</v>
      </c>
      <c r="B34" s="26">
        <v>1</v>
      </c>
      <c r="C34" s="9" t="s">
        <v>107</v>
      </c>
    </row>
    <row r="35" spans="1:4" x14ac:dyDescent="0.3">
      <c r="A35" s="11" t="s">
        <v>33</v>
      </c>
      <c r="B35" s="29">
        <f>B34*ν_*f_cd</f>
        <v>26.666666666666671</v>
      </c>
      <c r="C35" s="9" t="s">
        <v>4</v>
      </c>
    </row>
    <row r="36" spans="1:4" x14ac:dyDescent="0.3">
      <c r="A36" s="7" t="s">
        <v>34</v>
      </c>
      <c r="B36" s="27">
        <v>0.85</v>
      </c>
      <c r="C36" s="9" t="s">
        <v>107</v>
      </c>
    </row>
    <row r="37" spans="1:4" x14ac:dyDescent="0.3">
      <c r="A37" s="11" t="s">
        <v>35</v>
      </c>
      <c r="B37" s="29">
        <f>B36*ν_*f_cd</f>
        <v>22.666666666666671</v>
      </c>
      <c r="C37" s="9" t="s">
        <v>4</v>
      </c>
    </row>
    <row r="38" spans="1:4" ht="15" thickBot="1" x14ac:dyDescent="0.35">
      <c r="A38" s="11" t="s">
        <v>36</v>
      </c>
      <c r="B38" s="27">
        <f>0.6*ν_*f_cd</f>
        <v>16</v>
      </c>
      <c r="C38" s="9" t="s">
        <v>4</v>
      </c>
    </row>
    <row r="39" spans="1:4" ht="15" thickBot="1" x14ac:dyDescent="0.35">
      <c r="A39" s="30" t="s">
        <v>37</v>
      </c>
      <c r="B39" s="2"/>
      <c r="C39" s="3"/>
      <c r="D39" t="s">
        <v>116</v>
      </c>
    </row>
    <row r="40" spans="1:4" x14ac:dyDescent="0.3">
      <c r="A40" s="16" t="s">
        <v>38</v>
      </c>
      <c r="B40" s="22">
        <v>300</v>
      </c>
      <c r="C40" s="6" t="s">
        <v>39</v>
      </c>
    </row>
    <row r="41" spans="1:4" x14ac:dyDescent="0.3">
      <c r="A41" s="11" t="s">
        <v>112</v>
      </c>
      <c r="B41" s="23">
        <v>12</v>
      </c>
      <c r="C41" s="31" t="s">
        <v>16</v>
      </c>
    </row>
    <row r="42" spans="1:4" x14ac:dyDescent="0.3">
      <c r="A42" s="11" t="s">
        <v>40</v>
      </c>
      <c r="B42" s="32">
        <f>0.2*B40</f>
        <v>60</v>
      </c>
      <c r="C42" s="9" t="s">
        <v>39</v>
      </c>
    </row>
    <row r="43" spans="1:4" x14ac:dyDescent="0.3">
      <c r="A43" s="7" t="s">
        <v>41</v>
      </c>
      <c r="B43" s="29">
        <f>B40/B35/B23*1000</f>
        <v>27.439024390243897</v>
      </c>
      <c r="C43" s="9" t="s">
        <v>16</v>
      </c>
    </row>
    <row r="44" spans="1:4" x14ac:dyDescent="0.3">
      <c r="A44" s="11" t="s">
        <v>42</v>
      </c>
      <c r="B44" s="27">
        <f>c_+B41/2+B101+B29</f>
        <v>49</v>
      </c>
      <c r="C44" s="9" t="s">
        <v>16</v>
      </c>
    </row>
    <row r="45" spans="1:4" x14ac:dyDescent="0.3">
      <c r="A45" s="11" t="s">
        <v>43</v>
      </c>
      <c r="B45" s="29">
        <f>B31+0.5*B43+B42/B40*(B44+B29)</f>
        <v>270.51951219512193</v>
      </c>
      <c r="C45" s="9" t="s">
        <v>16</v>
      </c>
    </row>
    <row r="46" spans="1:4" x14ac:dyDescent="0.3">
      <c r="A46" s="11" t="s">
        <v>44</v>
      </c>
      <c r="B46" s="27">
        <f>B22-B44</f>
        <v>476</v>
      </c>
      <c r="C46" s="9" t="s">
        <v>16</v>
      </c>
    </row>
    <row r="47" spans="1:4" x14ac:dyDescent="0.3">
      <c r="A47" s="11" t="s">
        <v>45</v>
      </c>
      <c r="B47" s="29">
        <f>B46-POWER(B46^2-2*B43*(B45+B42/B40*(B44+B29)),1/2)</f>
        <v>16.562456869192545</v>
      </c>
      <c r="C47" s="9" t="s">
        <v>16</v>
      </c>
    </row>
    <row r="48" spans="1:4" x14ac:dyDescent="0.3">
      <c r="A48" s="11" t="s">
        <v>46</v>
      </c>
      <c r="B48" s="29">
        <f>B46-0.5*B47</f>
        <v>467.7187715654037</v>
      </c>
      <c r="C48" s="9" t="s">
        <v>16</v>
      </c>
    </row>
    <row r="49" spans="1:4" x14ac:dyDescent="0.3">
      <c r="A49" s="11" t="s">
        <v>47</v>
      </c>
      <c r="B49" s="29">
        <f>B40*B45/B48+B42</f>
        <v>233.51421108653986</v>
      </c>
      <c r="C49" s="9" t="s">
        <v>39</v>
      </c>
    </row>
    <row r="50" spans="1:4" x14ac:dyDescent="0.3">
      <c r="A50" s="7" t="s">
        <v>48</v>
      </c>
      <c r="B50" s="29">
        <f>B49*1000/f_yd</f>
        <v>537.08268549904165</v>
      </c>
      <c r="C50" s="9" t="s">
        <v>111</v>
      </c>
    </row>
    <row r="51" spans="1:4" x14ac:dyDescent="0.3">
      <c r="A51" s="7" t="s">
        <v>49</v>
      </c>
      <c r="B51" s="27" cm="1">
        <f t="array" ref="B51">_xlfn.XLOOKUP(B52,'As2'!$C$3:$L$3,_xlfn.XLOOKUP(B41,'As2'!$B$4:$B$15,'As2'!$C$4:$L$15))</f>
        <v>905</v>
      </c>
      <c r="C51" s="9" t="s">
        <v>111</v>
      </c>
      <c r="D51" t="s">
        <v>118</v>
      </c>
    </row>
    <row r="52" spans="1:4" ht="21" customHeight="1" thickBot="1" x14ac:dyDescent="0.35">
      <c r="A52" s="18" t="s">
        <v>50</v>
      </c>
      <c r="B52" s="33">
        <v>8</v>
      </c>
      <c r="C52" s="15" t="s">
        <v>107</v>
      </c>
    </row>
    <row r="53" spans="1:4" ht="21" customHeight="1" thickBot="1" x14ac:dyDescent="0.35">
      <c r="A53" s="34" t="s">
        <v>119</v>
      </c>
      <c r="B53" s="50" t="str">
        <f>B52&amp;"x⌀"&amp;B41&amp;"A s ="&amp;B51</f>
        <v>8x⌀12A s =905</v>
      </c>
      <c r="C53" t="s">
        <v>111</v>
      </c>
    </row>
    <row r="54" spans="1:4" ht="15" thickBot="1" x14ac:dyDescent="0.35">
      <c r="A54" s="1" t="s">
        <v>51</v>
      </c>
      <c r="B54" s="2"/>
      <c r="C54" s="3"/>
      <c r="D54" t="s">
        <v>117</v>
      </c>
    </row>
    <row r="55" spans="1:4" x14ac:dyDescent="0.3">
      <c r="A55" s="7" t="s">
        <v>52</v>
      </c>
      <c r="B55" s="29">
        <f>B49/B52</f>
        <v>29.189276385817482</v>
      </c>
      <c r="C55" s="9" t="s">
        <v>39</v>
      </c>
    </row>
    <row r="56" spans="1:4" x14ac:dyDescent="0.3">
      <c r="A56" s="7" t="s">
        <v>53</v>
      </c>
      <c r="B56" s="27">
        <f>c_+B94+B41/2</f>
        <v>39</v>
      </c>
      <c r="C56" s="9" t="s">
        <v>16</v>
      </c>
    </row>
    <row r="57" spans="1:4" x14ac:dyDescent="0.3">
      <c r="A57" s="11" t="s">
        <v>113</v>
      </c>
      <c r="B57" s="29">
        <f>B55*(1/B56+1/(2*B41))/f_cd*1000</f>
        <v>58.939885009823755</v>
      </c>
      <c r="C57" s="9" t="s">
        <v>16</v>
      </c>
    </row>
    <row r="58" spans="1:4" ht="15" thickBot="1" x14ac:dyDescent="0.35">
      <c r="A58" s="11" t="s">
        <v>114</v>
      </c>
      <c r="B58" s="27">
        <f>IF(B57&lt;7*B41,7*B41,4*B41)</f>
        <v>84</v>
      </c>
      <c r="C58" s="9" t="s">
        <v>16</v>
      </c>
    </row>
    <row r="59" spans="1:4" ht="15" thickBot="1" x14ac:dyDescent="0.35">
      <c r="A59" s="1" t="s">
        <v>81</v>
      </c>
      <c r="C59" s="47"/>
      <c r="D59" s="48" t="s">
        <v>82</v>
      </c>
    </row>
    <row r="60" spans="1:4" x14ac:dyDescent="0.3">
      <c r="A60" s="11" t="s">
        <v>112</v>
      </c>
      <c r="B60" s="23">
        <f>B41</f>
        <v>12</v>
      </c>
      <c r="C60" s="31" t="s">
        <v>16</v>
      </c>
    </row>
    <row r="61" spans="1:4" x14ac:dyDescent="0.3">
      <c r="A61" s="11" t="s">
        <v>115</v>
      </c>
      <c r="B61" s="23">
        <f>B101</f>
        <v>8</v>
      </c>
      <c r="C61" s="31" t="s">
        <v>16</v>
      </c>
    </row>
    <row r="62" spans="1:4" x14ac:dyDescent="0.3">
      <c r="A62" s="7" t="s">
        <v>109</v>
      </c>
      <c r="B62" s="23">
        <f>c_</f>
        <v>25</v>
      </c>
      <c r="C62" s="9" t="s">
        <v>16</v>
      </c>
    </row>
    <row r="63" spans="1:4" x14ac:dyDescent="0.3">
      <c r="A63" s="7" t="s">
        <v>83</v>
      </c>
      <c r="B63" s="27">
        <f>B62</f>
        <v>25</v>
      </c>
      <c r="C63" s="9" t="s">
        <v>16</v>
      </c>
    </row>
    <row r="64" spans="1:4" x14ac:dyDescent="0.3">
      <c r="A64" s="7" t="s">
        <v>43</v>
      </c>
      <c r="B64" s="23">
        <v>35</v>
      </c>
      <c r="C64" s="9" t="s">
        <v>16</v>
      </c>
    </row>
    <row r="65" spans="1:4" x14ac:dyDescent="0.3">
      <c r="A65" s="7" t="s">
        <v>84</v>
      </c>
      <c r="B65" s="27">
        <f>IF(D74="Přímý",MIN(B64/2,B63,B62),IF(D74="Ohybaný",MIN(B64/2,B63),B62))</f>
        <v>17.5</v>
      </c>
      <c r="C65" s="9" t="s">
        <v>16</v>
      </c>
    </row>
    <row r="66" spans="1:4" x14ac:dyDescent="0.3">
      <c r="A66" s="7" t="s">
        <v>48</v>
      </c>
      <c r="B66" s="46">
        <f>B50</f>
        <v>537.08268549904165</v>
      </c>
      <c r="C66" s="9" t="s">
        <v>111</v>
      </c>
    </row>
    <row r="67" spans="1:4" x14ac:dyDescent="0.3">
      <c r="A67" s="7" t="s">
        <v>49</v>
      </c>
      <c r="B67" s="23">
        <f>B51</f>
        <v>905</v>
      </c>
      <c r="C67" s="9" t="s">
        <v>111</v>
      </c>
    </row>
    <row r="68" spans="1:4" x14ac:dyDescent="0.3">
      <c r="A68" s="11" t="s">
        <v>85</v>
      </c>
      <c r="B68" s="29">
        <f>B66/B67*f_yd</f>
        <v>258.02675258181199</v>
      </c>
      <c r="C68" s="9" t="s">
        <v>4</v>
      </c>
    </row>
    <row r="69" spans="1:4" x14ac:dyDescent="0.3">
      <c r="A69" s="11" t="s">
        <v>86</v>
      </c>
      <c r="B69" s="27">
        <f>IF(D69="Dobré",1,0.7)</f>
        <v>0.7</v>
      </c>
      <c r="C69" s="9" t="s">
        <v>107</v>
      </c>
      <c r="D69" s="42" t="s">
        <v>103</v>
      </c>
    </row>
    <row r="70" spans="1:4" x14ac:dyDescent="0.3">
      <c r="A70" s="11" t="s">
        <v>87</v>
      </c>
      <c r="B70" s="27">
        <f>IF(B60&lt;=32,1,(132-B60)/100)</f>
        <v>1</v>
      </c>
      <c r="C70" s="9" t="s">
        <v>107</v>
      </c>
    </row>
    <row r="71" spans="1:4" x14ac:dyDescent="0.3">
      <c r="A71" s="7" t="s">
        <v>88</v>
      </c>
      <c r="B71" s="29">
        <f>f_ctk0.05/1.5</f>
        <v>1.900092331616434</v>
      </c>
      <c r="C71" s="9" t="s">
        <v>4</v>
      </c>
    </row>
    <row r="72" spans="1:4" x14ac:dyDescent="0.3">
      <c r="A72" s="7" t="s">
        <v>110</v>
      </c>
      <c r="B72" s="29">
        <f>2.25*B69*B70*B71</f>
        <v>2.9926454222958836</v>
      </c>
      <c r="C72" s="9" t="s">
        <v>4</v>
      </c>
    </row>
    <row r="73" spans="1:4" ht="15" thickBot="1" x14ac:dyDescent="0.35">
      <c r="A73" s="18" t="s">
        <v>89</v>
      </c>
      <c r="B73" s="28">
        <f>B60/4*B68/B72</f>
        <v>258.66086639545182</v>
      </c>
      <c r="C73" s="15" t="s">
        <v>16</v>
      </c>
    </row>
    <row r="74" spans="1:4" ht="15" thickBot="1" x14ac:dyDescent="0.35">
      <c r="A74" s="43" t="s">
        <v>90</v>
      </c>
      <c r="B74" s="34">
        <f>IF(D59="Tah",IF(D74="Přímý",1,IF(B65&gt;3*B60,0.7,1)),1)</f>
        <v>1</v>
      </c>
      <c r="C74" s="9" t="s">
        <v>107</v>
      </c>
      <c r="D74" s="41" t="s">
        <v>102</v>
      </c>
    </row>
    <row r="75" spans="1:4" ht="15" thickBot="1" x14ac:dyDescent="0.35">
      <c r="A75" s="43" t="s">
        <v>91</v>
      </c>
      <c r="B75" s="44">
        <f>IF(D59="Tah",MAX(0.7,MIN(IF(D74="Přímý",1-0.15*(B65-B60)/B60,1-0.15*(B65-3*B60)/B60),1)),1)</f>
        <v>1</v>
      </c>
      <c r="C75" s="9" t="s">
        <v>107</v>
      </c>
    </row>
    <row r="76" spans="1:4" x14ac:dyDescent="0.3">
      <c r="A76" s="16" t="s">
        <v>92</v>
      </c>
      <c r="B76" s="26">
        <f>IF(D76="Trám",0.1,IF(D76="Deska spodní",0.05,0))</f>
        <v>0.1</v>
      </c>
      <c r="C76" s="9" t="s">
        <v>107</v>
      </c>
      <c r="D76" s="45" t="s">
        <v>93</v>
      </c>
    </row>
    <row r="77" spans="1:4" x14ac:dyDescent="0.3">
      <c r="A77" s="7" t="s">
        <v>49</v>
      </c>
      <c r="B77" s="29">
        <f>PI()*B60^2/4</f>
        <v>113.09733552923255</v>
      </c>
      <c r="C77" s="9" t="s">
        <v>111</v>
      </c>
    </row>
    <row r="78" spans="1:4" x14ac:dyDescent="0.3">
      <c r="A78" s="7" t="s">
        <v>94</v>
      </c>
      <c r="B78" s="29">
        <f>IF(D76="Trám",0.25*B77,0)</f>
        <v>28.274333882308138</v>
      </c>
      <c r="C78" s="9" t="s">
        <v>111</v>
      </c>
    </row>
    <row r="79" spans="1:4" x14ac:dyDescent="0.3">
      <c r="A79" s="7" t="s">
        <v>95</v>
      </c>
      <c r="B79" s="29">
        <f>PI()*B61^2/4</f>
        <v>50.26548245743669</v>
      </c>
      <c r="C79" s="9" t="s">
        <v>111</v>
      </c>
    </row>
    <row r="80" spans="1:4" x14ac:dyDescent="0.3">
      <c r="A80" s="11" t="s">
        <v>96</v>
      </c>
      <c r="B80" s="29">
        <f>(B79-B78)/B77</f>
        <v>0.19444444444444445</v>
      </c>
      <c r="C80" s="9" t="s">
        <v>107</v>
      </c>
    </row>
    <row r="81" spans="1:4" ht="15" thickBot="1" x14ac:dyDescent="0.35">
      <c r="A81" s="13" t="s">
        <v>97</v>
      </c>
      <c r="B81" s="28">
        <v>1</v>
      </c>
      <c r="C81" s="9" t="s">
        <v>107</v>
      </c>
    </row>
    <row r="82" spans="1:4" ht="15" thickBot="1" x14ac:dyDescent="0.35">
      <c r="A82" s="43" t="s">
        <v>98</v>
      </c>
      <c r="B82" s="34">
        <v>1</v>
      </c>
      <c r="C82" s="9" t="s">
        <v>107</v>
      </c>
    </row>
    <row r="83" spans="1:4" ht="15" thickBot="1" x14ac:dyDescent="0.35">
      <c r="A83" s="13" t="s">
        <v>99</v>
      </c>
      <c r="B83" s="28">
        <v>1</v>
      </c>
      <c r="C83" s="9" t="s">
        <v>107</v>
      </c>
    </row>
    <row r="84" spans="1:4" x14ac:dyDescent="0.3">
      <c r="A84" s="35" t="s">
        <v>100</v>
      </c>
      <c r="B84" s="26">
        <f>B74*MIN(B75*B81*B83,0.7)*B82*B73</f>
        <v>181.06260647681626</v>
      </c>
      <c r="C84" s="6" t="s">
        <v>16</v>
      </c>
    </row>
    <row r="85" spans="1:4" ht="15" thickBot="1" x14ac:dyDescent="0.35">
      <c r="A85" s="13" t="s">
        <v>101</v>
      </c>
      <c r="B85" s="33">
        <f>IF(D59="Tah",MAX(0.3*B73,10*B60,100),MAX(0.6*B73,10*B60,100))</f>
        <v>120</v>
      </c>
      <c r="C85" s="15" t="s">
        <v>16</v>
      </c>
    </row>
    <row r="86" spans="1:4" ht="15" thickBot="1" x14ac:dyDescent="0.35">
      <c r="A86" s="30" t="s">
        <v>54</v>
      </c>
      <c r="B86" s="34"/>
      <c r="C86" s="3"/>
      <c r="D86" t="s">
        <v>116</v>
      </c>
    </row>
    <row r="87" spans="1:4" x14ac:dyDescent="0.3">
      <c r="A87" s="7" t="s">
        <v>55</v>
      </c>
      <c r="B87" s="29">
        <f>MIN(DEGREES(ATAN(B48/B45)),68)</f>
        <v>59.955740099164387</v>
      </c>
      <c r="C87" s="49" t="s">
        <v>108</v>
      </c>
    </row>
    <row r="88" spans="1:4" x14ac:dyDescent="0.3">
      <c r="A88" s="7" t="s">
        <v>56</v>
      </c>
      <c r="B88" s="29">
        <f>B40/SIN(RADIANS(B87))</f>
        <v>346.56483008087292</v>
      </c>
      <c r="C88" s="9" t="s">
        <v>39</v>
      </c>
    </row>
    <row r="89" spans="1:4" x14ac:dyDescent="0.3">
      <c r="A89" s="7" t="s">
        <v>21</v>
      </c>
      <c r="B89" s="29">
        <f>POWER(B48^2+B45^2,0.5)</f>
        <v>540.31625531066254</v>
      </c>
      <c r="C89" s="9" t="s">
        <v>16</v>
      </c>
    </row>
    <row r="90" spans="1:4" x14ac:dyDescent="0.3">
      <c r="A90" s="7" t="s">
        <v>57</v>
      </c>
      <c r="B90" s="29">
        <f>0.5*B89+0.65*POWER(B43^2+B47^2,0.5)</f>
        <v>290.99075478553573</v>
      </c>
      <c r="C90" s="9" t="s">
        <v>16</v>
      </c>
    </row>
    <row r="91" spans="1:4" x14ac:dyDescent="0.3">
      <c r="A91" s="11" t="s">
        <v>58</v>
      </c>
      <c r="B91" s="29">
        <f>B88/(B90*B23)*1000</f>
        <v>2.9048348082088249</v>
      </c>
      <c r="C91" s="9" t="s">
        <v>4</v>
      </c>
    </row>
    <row r="92" spans="1:4" ht="15" thickBot="1" x14ac:dyDescent="0.35">
      <c r="A92" s="19" t="s">
        <v>104</v>
      </c>
      <c r="B92" s="28">
        <f>B91/B38</f>
        <v>0.18155217551305156</v>
      </c>
      <c r="C92" s="9" t="s">
        <v>107</v>
      </c>
    </row>
    <row r="93" spans="1:4" ht="15" thickBot="1" x14ac:dyDescent="0.35">
      <c r="A93" s="1" t="s">
        <v>59</v>
      </c>
      <c r="B93" s="2"/>
      <c r="C93" s="3"/>
      <c r="D93" t="s">
        <v>116</v>
      </c>
    </row>
    <row r="94" spans="1:4" x14ac:dyDescent="0.3">
      <c r="A94" s="35" t="s">
        <v>115</v>
      </c>
      <c r="B94" s="36">
        <v>8</v>
      </c>
      <c r="C94" s="37" t="s">
        <v>16</v>
      </c>
    </row>
    <row r="95" spans="1:4" x14ac:dyDescent="0.3">
      <c r="A95" s="7" t="s">
        <v>60</v>
      </c>
      <c r="B95" s="29">
        <f>MIN(0.5*(1-0.7*B45/B22)*B88,B88/4)</f>
        <v>86.641207520218231</v>
      </c>
      <c r="C95" s="9" t="s">
        <v>39</v>
      </c>
    </row>
    <row r="96" spans="1:4" x14ac:dyDescent="0.3">
      <c r="A96" s="7" t="s">
        <v>61</v>
      </c>
      <c r="B96" s="29">
        <f>B95*COS(RADIANS(B87))</f>
        <v>43.378552771634979</v>
      </c>
      <c r="C96" s="9" t="s">
        <v>39</v>
      </c>
    </row>
    <row r="97" spans="1:4" x14ac:dyDescent="0.3">
      <c r="A97" s="7" t="s">
        <v>62</v>
      </c>
      <c r="B97" s="32">
        <f>ROUNDUP(2*PI()*B94^2/4,0)</f>
        <v>101</v>
      </c>
      <c r="C97" s="9" t="s">
        <v>111</v>
      </c>
    </row>
    <row r="98" spans="1:4" x14ac:dyDescent="0.3">
      <c r="A98" s="7" t="s">
        <v>63</v>
      </c>
      <c r="B98" s="29">
        <f>MAX(B96/f_yd*1000,B51/4)</f>
        <v>226.25</v>
      </c>
      <c r="C98" s="9" t="s">
        <v>111</v>
      </c>
    </row>
    <row r="99" spans="1:4" ht="15" thickBot="1" x14ac:dyDescent="0.35">
      <c r="A99" s="7" t="s">
        <v>64</v>
      </c>
      <c r="B99" s="27">
        <f>ROUNDUP(B98/B97,0)*B97</f>
        <v>303</v>
      </c>
      <c r="C99" s="9" t="s">
        <v>111</v>
      </c>
    </row>
    <row r="100" spans="1:4" ht="15" thickBot="1" x14ac:dyDescent="0.35">
      <c r="A100" s="1" t="s">
        <v>65</v>
      </c>
      <c r="B100" s="2"/>
      <c r="C100" s="3"/>
      <c r="D100" t="s">
        <v>116</v>
      </c>
    </row>
    <row r="101" spans="1:4" x14ac:dyDescent="0.3">
      <c r="A101" s="35" t="s">
        <v>115</v>
      </c>
      <c r="B101" s="36">
        <v>8</v>
      </c>
      <c r="C101" s="37" t="s">
        <v>16</v>
      </c>
    </row>
    <row r="102" spans="1:4" x14ac:dyDescent="0.3">
      <c r="A102" s="7" t="s">
        <v>66</v>
      </c>
      <c r="B102" s="27">
        <f>B21-B26-B27</f>
        <v>125</v>
      </c>
      <c r="C102" s="9" t="s">
        <v>16</v>
      </c>
    </row>
    <row r="103" spans="1:4" x14ac:dyDescent="0.3">
      <c r="A103" s="11" t="s">
        <v>67</v>
      </c>
      <c r="B103" s="29">
        <f>MAX(B102/B46,0.25)</f>
        <v>0.26260504201680673</v>
      </c>
      <c r="C103" s="9" t="s">
        <v>107</v>
      </c>
    </row>
    <row r="104" spans="1:4" x14ac:dyDescent="0.3">
      <c r="A104" s="11" t="s">
        <v>68</v>
      </c>
      <c r="B104" s="29">
        <f>B103*B40</f>
        <v>78.781512605042025</v>
      </c>
      <c r="C104" s="9" t="s">
        <v>39</v>
      </c>
    </row>
    <row r="105" spans="1:4" x14ac:dyDescent="0.3">
      <c r="A105" s="7" t="s">
        <v>69</v>
      </c>
      <c r="B105" s="29">
        <f>B95*SIN(RADIANS(B87))</f>
        <v>75</v>
      </c>
      <c r="C105" s="9" t="s">
        <v>39</v>
      </c>
    </row>
    <row r="106" spans="1:4" x14ac:dyDescent="0.3">
      <c r="A106" s="7" t="s">
        <v>62</v>
      </c>
      <c r="B106" s="32">
        <f>ROUNDUP(2*PI()*B101^2/4,0)</f>
        <v>101</v>
      </c>
      <c r="C106" s="9" t="s">
        <v>111</v>
      </c>
    </row>
    <row r="107" spans="1:4" x14ac:dyDescent="0.3">
      <c r="A107" s="7" t="s">
        <v>70</v>
      </c>
      <c r="B107" s="27">
        <f>MAX(B104,B105)*1000/f_yd</f>
        <v>181.19747899159665</v>
      </c>
      <c r="C107" s="9" t="s">
        <v>111</v>
      </c>
    </row>
    <row r="108" spans="1:4" ht="15" thickBot="1" x14ac:dyDescent="0.35">
      <c r="A108" s="18" t="s">
        <v>71</v>
      </c>
      <c r="B108" s="33">
        <f>MAX(ROUNDUP(B107/B106,0),3)*B106</f>
        <v>303</v>
      </c>
      <c r="C108" s="15" t="s">
        <v>111</v>
      </c>
    </row>
  </sheetData>
  <conditionalFormatting sqref="B33">
    <cfRule type="cellIs" dxfId="3" priority="3" operator="greaterThan">
      <formula>0.5</formula>
    </cfRule>
    <cfRule type="cellIs" dxfId="2" priority="4" operator="lessThan">
      <formula>0.5</formula>
    </cfRule>
  </conditionalFormatting>
  <conditionalFormatting sqref="B92">
    <cfRule type="cellIs" dxfId="1" priority="1" operator="greaterThan">
      <formula>0.5</formula>
    </cfRule>
    <cfRule type="cellIs" dxfId="0" priority="2" operator="lessThan">
      <formula>0.5</formula>
    </cfRule>
  </conditionalFormatting>
  <dataValidations count="5">
    <dataValidation type="list" allowBlank="1" showInputMessage="1" showErrorMessage="1" sqref="B2" xr:uid="{5DF5F40D-35FD-4A23-8B7B-59DC1C5D424C}">
      <formula1>"C 12/15,C 16/20,C 20/25,C 30/37,C 35/45,C 40/50,C 45/55,C 50/60"</formula1>
    </dataValidation>
    <dataValidation type="list" allowBlank="1" showInputMessage="1" showErrorMessage="1" sqref="D76" xr:uid="{A2E8A373-5863-4CE5-A78A-3472A943EAD3}">
      <formula1>"Trám,Deska spodní,Deska horní"</formula1>
    </dataValidation>
    <dataValidation type="list" allowBlank="1" showInputMessage="1" showErrorMessage="1" sqref="D74" xr:uid="{BEB90BCD-DE9B-4B8A-871B-7366653FD7D3}">
      <formula1>"Přímý,Ohybaný,Se smyčkou"</formula1>
    </dataValidation>
    <dataValidation type="list" allowBlank="1" showInputMessage="1" showErrorMessage="1" sqref="D59" xr:uid="{CBF84EC2-CA29-4FB7-9712-9B63E12E7CEC}">
      <formula1>"Tah,Tlak"</formula1>
    </dataValidation>
    <dataValidation type="list" allowBlank="1" showInputMessage="1" showErrorMessage="1" sqref="D69" xr:uid="{72D3CFDC-3B59-4FA2-8C6B-4F7AAD4DE303}">
      <formula1>"Dobré,Ostatní"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1A4D-657B-4D3A-BCED-92A56A8AC4A6}">
  <dimension ref="A1:L15"/>
  <sheetViews>
    <sheetView workbookViewId="0">
      <selection sqref="A1:L15"/>
    </sheetView>
  </sheetViews>
  <sheetFormatPr defaultRowHeight="14.4" x14ac:dyDescent="0.3"/>
  <sheetData>
    <row r="1" spans="1:12" ht="15" x14ac:dyDescent="0.35">
      <c r="A1" s="38" t="s">
        <v>72</v>
      </c>
      <c r="B1" s="38" t="s">
        <v>73</v>
      </c>
      <c r="C1" s="52" t="s">
        <v>74</v>
      </c>
      <c r="D1" s="52"/>
      <c r="E1" s="52"/>
      <c r="F1" s="52"/>
      <c r="G1" s="52"/>
      <c r="H1" s="52"/>
      <c r="I1" s="52"/>
      <c r="J1" s="52"/>
      <c r="K1" s="52"/>
      <c r="L1" s="52"/>
    </row>
    <row r="2" spans="1:12" x14ac:dyDescent="0.3">
      <c r="A2" s="38" t="s">
        <v>75</v>
      </c>
      <c r="B2" s="38" t="s">
        <v>76</v>
      </c>
      <c r="C2" s="52" t="s">
        <v>77</v>
      </c>
      <c r="D2" s="52"/>
      <c r="E2" s="52"/>
      <c r="F2" s="52"/>
      <c r="G2" s="52"/>
      <c r="H2" s="52"/>
      <c r="I2" s="52"/>
      <c r="J2" s="52"/>
      <c r="K2" s="52"/>
      <c r="L2" s="52"/>
    </row>
    <row r="3" spans="1:12" x14ac:dyDescent="0.3">
      <c r="A3" s="38" t="s">
        <v>78</v>
      </c>
      <c r="B3" s="38" t="s">
        <v>79</v>
      </c>
      <c r="C3" s="38">
        <v>1</v>
      </c>
      <c r="D3" s="38">
        <v>2</v>
      </c>
      <c r="E3" s="38">
        <v>3</v>
      </c>
      <c r="F3" s="38">
        <v>4</v>
      </c>
      <c r="G3" s="38">
        <v>5</v>
      </c>
      <c r="H3" s="38">
        <v>6</v>
      </c>
      <c r="I3" s="38">
        <v>7</v>
      </c>
      <c r="J3" s="38">
        <v>8</v>
      </c>
      <c r="K3" s="38">
        <v>9</v>
      </c>
      <c r="L3" s="38">
        <v>10</v>
      </c>
    </row>
    <row r="4" spans="1:12" x14ac:dyDescent="0.3">
      <c r="A4" s="38">
        <v>0.222</v>
      </c>
      <c r="B4" s="38">
        <v>6</v>
      </c>
      <c r="C4" s="38">
        <v>28</v>
      </c>
      <c r="D4" s="38">
        <v>57</v>
      </c>
      <c r="E4" s="38">
        <v>85</v>
      </c>
      <c r="F4" s="38">
        <v>113</v>
      </c>
      <c r="G4" s="38">
        <v>141</v>
      </c>
      <c r="H4" s="38">
        <v>170</v>
      </c>
      <c r="I4" s="38">
        <v>198</v>
      </c>
      <c r="J4" s="38">
        <v>226</v>
      </c>
      <c r="K4" s="38">
        <v>254</v>
      </c>
      <c r="L4" s="38">
        <v>283</v>
      </c>
    </row>
    <row r="5" spans="1:12" x14ac:dyDescent="0.3">
      <c r="A5" s="38">
        <v>0.39500000000000002</v>
      </c>
      <c r="B5" s="38">
        <v>8</v>
      </c>
      <c r="C5" s="38">
        <v>50</v>
      </c>
      <c r="D5" s="38">
        <v>101</v>
      </c>
      <c r="E5" s="38">
        <v>151</v>
      </c>
      <c r="F5" s="38">
        <v>201</v>
      </c>
      <c r="G5" s="38">
        <v>251</v>
      </c>
      <c r="H5" s="38">
        <v>302</v>
      </c>
      <c r="I5" s="38">
        <v>352</v>
      </c>
      <c r="J5" s="38">
        <v>402</v>
      </c>
      <c r="K5" s="38">
        <v>452</v>
      </c>
      <c r="L5" s="38">
        <v>503</v>
      </c>
    </row>
    <row r="6" spans="1:12" x14ac:dyDescent="0.3">
      <c r="A6" s="38">
        <v>0.61699999999999999</v>
      </c>
      <c r="B6" s="38">
        <v>10</v>
      </c>
      <c r="C6" s="38">
        <v>79</v>
      </c>
      <c r="D6" s="38">
        <v>157</v>
      </c>
      <c r="E6" s="38">
        <v>236</v>
      </c>
      <c r="F6" s="38">
        <v>314</v>
      </c>
      <c r="G6" s="38">
        <v>393</v>
      </c>
      <c r="H6" s="38">
        <v>471</v>
      </c>
      <c r="I6" s="38">
        <v>550</v>
      </c>
      <c r="J6" s="38">
        <v>628</v>
      </c>
      <c r="K6" s="38">
        <v>707</v>
      </c>
      <c r="L6" s="38">
        <v>785</v>
      </c>
    </row>
    <row r="7" spans="1:12" x14ac:dyDescent="0.3">
      <c r="A7" s="38">
        <v>0.88800000000000001</v>
      </c>
      <c r="B7" s="38">
        <v>12</v>
      </c>
      <c r="C7" s="38">
        <v>113</v>
      </c>
      <c r="D7" s="38">
        <v>226</v>
      </c>
      <c r="E7" s="38">
        <v>339</v>
      </c>
      <c r="F7" s="38">
        <v>452</v>
      </c>
      <c r="G7" s="38">
        <v>565</v>
      </c>
      <c r="H7" s="38">
        <v>679</v>
      </c>
      <c r="I7" s="38">
        <v>792</v>
      </c>
      <c r="J7" s="38">
        <v>905</v>
      </c>
      <c r="K7" s="38">
        <v>1018</v>
      </c>
      <c r="L7" s="38">
        <v>1131</v>
      </c>
    </row>
    <row r="8" spans="1:12" x14ac:dyDescent="0.3">
      <c r="A8" s="38">
        <v>1.208</v>
      </c>
      <c r="B8" s="38">
        <v>14</v>
      </c>
      <c r="C8" s="38">
        <v>154</v>
      </c>
      <c r="D8" s="38">
        <v>308</v>
      </c>
      <c r="E8" s="38">
        <v>462</v>
      </c>
      <c r="F8" s="38">
        <v>616</v>
      </c>
      <c r="G8" s="38">
        <v>770</v>
      </c>
      <c r="H8" s="38">
        <v>924</v>
      </c>
      <c r="I8" s="38">
        <v>1078</v>
      </c>
      <c r="J8" s="38">
        <v>1232</v>
      </c>
      <c r="K8" s="38">
        <v>1385</v>
      </c>
      <c r="L8" s="38">
        <v>1539</v>
      </c>
    </row>
    <row r="9" spans="1:12" x14ac:dyDescent="0.3">
      <c r="A9" s="38">
        <v>1.5780000000000001</v>
      </c>
      <c r="B9" s="38">
        <v>16</v>
      </c>
      <c r="C9" s="38">
        <v>201</v>
      </c>
      <c r="D9" s="38">
        <v>402</v>
      </c>
      <c r="E9" s="38">
        <v>603</v>
      </c>
      <c r="F9" s="38">
        <v>804</v>
      </c>
      <c r="G9" s="38">
        <v>1005</v>
      </c>
      <c r="H9" s="38">
        <v>1206</v>
      </c>
      <c r="I9" s="38">
        <v>1407</v>
      </c>
      <c r="J9" s="38">
        <v>1608</v>
      </c>
      <c r="K9" s="38">
        <v>1810</v>
      </c>
      <c r="L9" s="38">
        <v>2011</v>
      </c>
    </row>
    <row r="10" spans="1:12" x14ac:dyDescent="0.3">
      <c r="A10" s="38">
        <v>1.998</v>
      </c>
      <c r="B10" s="38">
        <v>18</v>
      </c>
      <c r="C10" s="38">
        <v>254</v>
      </c>
      <c r="D10" s="38">
        <v>509</v>
      </c>
      <c r="E10" s="38">
        <v>763</v>
      </c>
      <c r="F10" s="38">
        <v>1018</v>
      </c>
      <c r="G10" s="38">
        <v>1272</v>
      </c>
      <c r="H10" s="38">
        <v>1527</v>
      </c>
      <c r="I10" s="38">
        <v>1781</v>
      </c>
      <c r="J10" s="38">
        <v>2036</v>
      </c>
      <c r="K10" s="38">
        <v>2290</v>
      </c>
      <c r="L10" s="38">
        <v>2545</v>
      </c>
    </row>
    <row r="11" spans="1:12" x14ac:dyDescent="0.3">
      <c r="A11" s="38">
        <v>2.4660000000000002</v>
      </c>
      <c r="B11" s="38">
        <v>20</v>
      </c>
      <c r="C11" s="38">
        <v>314</v>
      </c>
      <c r="D11" s="38">
        <v>628</v>
      </c>
      <c r="E11" s="38">
        <v>942</v>
      </c>
      <c r="F11" s="38">
        <v>1257</v>
      </c>
      <c r="G11" s="38">
        <v>1571</v>
      </c>
      <c r="H11" s="38">
        <v>1885</v>
      </c>
      <c r="I11" s="38">
        <v>2199</v>
      </c>
      <c r="J11" s="38">
        <v>2513</v>
      </c>
      <c r="K11" s="38">
        <v>2827</v>
      </c>
      <c r="L11" s="38">
        <v>3142</v>
      </c>
    </row>
    <row r="12" spans="1:12" x14ac:dyDescent="0.3">
      <c r="A12" s="38">
        <v>2.984</v>
      </c>
      <c r="B12" s="38">
        <v>22</v>
      </c>
      <c r="C12" s="38">
        <v>380</v>
      </c>
      <c r="D12" s="38">
        <v>760</v>
      </c>
      <c r="E12" s="38">
        <v>1140</v>
      </c>
      <c r="F12" s="38">
        <v>1521</v>
      </c>
      <c r="G12" s="38">
        <v>1901</v>
      </c>
      <c r="H12" s="38">
        <v>2281</v>
      </c>
      <c r="I12" s="38">
        <v>2661</v>
      </c>
      <c r="J12" s="38">
        <v>3041</v>
      </c>
      <c r="K12" s="38">
        <v>3421</v>
      </c>
      <c r="L12" s="38">
        <v>3801</v>
      </c>
    </row>
    <row r="13" spans="1:12" x14ac:dyDescent="0.3">
      <c r="A13" s="38">
        <v>3.8530000000000002</v>
      </c>
      <c r="B13" s="38">
        <v>25</v>
      </c>
      <c r="C13" s="38">
        <v>491</v>
      </c>
      <c r="D13" s="38">
        <v>982</v>
      </c>
      <c r="E13" s="38">
        <v>1473</v>
      </c>
      <c r="F13" s="38">
        <v>1963</v>
      </c>
      <c r="G13" s="38">
        <v>2454</v>
      </c>
      <c r="H13" s="38">
        <v>2945</v>
      </c>
      <c r="I13" s="38">
        <v>3436</v>
      </c>
      <c r="J13" s="38">
        <v>3927</v>
      </c>
      <c r="K13" s="38">
        <v>4418</v>
      </c>
      <c r="L13" s="38">
        <v>4909</v>
      </c>
    </row>
    <row r="14" spans="1:12" x14ac:dyDescent="0.3">
      <c r="A14" s="38">
        <v>4.8339999999999996</v>
      </c>
      <c r="B14" s="38">
        <v>28</v>
      </c>
      <c r="C14" s="38">
        <v>616</v>
      </c>
      <c r="D14" s="38">
        <v>1232</v>
      </c>
      <c r="E14" s="38">
        <v>1847</v>
      </c>
      <c r="F14" s="38">
        <v>2463</v>
      </c>
      <c r="G14" s="38">
        <v>3079</v>
      </c>
      <c r="H14" s="38">
        <v>3695</v>
      </c>
      <c r="I14" s="38">
        <v>4310</v>
      </c>
      <c r="J14" s="38">
        <v>4926</v>
      </c>
      <c r="K14" s="38">
        <v>5542</v>
      </c>
      <c r="L14" s="38">
        <v>6158</v>
      </c>
    </row>
    <row r="15" spans="1:12" x14ac:dyDescent="0.3">
      <c r="A15" s="38">
        <v>6.3129999999999997</v>
      </c>
      <c r="B15" s="38">
        <v>32</v>
      </c>
      <c r="C15" s="38">
        <v>804</v>
      </c>
      <c r="D15" s="38">
        <v>1608</v>
      </c>
      <c r="E15" s="38">
        <v>2413</v>
      </c>
      <c r="F15" s="38">
        <v>3217</v>
      </c>
      <c r="G15" s="38">
        <v>4021</v>
      </c>
      <c r="H15" s="38">
        <v>4825</v>
      </c>
      <c r="I15" s="38">
        <v>5630</v>
      </c>
      <c r="J15" s="38">
        <v>6434</v>
      </c>
      <c r="K15" s="38">
        <v>7238</v>
      </c>
      <c r="L15" s="38">
        <v>8042</v>
      </c>
    </row>
  </sheetData>
  <mergeCells count="2">
    <mergeCell ref="C1:L1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List1</vt:lpstr>
      <vt:lpstr>As2</vt:lpstr>
      <vt:lpstr>Beton</vt:lpstr>
      <vt:lpstr>c_</vt:lpstr>
      <vt:lpstr>cotθ</vt:lpstr>
      <vt:lpstr>d_g</vt:lpstr>
      <vt:lpstr>E_cm</vt:lpstr>
      <vt:lpstr>E_s</vt:lpstr>
      <vt:lpstr>f_cd</vt:lpstr>
      <vt:lpstr>f_ck</vt:lpstr>
      <vt:lpstr>f_cm</vt:lpstr>
      <vt:lpstr>f_ctk0.05</vt:lpstr>
      <vt:lpstr>f_ctk0.95</vt:lpstr>
      <vt:lpstr>f_ctm</vt:lpstr>
      <vt:lpstr>f_yd</vt:lpstr>
      <vt:lpstr>f_yk</vt:lpstr>
      <vt:lpstr>ν</vt:lpstr>
      <vt:lpstr>ν_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2015-06-05T18:19:34Z</dcterms:created>
  <dcterms:modified xsi:type="dcterms:W3CDTF">2023-08-29T03:04:26Z</dcterms:modified>
</cp:coreProperties>
</file>