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drawings/drawing3.xml" ContentType="application/vnd.openxmlformats-officedocument.drawing+xml"/>
  <Override PartName="/xl/worksheets/sheet6.xml" ContentType="application/vnd.openxmlformats-officedocument.spreadsheetml.worksheet+xml"/>
  <Override PartName="/xl/drawings/drawing4.xml" ContentType="application/vnd.openxmlformats-officedocument.drawing+xml"/>
  <Override PartName="/xl/worksheets/sheet7.xml" ContentType="application/vnd.openxmlformats-officedocument.spreadsheetml.worksheet+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troduction" sheetId="1" state="visible" r:id="rId1"/>
    <sheet xmlns:r="http://schemas.openxmlformats.org/officeDocument/2006/relationships" name="Loan Terminology" sheetId="2" state="visible" r:id="rId2"/>
    <sheet xmlns:r="http://schemas.openxmlformats.org/officeDocument/2006/relationships" name="Loan Amortization" sheetId="3" state="visible" r:id="rId3"/>
    <sheet xmlns:r="http://schemas.openxmlformats.org/officeDocument/2006/relationships" name="Loan Affordability" sheetId="4" state="visible" r:id="rId4"/>
    <sheet xmlns:r="http://schemas.openxmlformats.org/officeDocument/2006/relationships" name="Business Budget" sheetId="5" state="visible" r:id="rId5"/>
    <sheet xmlns:r="http://schemas.openxmlformats.org/officeDocument/2006/relationships" name="Cash Flow Forecast" sheetId="6" state="visible" r:id="rId6"/>
    <sheet xmlns:r="http://schemas.openxmlformats.org/officeDocument/2006/relationships" name="CDFI Comparison" sheetId="7" state="visible" r:id="rId7"/>
  </sheets>
  <definedNames/>
  <calcPr calcId="124519" fullCalcOnLoad="1"/>
</workbook>
</file>

<file path=xl/styles.xml><?xml version="1.0" encoding="utf-8"?>
<styleSheet xmlns="http://schemas.openxmlformats.org/spreadsheetml/2006/main">
  <numFmts count="4">
    <numFmt numFmtId="164" formatCode="$#,##0.00"/>
    <numFmt numFmtId="165" formatCode="mm/dd/yyyy"/>
    <numFmt numFmtId="166" formatCode="0.0%"/>
    <numFmt numFmtId="167" formatCode="0.0"/>
  </numFmts>
  <fonts count="11">
    <font>
      <name val="Calibri"/>
      <family val="2"/>
      <color theme="1"/>
      <sz val="11"/>
      <scheme val="minor"/>
    </font>
    <font>
      <name val="Calibri"/>
      <b val="1"/>
      <color rgb="0000A776"/>
      <sz val="18"/>
    </font>
    <font>
      <name val="Calibri"/>
      <i val="1"/>
      <sz val="14"/>
    </font>
    <font>
      <name val="Calibri"/>
      <sz val="12"/>
    </font>
    <font>
      <name val="Calibri"/>
      <b val="1"/>
      <color rgb="0000A776"/>
      <sz val="14"/>
    </font>
    <font>
      <name val="Calibri"/>
      <b val="1"/>
      <color rgb="00F26522"/>
      <sz val="12"/>
    </font>
    <font>
      <name val="Calibri"/>
      <b val="1"/>
      <color rgb="0000A776"/>
      <sz val="16"/>
    </font>
    <font>
      <name val="Calibri"/>
      <i val="1"/>
      <sz val="12"/>
    </font>
    <font>
      <name val="Calibri"/>
      <i val="1"/>
      <sz val="10"/>
    </font>
    <font>
      <name val="Calibri"/>
      <b val="1"/>
      <color rgb="00FFFFFF"/>
      <sz val="12"/>
    </font>
    <font>
      <b val="1"/>
    </font>
  </fonts>
  <fills count="5">
    <fill>
      <patternFill/>
    </fill>
    <fill>
      <patternFill patternType="gray125"/>
    </fill>
    <fill>
      <patternFill patternType="solid">
        <fgColor rgb="0000A776"/>
        <bgColor rgb="0000A776"/>
      </patternFill>
    </fill>
    <fill>
      <patternFill patternType="solid">
        <fgColor rgb="00E3F4F1"/>
        <bgColor rgb="00E3F4F1"/>
      </patternFill>
    </fill>
    <fill>
      <patternFill patternType="solid">
        <fgColor rgb="00FCE6DA"/>
        <bgColor rgb="00FCE6DA"/>
      </patternFill>
    </fill>
  </fills>
  <borders count="2">
    <border>
      <left/>
      <right/>
      <top/>
      <bottom/>
      <diagonal/>
    </border>
    <border>
      <left style="thin"/>
      <right style="thin"/>
      <top style="thin"/>
      <bottom style="thin"/>
    </border>
  </borders>
  <cellStyleXfs count="1">
    <xf numFmtId="0" fontId="0" fillId="0" borderId="0"/>
  </cellStyleXfs>
  <cellXfs count="31">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0" fillId="0" borderId="0" applyAlignment="1" pivotButton="0" quotePrefix="0" xfId="0">
      <alignment wrapText="1"/>
    </xf>
    <xf numFmtId="0" fontId="5"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9" fillId="2" borderId="1" applyAlignment="1" pivotButton="0" quotePrefix="0" xfId="0">
      <alignment horizontal="center" vertical="center" wrapText="1"/>
    </xf>
    <xf numFmtId="0" fontId="10" fillId="3" borderId="0" pivotButton="0" quotePrefix="0" xfId="0"/>
    <xf numFmtId="0" fontId="0" fillId="3" borderId="0" applyAlignment="1" pivotButton="0" quotePrefix="0" xfId="0">
      <alignment wrapText="1"/>
    </xf>
    <xf numFmtId="0" fontId="10" fillId="0" borderId="0" pivotButton="0" quotePrefix="0" xfId="0"/>
    <xf numFmtId="0" fontId="0" fillId="3" borderId="1" applyAlignment="1" applyProtection="1" pivotButton="0" quotePrefix="0" xfId="0">
      <alignment horizontal="center" vertical="center"/>
      <protection locked="0" hidden="0"/>
    </xf>
    <xf numFmtId="164" fontId="0" fillId="4" borderId="1" applyAlignment="1" pivotButton="0" quotePrefix="0" xfId="0">
      <alignment horizontal="center" vertical="center"/>
    </xf>
    <xf numFmtId="165" fontId="0" fillId="4" borderId="1" applyAlignment="1" pivotButton="0" quotePrefix="0" xfId="0">
      <alignment horizontal="center" vertical="center"/>
    </xf>
    <xf numFmtId="0" fontId="0" fillId="0" borderId="1" pivotButton="0" quotePrefix="0" xfId="0"/>
    <xf numFmtId="0" fontId="0" fillId="4" borderId="1" pivotButton="0" quotePrefix="0" xfId="0"/>
    <xf numFmtId="1" fontId="0" fillId="0" borderId="1" pivotButton="0" quotePrefix="0" xfId="0"/>
    <xf numFmtId="165" fontId="0" fillId="0" borderId="1" pivotButton="0" quotePrefix="0" xfId="0"/>
    <xf numFmtId="164" fontId="0" fillId="0" borderId="1" pivotButton="0" quotePrefix="0" xfId="0"/>
    <xf numFmtId="164" fontId="0" fillId="4" borderId="1" pivotButton="0" quotePrefix="0" xfId="0"/>
    <xf numFmtId="164" fontId="0" fillId="0" borderId="0" pivotButton="0" quotePrefix="0" xfId="0"/>
    <xf numFmtId="0" fontId="0" fillId="4" borderId="1" applyAlignment="1" pivotButton="0" quotePrefix="0" xfId="0">
      <alignment horizontal="center" vertical="center"/>
    </xf>
    <xf numFmtId="166" fontId="0" fillId="4" borderId="1" applyAlignment="1" pivotButton="0" quotePrefix="0" xfId="0">
      <alignment horizontal="center" vertical="center"/>
    </xf>
    <xf numFmtId="164" fontId="0" fillId="3" borderId="1" applyAlignment="1" applyProtection="1" pivotButton="0" quotePrefix="0" xfId="0">
      <alignment horizontal="center" vertical="center"/>
      <protection locked="0" hidden="0"/>
    </xf>
    <xf numFmtId="167" fontId="0" fillId="3" borderId="1" applyAlignment="1" applyProtection="1" pivotButton="0" quotePrefix="0" xfId="0">
      <alignment horizontal="center" vertical="center"/>
      <protection locked="0" hidden="0"/>
    </xf>
    <xf numFmtId="10" fontId="0" fillId="3" borderId="1" applyAlignment="1" applyProtection="1" pivotButton="0" quotePrefix="0" xfId="0">
      <alignment horizontal="center" vertical="center"/>
      <protection locked="0" hidden="0"/>
    </xf>
    <xf numFmtId="10" fontId="0" fillId="4" borderId="1" applyAlignment="1" pivotButton="0" quotePrefix="0" xfId="0">
      <alignment horizontal="center" vertical="center"/>
    </xf>
    <xf numFmtId="0" fontId="0" fillId="3" borderId="1" applyAlignment="1" applyProtection="1" pivotButton="0" quotePrefix="0" xfId="0">
      <alignment wrapText="1"/>
      <protection locked="0" hidden="0"/>
    </xf>
  </cellXfs>
  <cellStyles count="1">
    <cellStyle name="Normal" xfId="0" builtinId="0" hidden="0"/>
  </cellStyles>
  <dxfs count="1">
    <dxf>
      <fill>
        <patternFill patternType="solid">
          <fgColor rgb="00FFCCCC"/>
          <bgColor rgb="00FFCCC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charts/chart1.xml><?xml version="1.0" encoding="utf-8"?>
<chartSpace xmlns="http://schemas.openxmlformats.org/drawingml/2006/chart">
  <style val="13"/>
  <chart>
    <title>
      <tx>
        <rich>
          <a:bodyPr xmlns:a="http://schemas.openxmlformats.org/drawingml/2006/main"/>
          <a:p xmlns:a="http://schemas.openxmlformats.org/drawingml/2006/main">
            <a:pPr>
              <a:defRPr/>
            </a:pPr>
            <a:r>
              <a:t>Principal vs. Interest Over Loan Term</a:t>
            </a:r>
          </a:p>
        </rich>
      </tx>
    </title>
    <plotArea>
      <lineChart>
        <grouping val="standard"/>
        <ser>
          <idx val="0"/>
          <order val="0"/>
          <tx>
            <strRef>
              <f>'Loan Amortization'!E19</f>
            </strRef>
          </tx>
          <spPr>
            <a:ln xmlns:a="http://schemas.openxmlformats.org/drawingml/2006/main">
              <a:prstDash val="solid"/>
            </a:ln>
          </spPr>
          <marker>
            <symbol val="none"/>
            <spPr>
              <a:ln xmlns:a="http://schemas.openxmlformats.org/drawingml/2006/main">
                <a:prstDash val="solid"/>
              </a:ln>
            </spPr>
          </marker>
          <cat>
            <numRef>
              <f>'Loan Amortization'!$B$19:$B$79</f>
            </numRef>
          </cat>
          <val>
            <numRef>
              <f>'Loan Amortization'!$E$20:$E$79</f>
            </numRef>
          </val>
        </ser>
        <ser>
          <idx val="1"/>
          <order val="1"/>
          <tx>
            <strRef>
              <f>'Loan Amortization'!F19</f>
            </strRef>
          </tx>
          <spPr>
            <a:ln xmlns:a="http://schemas.openxmlformats.org/drawingml/2006/main">
              <a:prstDash val="solid"/>
            </a:ln>
          </spPr>
          <marker>
            <symbol val="none"/>
            <spPr>
              <a:ln xmlns:a="http://schemas.openxmlformats.org/drawingml/2006/main">
                <a:prstDash val="solid"/>
              </a:ln>
            </spPr>
          </marker>
          <cat>
            <numRef>
              <f>'Loan Amortization'!$B$19:$B$79</f>
            </numRef>
          </cat>
          <val>
            <numRef>
              <f>'Loan Amortization'!$F$20:$F$79</f>
            </numRef>
          </val>
        </ser>
        <axId val="10"/>
        <axId val="100"/>
      </lineChart>
      <catAx>
        <axId val="10"/>
        <scaling>
          <orientation val="minMax"/>
        </scaling>
        <axPos val="l"/>
        <title>
          <tx>
            <rich>
              <a:bodyPr xmlns:a="http://schemas.openxmlformats.org/drawingml/2006/main"/>
              <a:p xmlns:a="http://schemas.openxmlformats.org/drawingml/2006/main">
                <a:pPr>
                  <a:defRPr/>
                </a:pPr>
                <a:r>
                  <a:t>Payment Number</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Amount ($)</a:t>
                </a:r>
              </a:p>
            </rich>
          </tx>
        </title>
        <majorTickMark val="none"/>
        <minorTickMark val="none"/>
        <crossAx val="10"/>
      </valAx>
    </plotArea>
    <legend>
      <legendPos val="r"/>
    </legend>
    <plotVisOnly val="1"/>
    <dispBlanksAs val="gap"/>
  </chart>
</chartSpace>
</file>

<file path=xl/charts/chart2.xml><?xml version="1.0" encoding="utf-8"?>
<chartSpace xmlns="http://schemas.openxmlformats.org/drawingml/2006/chart">
  <style val="10"/>
  <chart>
    <title>
      <tx>
        <rich>
          <a:bodyPr xmlns:a="http://schemas.openxmlformats.org/drawingml/2006/main"/>
          <a:p xmlns:a="http://schemas.openxmlformats.org/drawingml/2006/main">
            <a:pPr>
              <a:defRPr/>
            </a:pPr>
            <a:r>
              <a:t>Maximum Loan Amount by Scenario</a:t>
            </a:r>
          </a:p>
        </rich>
      </tx>
    </title>
    <plotArea>
      <barChart>
        <barDir val="col"/>
        <grouping val="clustered"/>
        <ser>
          <idx val="0"/>
          <order val="0"/>
          <tx>
            <strRef>
              <f>'Loan Affordability'!F11</f>
            </strRef>
          </tx>
          <spPr>
            <a:ln xmlns:a="http://schemas.openxmlformats.org/drawingml/2006/main">
              <a:prstDash val="solid"/>
            </a:ln>
          </spPr>
          <cat>
            <numRef>
              <f>'Loan Affordability'!$E$12:$E$15</f>
            </numRef>
          </cat>
          <val>
            <numRef>
              <f>'Loan Affordability'!$F$12:$F$15</f>
            </numRef>
          </val>
        </ser>
        <ser>
          <idx val="1"/>
          <order val="1"/>
          <tx>
            <strRef>
              <f>'Loan Affordability'!G11</f>
            </strRef>
          </tx>
          <spPr>
            <a:ln xmlns:a="http://schemas.openxmlformats.org/drawingml/2006/main">
              <a:prstDash val="solid"/>
            </a:ln>
          </spPr>
          <cat>
            <numRef>
              <f>'Loan Affordability'!$E$12:$E$15</f>
            </numRef>
          </cat>
          <val>
            <numRef>
              <f>'Loan Affordability'!$G$12:$G$15</f>
            </numRef>
          </val>
        </ser>
        <ser>
          <idx val="2"/>
          <order val="2"/>
          <tx>
            <strRef>
              <f>'Loan Affordability'!H11</f>
            </strRef>
          </tx>
          <spPr>
            <a:ln xmlns:a="http://schemas.openxmlformats.org/drawingml/2006/main">
              <a:prstDash val="solid"/>
            </a:ln>
          </spPr>
          <cat>
            <numRef>
              <f>'Loan Affordability'!$E$12:$E$15</f>
            </numRef>
          </cat>
          <val>
            <numRef>
              <f>'Loan Affordability'!$H$12:$H$15</f>
            </numRef>
          </val>
        </ser>
        <ser>
          <idx val="3"/>
          <order val="3"/>
          <tx>
            <strRef>
              <f>'Loan Affordability'!I11</f>
            </strRef>
          </tx>
          <spPr>
            <a:ln xmlns:a="http://schemas.openxmlformats.org/drawingml/2006/main">
              <a:prstDash val="solid"/>
            </a:ln>
          </spPr>
          <cat>
            <numRef>
              <f>'Loan Affordability'!$E$12:$E$15</f>
            </numRef>
          </cat>
          <val>
            <numRef>
              <f>'Loan Affordability'!$I$12:$I$15</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Loan Amount ($)</a:t>
                </a:r>
              </a:p>
            </rich>
          </tx>
        </title>
        <majorTickMark val="none"/>
        <minorTickMark val="none"/>
        <crossAx val="10"/>
      </valAx>
    </plotArea>
    <legend>
      <legendPos val="r"/>
    </legend>
    <plotVisOnly val="1"/>
    <dispBlanksAs val="gap"/>
  </chart>
</chartSpace>
</file>

<file path=xl/charts/chart3.xml><?xml version="1.0" encoding="utf-8"?>
<chartSpace xmlns="http://schemas.openxmlformats.org/drawingml/2006/chart">
  <style val="10"/>
  <chart>
    <title>
      <tx>
        <rich>
          <a:bodyPr xmlns:a="http://schemas.openxmlformats.org/drawingml/2006/main"/>
          <a:p xmlns:a="http://schemas.openxmlformats.org/drawingml/2006/main">
            <a:pPr>
              <a:defRPr/>
            </a:pPr>
            <a:r>
              <a:t>Income vs Expenses</a:t>
            </a:r>
          </a:p>
        </rich>
      </tx>
    </title>
    <plotArea>
      <barChart>
        <barDir val="col"/>
        <grouping val="clustered"/>
        <ser>
          <idx val="0"/>
          <order val="0"/>
          <tx>
            <strRef>
              <f>'Business Budget'!D22</f>
            </strRef>
          </tx>
          <spPr>
            <a:ln xmlns:a="http://schemas.openxmlformats.org/drawingml/2006/main">
              <a:prstDash val="solid"/>
            </a:ln>
          </spPr>
          <cat>
            <numRef>
              <f>'Business Budget'!$B$23:$B$44</f>
            </numRef>
          </cat>
          <val>
            <numRef>
              <f>'Business Budget'!$D$23:$D$44</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Amount ($)</a:t>
                </a:r>
              </a:p>
            </rich>
          </tx>
        </title>
        <majorTickMark val="none"/>
        <minorTickMark val="none"/>
        <crossAx val="10"/>
      </valAx>
    </plotArea>
    <legend>
      <legendPos val="r"/>
    </legend>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Expense Breakdown</a:t>
            </a:r>
          </a:p>
        </rich>
      </tx>
    </title>
    <plotArea>
      <pieChart>
        <varyColors val="1"/>
        <ser>
          <idx val="0"/>
          <order val="0"/>
          <tx>
            <strRef>
              <f>'Business Budget'!D26</f>
            </strRef>
          </tx>
          <spPr>
            <a:ln xmlns:a="http://schemas.openxmlformats.org/drawingml/2006/main">
              <a:prstDash val="solid"/>
            </a:ln>
          </spPr>
          <cat>
            <numRef>
              <f>'Business Budget'!$B$27:$B$32</f>
            </numRef>
          </cat>
          <val>
            <numRef>
              <f>'Business Budget'!$D$27:$D$32</f>
            </numRef>
          </val>
        </ser>
        <firstSliceAng val="0"/>
      </pieChart>
    </plotArea>
    <legend>
      <legendPos val="r"/>
    </legend>
    <plotVisOnly val="1"/>
    <dispBlanksAs val="gap"/>
  </chart>
</chartSpace>
</file>

<file path=xl/charts/chart5.xml><?xml version="1.0" encoding="utf-8"?>
<chartSpace xmlns="http://schemas.openxmlformats.org/drawingml/2006/chart">
  <style val="12"/>
  <chart>
    <title>
      <tx>
        <rich>
          <a:bodyPr xmlns:a="http://schemas.openxmlformats.org/drawingml/2006/main"/>
          <a:p xmlns:a="http://schemas.openxmlformats.org/drawingml/2006/main">
            <a:pPr>
              <a:defRPr/>
            </a:pPr>
            <a:r>
              <a:t>Monthly Net Cash Flow</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Forecast'!$C$45</f>
            </numRef>
          </val>
        </ser>
        <ser>
          <idx val="1"/>
          <order val="1"/>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Forecast'!$D$45</f>
            </numRef>
          </val>
        </ser>
        <ser>
          <idx val="2"/>
          <order val="2"/>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Forecast'!$E$45</f>
            </numRef>
          </val>
        </ser>
        <ser>
          <idx val="3"/>
          <order val="3"/>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Forecast'!$F$45</f>
            </numRef>
          </val>
        </ser>
        <ser>
          <idx val="4"/>
          <order val="4"/>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Forecast'!$G$45</f>
            </numRef>
          </val>
        </ser>
        <ser>
          <idx val="5"/>
          <order val="5"/>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Forecast'!$H$45</f>
            </numRef>
          </val>
        </ser>
        <ser>
          <idx val="6"/>
          <order val="6"/>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Forecast'!$I$45</f>
            </numRef>
          </val>
        </ser>
        <ser>
          <idx val="7"/>
          <order val="7"/>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Forecast'!$J$45</f>
            </numRef>
          </val>
        </ser>
        <ser>
          <idx val="8"/>
          <order val="8"/>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Forecast'!$K$45</f>
            </numRef>
          </val>
        </ser>
        <ser>
          <idx val="9"/>
          <order val="9"/>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Forecast'!$L$45</f>
            </numRef>
          </val>
        </ser>
        <ser>
          <idx val="10"/>
          <order val="10"/>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Forecast'!$M$45</f>
            </numRef>
          </val>
        </ser>
        <ser>
          <idx val="11"/>
          <order val="11"/>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Forecast'!$N$45</f>
            </numRef>
          </val>
        </ser>
        <axId val="10"/>
        <axId val="100"/>
      </lineChart>
      <catAx>
        <axId val="10"/>
        <scaling>
          <orientation val="minMax"/>
        </scaling>
        <axPos val="l"/>
        <title>
          <tx>
            <rich>
              <a:bodyPr xmlns:a="http://schemas.openxmlformats.org/drawingml/2006/main"/>
              <a:p xmlns:a="http://schemas.openxmlformats.org/drawingml/2006/main">
                <a:pPr>
                  <a:defRPr/>
                </a:pPr>
                <a:r>
                  <a:t>Month</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Amount ($)</a:t>
                </a:r>
              </a:p>
            </rich>
          </tx>
        </title>
        <majorTickMark val="none"/>
        <minorTickMark val="none"/>
        <crossAx val="10"/>
      </valAx>
    </plotArea>
    <legend>
      <legendPos val="r"/>
    </legend>
    <plotVisOnly val="1"/>
    <dispBlanksAs val="gap"/>
  </chart>
</chartSpace>
</file>

<file path=xl/charts/chart6.xml><?xml version="1.0" encoding="utf-8"?>
<chartSpace xmlns="http://schemas.openxmlformats.org/drawingml/2006/chart">
  <style val="13"/>
  <chart>
    <title>
      <tx>
        <rich>
          <a:bodyPr xmlns:a="http://schemas.openxmlformats.org/drawingml/2006/main"/>
          <a:p xmlns:a="http://schemas.openxmlformats.org/drawingml/2006/main">
            <a:pPr>
              <a:defRPr/>
            </a:pPr>
            <a:r>
              <a:t>Running Cash Balance</a:t>
            </a:r>
          </a:p>
        </rich>
      </tx>
    </title>
    <plotArea>
      <lineChart>
        <grouping val="standard"/>
        <ser>
          <idx val="0"/>
          <order val="0"/>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Forecast'!$C$48</f>
            </numRef>
          </val>
        </ser>
        <ser>
          <idx val="1"/>
          <order val="1"/>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Forecast'!$D$48</f>
            </numRef>
          </val>
        </ser>
        <ser>
          <idx val="2"/>
          <order val="2"/>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Forecast'!$E$48</f>
            </numRef>
          </val>
        </ser>
        <ser>
          <idx val="3"/>
          <order val="3"/>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Forecast'!$F$48</f>
            </numRef>
          </val>
        </ser>
        <ser>
          <idx val="4"/>
          <order val="4"/>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Forecast'!$G$48</f>
            </numRef>
          </val>
        </ser>
        <ser>
          <idx val="5"/>
          <order val="5"/>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Forecast'!$H$48</f>
            </numRef>
          </val>
        </ser>
        <ser>
          <idx val="6"/>
          <order val="6"/>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Forecast'!$I$48</f>
            </numRef>
          </val>
        </ser>
        <ser>
          <idx val="7"/>
          <order val="7"/>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Forecast'!$J$48</f>
            </numRef>
          </val>
        </ser>
        <ser>
          <idx val="8"/>
          <order val="8"/>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Forecast'!$K$48</f>
            </numRef>
          </val>
        </ser>
        <ser>
          <idx val="9"/>
          <order val="9"/>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Forecast'!$L$48</f>
            </numRef>
          </val>
        </ser>
        <ser>
          <idx val="10"/>
          <order val="10"/>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Forecast'!$M$48</f>
            </numRef>
          </val>
        </ser>
        <ser>
          <idx val="11"/>
          <order val="11"/>
          <spPr>
            <a:ln xmlns:a="http://schemas.openxmlformats.org/drawingml/2006/main">
              <a:prstDash val="solid"/>
            </a:ln>
          </spPr>
          <marker>
            <symbol val="none"/>
            <spPr>
              <a:ln xmlns:a="http://schemas.openxmlformats.org/drawingml/2006/main">
                <a:prstDash val="solid"/>
              </a:ln>
            </spPr>
          </marker>
          <cat>
            <numRef>
              <f>'Cash Flow Forecast'!$C$14:$N$14</f>
            </numRef>
          </cat>
          <val>
            <numRef>
              <f>'Cash Flow Forecast'!$N$48</f>
            </numRef>
          </val>
        </ser>
        <axId val="10"/>
        <axId val="100"/>
      </lineChart>
      <catAx>
        <axId val="10"/>
        <scaling>
          <orientation val="minMax"/>
        </scaling>
        <axPos val="l"/>
        <title>
          <tx>
            <rich>
              <a:bodyPr xmlns:a="http://schemas.openxmlformats.org/drawingml/2006/main"/>
              <a:p xmlns:a="http://schemas.openxmlformats.org/drawingml/2006/main">
                <a:pPr>
                  <a:defRPr/>
                </a:pPr>
                <a:r>
                  <a:t>Month</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Amount ($)</a:t>
                </a:r>
              </a:p>
            </rich>
          </tx>
        </title>
        <majorTickMark val="none"/>
        <minorTickMark val="none"/>
        <crossAx val="10"/>
      </valAx>
    </plotArea>
    <legend>
      <legendPos val="r"/>
    </legend>
    <plotVisOnly val="1"/>
    <dispBlanksAs val="gap"/>
  </chart>
</chartSpace>
</file>

<file path=xl/charts/chart7.xml><?xml version="1.0" encoding="utf-8"?>
<chartSpace xmlns="http://schemas.openxmlformats.org/drawingml/2006/chart">
  <style val="10"/>
  <chart>
    <title>
      <tx>
        <rich>
          <a:bodyPr xmlns:a="http://schemas.openxmlformats.org/drawingml/2006/main"/>
          <a:p xmlns:a="http://schemas.openxmlformats.org/drawingml/2006/main">
            <a:pPr>
              <a:defRPr/>
            </a:pPr>
            <a:r>
              <a:t>Total Cost Comparison</a:t>
            </a:r>
          </a:p>
        </rich>
      </tx>
    </title>
    <plotArea>
      <barChart>
        <barDir val="col"/>
        <grouping val="clustered"/>
        <ser>
          <idx val="0"/>
          <order val="0"/>
          <spPr>
            <a:ln xmlns:a="http://schemas.openxmlformats.org/drawingml/2006/main">
              <a:prstDash val="solid"/>
            </a:ln>
          </spPr>
          <cat>
            <numRef>
              <f>'CDFI Comparison'!$C$13:$E$13</f>
            </numRef>
          </cat>
          <val>
            <numRef>
              <f>'CDFI Comparison'!$C$33</f>
            </numRef>
          </val>
        </ser>
        <ser>
          <idx val="1"/>
          <order val="1"/>
          <spPr>
            <a:ln xmlns:a="http://schemas.openxmlformats.org/drawingml/2006/main">
              <a:prstDash val="solid"/>
            </a:ln>
          </spPr>
          <cat>
            <numRef>
              <f>'CDFI Comparison'!$C$13:$E$13</f>
            </numRef>
          </cat>
          <val>
            <numRef>
              <f>'CDFI Comparison'!$D$33</f>
            </numRef>
          </val>
        </ser>
        <ser>
          <idx val="2"/>
          <order val="2"/>
          <spPr>
            <a:ln xmlns:a="http://schemas.openxmlformats.org/drawingml/2006/main">
              <a:prstDash val="solid"/>
            </a:ln>
          </spPr>
          <cat>
            <numRef>
              <f>'CDFI Comparison'!$C$13:$E$13</f>
            </numRef>
          </cat>
          <val>
            <numRef>
              <f>'CDFI Comparison'!$E$33</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Amount ($)</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_rels/drawing2.xml.rels><Relationships xmlns="http://schemas.openxmlformats.org/package/2006/relationships"><Relationship Type="http://schemas.openxmlformats.org/officeDocument/2006/relationships/chart" Target="/xl/charts/chart2.xml" Id="rId1"/></Relationships>
</file>

<file path=xl/drawings/_rels/drawing3.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s>
</file>

<file path=xl/drawings/_rels/drawing4.xml.rels><Relationships xmlns="http://schemas.openxmlformats.org/package/2006/relationships"><Relationship Type="http://schemas.openxmlformats.org/officeDocument/2006/relationships/chart" Target="/xl/charts/chart5.xml" Id="rId1"/><Relationship Type="http://schemas.openxmlformats.org/officeDocument/2006/relationships/chart" Target="/xl/charts/chart6.xml" Id="rId2"/></Relationships>
</file>

<file path=xl/drawings/_rels/drawing5.xml.rels><Relationships xmlns="http://schemas.openxmlformats.org/package/2006/relationships"><Relationship Type="http://schemas.openxmlformats.org/officeDocument/2006/relationships/chart" Target="/xl/charts/chart7.xml" Id="rId1"/></Relationships>
</file>

<file path=xl/drawings/drawing1.xml><?xml version="1.0" encoding="utf-8"?>
<wsDr xmlns="http://schemas.openxmlformats.org/drawingml/2006/spreadsheetDrawing">
  <oneCellAnchor>
    <from>
      <col>1</col>
      <colOff>0</colOff>
      <row>386</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xml><?xml version="1.0" encoding="utf-8"?>
<wsDr xmlns="http://schemas.openxmlformats.org/drawingml/2006/spreadsheetDrawing">
  <oneCellAnchor>
    <from>
      <col>4</col>
      <colOff>0</colOff>
      <row>18</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3.xml><?xml version="1.0" encoding="utf-8"?>
<wsDr xmlns="http://schemas.openxmlformats.org/drawingml/2006/spreadsheetDrawing">
  <oneCellAnchor>
    <from>
      <col>1</col>
      <colOff>0</colOff>
      <row>52</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4</col>
      <colOff>0</colOff>
      <row>52</row>
      <rowOff>0</rowOff>
    </from>
    <ext cx="5400000" cy="27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4.xml><?xml version="1.0" encoding="utf-8"?>
<wsDr xmlns="http://schemas.openxmlformats.org/drawingml/2006/spreadsheetDrawing">
  <oneCellAnchor>
    <from>
      <col>1</col>
      <colOff>0</colOff>
      <row>51</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7</col>
      <colOff>0</colOff>
      <row>51</row>
      <rowOff>0</rowOff>
    </from>
    <ext cx="5400000" cy="27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5.xml><?xml version="1.0" encoding="utf-8"?>
<wsDr xmlns="http://schemas.openxmlformats.org/drawingml/2006/spreadsheetDrawing">
  <oneCellAnchor>
    <from>
      <col>1</col>
      <colOff>0</colOff>
      <row>65</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drawing" Target="/xl/drawings/drawing1.xml" Id="rId1"/></Relationships>
</file>

<file path=xl/worksheets/_rels/sheet4.xml.rels><Relationships xmlns="http://schemas.openxmlformats.org/package/2006/relationships"><Relationship Type="http://schemas.openxmlformats.org/officeDocument/2006/relationships/drawing" Target="/xl/drawings/drawing2.xml" Id="rId1"/></Relationships>
</file>

<file path=xl/worksheets/_rels/sheet5.xml.rels><Relationships xmlns="http://schemas.openxmlformats.org/package/2006/relationships"><Relationship Type="http://schemas.openxmlformats.org/officeDocument/2006/relationships/drawing" Target="/xl/drawings/drawing3.xml" Id="rId1"/></Relationships>
</file>

<file path=xl/worksheets/_rels/sheet6.xml.rels><Relationships xmlns="http://schemas.openxmlformats.org/package/2006/relationships"><Relationship Type="http://schemas.openxmlformats.org/officeDocument/2006/relationships/drawing" Target="/xl/drawings/drawing4.xml" Id="rId1"/></Relationships>
</file>

<file path=xl/worksheets/_rels/sheet7.xml.rels><Relationships xmlns="http://schemas.openxmlformats.org/package/2006/relationships"><Relationship Type="http://schemas.openxmlformats.org/officeDocument/2006/relationships/drawing" Target="/xl/drawings/drawing5.xml" Id="rId1"/></Relationships>
</file>

<file path=xl/worksheets/sheet1.xml><?xml version="1.0" encoding="utf-8"?>
<worksheet xmlns="http://schemas.openxmlformats.org/spreadsheetml/2006/main">
  <sheetPr>
    <outlinePr summaryBelow="1" summaryRight="1"/>
    <pageSetUpPr/>
  </sheetPr>
  <dimension ref="B2:C27"/>
  <sheetViews>
    <sheetView workbookViewId="0">
      <selection activeCell="A1" sqref="A1"/>
    </sheetView>
  </sheetViews>
  <sheetFormatPr baseColWidth="8" defaultRowHeight="15"/>
  <cols>
    <col width="5" customWidth="1" min="1" max="1"/>
    <col width="25" customWidth="1" min="2" max="2"/>
    <col width="60" customWidth="1" min="3" max="3"/>
    <col width="15" customWidth="1" min="4" max="4"/>
  </cols>
  <sheetData>
    <row r="2">
      <c r="B2" s="1" t="inlineStr">
        <is>
          <t>CDFI Financial Literacy Toolkit</t>
        </is>
      </c>
    </row>
    <row r="3">
      <c r="B3" s="2" t="inlineStr">
        <is>
          <t>Provided by Clarity Impact Finance</t>
        </is>
      </c>
    </row>
    <row r="4">
      <c r="B4" s="3" t="inlineStr">
        <is>
          <t>Created: March 17, 2025</t>
        </is>
      </c>
    </row>
    <row r="6">
      <c r="B6" s="4" t="inlineStr">
        <is>
          <t>About This Toolkit</t>
        </is>
      </c>
    </row>
    <row r="7" ht="100" customHeight="1">
      <c r="B7" s="5" t="inlineStr">
        <is>
          <t>This Excel workbook provides a collection of financial tools designed specifically for individuals and small business owners who are seeking financing from Community Development Financial Institutions (CDFIs).
    The tools included in this workbook will help you understand key financial concepts, plan your financing needs, and make informed decisions about your business or real estate project.
    No financial background is required to use these tools. Each sheet includes instructions and explanations of key terms.</t>
        </is>
      </c>
    </row>
    <row r="9">
      <c r="B9" s="4" t="inlineStr">
        <is>
          <t>How to Use This Toolkit</t>
        </is>
      </c>
    </row>
    <row r="10" ht="85" customHeight="1">
      <c r="B10" s="5" t="inlineStr">
        <is>
          <t>1. Navigate between tools using the tabs at the bottom of the Excel window.
    2. Enter your information in the light green cells.
    3. Results and calculations will appear in the light orange cells.
    4. Don't change formulas in the orange cells or any cells that aren't light green.
    5. Save a copy of this workbook with your specific information.</t>
        </is>
      </c>
    </row>
    <row r="12">
      <c r="B12" s="4" t="inlineStr">
        <is>
          <t>Tools Included in This Workbook</t>
        </is>
      </c>
    </row>
    <row r="13">
      <c r="B13" s="6" t="inlineStr">
        <is>
          <t>Loan Terminology</t>
        </is>
      </c>
      <c r="C13" s="5" t="inlineStr">
        <is>
          <t>Explanations of common loan terms and concepts used by CDFIs</t>
        </is>
      </c>
    </row>
    <row r="14">
      <c r="B14" s="6" t="inlineStr">
        <is>
          <t>Loan Amortization</t>
        </is>
      </c>
      <c r="C14" s="5" t="inlineStr">
        <is>
          <t>Calculate monthly payments, total interest, and view payment schedules</t>
        </is>
      </c>
    </row>
    <row r="15">
      <c r="B15" s="6" t="inlineStr">
        <is>
          <t>Loan Affordability</t>
        </is>
      </c>
      <c r="C15" s="5" t="inlineStr">
        <is>
          <t>Determine how much financing you can afford based on your business income</t>
        </is>
      </c>
    </row>
    <row r="16">
      <c r="B16" s="6" t="inlineStr">
        <is>
          <t>Business Budget</t>
        </is>
      </c>
      <c r="C16" s="5" t="inlineStr">
        <is>
          <t>Create and manage a business budget with income and expense tracking</t>
        </is>
      </c>
    </row>
    <row r="17">
      <c r="B17" s="6" t="inlineStr">
        <is>
          <t>Cash Flow Forecast</t>
        </is>
      </c>
      <c r="C17" s="5" t="inlineStr">
        <is>
          <t>Project your business's cash flow for the next 12-24 months</t>
        </is>
      </c>
    </row>
    <row r="18">
      <c r="B18" s="6" t="inlineStr">
        <is>
          <t>CDFI Comparison</t>
        </is>
      </c>
      <c r="C18" s="5" t="inlineStr">
        <is>
          <t>Compare financing options from different CDFIs</t>
        </is>
      </c>
    </row>
    <row r="20">
      <c r="B20" s="4" t="inlineStr">
        <is>
          <t>Access to Additional Resources</t>
        </is>
      </c>
    </row>
    <row r="21" ht="100" customHeight="1">
      <c r="B21" s="5" t="inlineStr">
        <is>
          <t>Clarity Impact Finance offers additional resources through our secure client portal:
    • To access these resources, you'll need an invitation code (format: CIF-XXXXX)
    • Invitation codes are valid for 30 days
    • Contact your CDFI representative for an invitation code
    • Once registered, you can log in with your email and password
    Visit our website for more information about accessing these resources.</t>
        </is>
      </c>
    </row>
    <row r="24">
      <c r="B24" s="4" t="inlineStr">
        <is>
          <t>Need Help?</t>
        </is>
      </c>
    </row>
    <row r="25">
      <c r="B25" t="inlineStr">
        <is>
          <t>Email: contact@clarityimpactfinance.com</t>
        </is>
      </c>
    </row>
    <row r="26">
      <c r="B26" t="inlineStr">
        <is>
          <t>Website: www.clarityimpactfinance.com</t>
        </is>
      </c>
    </row>
    <row r="27">
      <c r="B27" t="inlineStr">
        <is>
          <t>Additional resources and guides are available on our website.</t>
        </is>
      </c>
    </row>
  </sheetData>
  <sheetProtection selectLockedCells="0" selectUnlockedCells="0" sheet="1" objects="0" insertRows="1" insertHyperlinks="1" autoFilter="1" scenarios="0" formatColumns="1" deleteColumns="1" insertColumns="1" pivotTables="1" deleteRows="1" formatCells="1" formatRows="1" sort="1" password="E7B2"/>
  <pageMargins left="0.75" right="0.75" top="1" bottom="1" header="0.5" footer="0.5"/>
</worksheet>
</file>

<file path=xl/worksheets/sheet2.xml><?xml version="1.0" encoding="utf-8"?>
<worksheet xmlns="http://schemas.openxmlformats.org/spreadsheetml/2006/main">
  <sheetPr>
    <outlinePr summaryBelow="1" summaryRight="1"/>
    <pageSetUpPr/>
  </sheetPr>
  <dimension ref="B2:E25"/>
  <sheetViews>
    <sheetView workbookViewId="0">
      <selection activeCell="A1" sqref="A1"/>
    </sheetView>
  </sheetViews>
  <sheetFormatPr baseColWidth="8" defaultRowHeight="15"/>
  <cols>
    <col width="5" customWidth="1" min="1" max="1"/>
    <col width="25" customWidth="1" min="2" max="2"/>
    <col width="40" customWidth="1" min="3" max="3"/>
    <col width="25" customWidth="1" min="4" max="4"/>
    <col width="30" customWidth="1" min="5" max="5"/>
  </cols>
  <sheetData>
    <row r="2">
      <c r="B2" s="7" t="inlineStr">
        <is>
          <t>Loan Terminology Explainer</t>
        </is>
      </c>
    </row>
    <row r="3">
      <c r="B3" s="8" t="inlineStr">
        <is>
          <t>Understanding key financial terms used in CDFI financing</t>
        </is>
      </c>
    </row>
    <row r="5">
      <c r="B5" s="9" t="inlineStr">
        <is>
          <t>Looking for a specific term? Press Ctrl+F to search this sheet.</t>
        </is>
      </c>
    </row>
    <row r="7">
      <c r="B7" s="10" t="inlineStr">
        <is>
          <t>Term</t>
        </is>
      </c>
      <c r="C7" s="10" t="inlineStr">
        <is>
          <t>Definition</t>
        </is>
      </c>
      <c r="D7" s="10" t="inlineStr">
        <is>
          <t>Example</t>
        </is>
      </c>
      <c r="E7" s="10" t="inlineStr">
        <is>
          <t>Why It Matters</t>
        </is>
      </c>
    </row>
    <row r="8">
      <c r="B8" s="11" t="inlineStr">
        <is>
          <t>Principal</t>
        </is>
      </c>
      <c r="C8" s="12" t="inlineStr">
        <is>
          <t>The original amount of money borrowed in a loan.</t>
        </is>
      </c>
      <c r="D8" s="12" t="inlineStr">
        <is>
          <t>A $100,000 loan for business equipment has a principal of $100,000.</t>
        </is>
      </c>
      <c r="E8" s="12" t="inlineStr">
        <is>
          <t>Determines your total debt obligation and affects the interest you'll pay.</t>
        </is>
      </c>
    </row>
    <row r="9">
      <c r="B9" s="13" t="inlineStr">
        <is>
          <t>Interest Rate</t>
        </is>
      </c>
      <c r="C9" s="5" t="inlineStr">
        <is>
          <t>The percentage of the principal charged by lenders for the use of their money. Can be fixed (stays the same) or variable (changes over time).</t>
        </is>
      </c>
      <c r="D9" s="5" t="inlineStr">
        <is>
          <t>A loan with a 5% fixed annual interest rate.</t>
        </is>
      </c>
      <c r="E9" s="5" t="inlineStr">
        <is>
          <t>Directly impacts your monthly payment and total cost of the loan.</t>
        </is>
      </c>
    </row>
    <row r="10">
      <c r="B10" s="11" t="inlineStr">
        <is>
          <t>APR (Annual Percentage Rate)</t>
        </is>
      </c>
      <c r="C10" s="12" t="inlineStr">
        <is>
          <t>The yearly cost of a loan including interest and fees, expressed as a percentage.</t>
        </is>
      </c>
      <c r="D10" s="12" t="inlineStr">
        <is>
          <t>A loan with a 5% interest rate might have a 5.5% APR when fees are included.</t>
        </is>
      </c>
      <c r="E10" s="12" t="inlineStr">
        <is>
          <t>Helps you compare different loan offers on a standardized basis.</t>
        </is>
      </c>
    </row>
    <row r="11">
      <c r="B11" s="13" t="inlineStr">
        <is>
          <t>Term</t>
        </is>
      </c>
      <c r="C11" s="5" t="inlineStr">
        <is>
          <t>The length of time to repay the loan in full.</t>
        </is>
      </c>
      <c r="D11" s="5" t="inlineStr">
        <is>
          <t>A 5-year term means you have 60 monthly payments to repay the loan.</t>
        </is>
      </c>
      <c r="E11" s="5" t="inlineStr">
        <is>
          <t>Affects your monthly payment amount and total interest paid.</t>
        </is>
      </c>
    </row>
    <row r="12">
      <c r="B12" s="11" t="inlineStr">
        <is>
          <t>Amortization</t>
        </is>
      </c>
      <c r="C12" s="12" t="inlineStr">
        <is>
          <t>The process of paying off a loan with regular payments over time, where each payment includes both principal and interest.</t>
        </is>
      </c>
      <c r="D12" s="12" t="inlineStr">
        <is>
          <t>In a 30-year mortgage, early payments are mostly interest, while later payments are mostly principal.</t>
        </is>
      </c>
      <c r="E12" s="12" t="inlineStr">
        <is>
          <t>Helps you understand how much of each payment goes to principal vs. interest.</t>
        </is>
      </c>
    </row>
    <row r="13">
      <c r="B13" s="13" t="inlineStr">
        <is>
          <t>Amortization Schedule</t>
        </is>
      </c>
      <c r="C13" s="5" t="inlineStr">
        <is>
          <t>A table showing the breakdown of each loan payment into principal and interest over the life of the loan.</t>
        </is>
      </c>
      <c r="D13" s="5" t="inlineStr">
        <is>
          <t>Month 1: $500 payment = $100 principal + $400 interest
Month 2: $500 payment = $102 principal + $398 interest</t>
        </is>
      </c>
      <c r="E13" s="5" t="inlineStr">
        <is>
          <t>Helps track loan payoff progress and plan for early payoff strategies.</t>
        </is>
      </c>
    </row>
    <row r="14">
      <c r="B14" s="11" t="inlineStr">
        <is>
          <t>Collateral</t>
        </is>
      </c>
      <c r="C14" s="12" t="inlineStr">
        <is>
          <t>Assets pledged to secure a loan that can be seized by the lender if you fail to repay.</t>
        </is>
      </c>
      <c r="D14" s="12" t="inlineStr">
        <is>
          <t>Using business equipment or real estate as collateral for a loan.</t>
        </is>
      </c>
      <c r="E14" s="12" t="inlineStr">
        <is>
          <t>Reduces lender risk, which can help you qualify for larger loans or better rates.</t>
        </is>
      </c>
    </row>
    <row r="15">
      <c r="B15" s="13" t="inlineStr">
        <is>
          <t>Debt Service Coverage Ratio (DSCR)</t>
        </is>
      </c>
      <c r="C15" s="5" t="inlineStr">
        <is>
          <t>A measure of cash flow available to pay current debt obligations. Calculated as Net Operating Income divided by Total Debt Service.</t>
        </is>
      </c>
      <c r="D15" s="5" t="inlineStr">
        <is>
          <t>DSCR of 1.25 means you have 25% more income than needed for loan payments.</t>
        </is>
      </c>
      <c r="E15" s="5" t="inlineStr">
        <is>
          <t>Lenders use this to determine if your business generates enough cash to repay the loan.</t>
        </is>
      </c>
    </row>
    <row r="16">
      <c r="B16" s="11" t="inlineStr">
        <is>
          <t>Loan-to-Value (LTV) Ratio</t>
        </is>
      </c>
      <c r="C16" s="12" t="inlineStr">
        <is>
          <t>The ratio of a loan amount to the value of the asset being purchased.</t>
        </is>
      </c>
      <c r="D16" s="12" t="inlineStr">
        <is>
          <t>An $80,000 loan for a $100,000 property has an 80% LTV ratio.</t>
        </is>
      </c>
      <c r="E16" s="12" t="inlineStr">
        <is>
          <t>Affects your interest rate, loan terms, and whether you need additional collateral.</t>
        </is>
      </c>
    </row>
    <row r="17">
      <c r="B17" s="13" t="inlineStr">
        <is>
          <t>Origination Fee</t>
        </is>
      </c>
      <c r="C17" s="5" t="inlineStr">
        <is>
          <t>A fee charged by lenders to process a new loan application.</t>
        </is>
      </c>
      <c r="D17" s="5" t="inlineStr">
        <is>
          <t>A 1% origination fee on a $100,000 loan would cost $1,000.</t>
        </is>
      </c>
      <c r="E17" s="5" t="inlineStr">
        <is>
          <t>Adds to the upfront cost of obtaining a loan and affects the total cost of borrowing.</t>
        </is>
      </c>
    </row>
    <row r="18">
      <c r="B18" s="11" t="inlineStr">
        <is>
          <t>Prepayment Penalty</t>
        </is>
      </c>
      <c r="C18" s="12" t="inlineStr">
        <is>
          <t>A fee charged by some lenders if you pay off your loan before the end of the term.</t>
        </is>
      </c>
      <c r="D18" s="12" t="inlineStr">
        <is>
          <t>A 2% prepayment penalty on a $100,000 balance would cost $2,000 if you pay off early.</t>
        </is>
      </c>
      <c r="E18" s="12" t="inlineStr">
        <is>
          <t>May limit your flexibility to refinance or pay off the loan early.</t>
        </is>
      </c>
    </row>
    <row r="19">
      <c r="B19" s="13" t="inlineStr">
        <is>
          <t>Term Sheet</t>
        </is>
      </c>
      <c r="C19" s="5" t="inlineStr">
        <is>
          <t>A non-binding document outlining the key terms and conditions of a proposed loan.</t>
        </is>
      </c>
      <c r="D19" s="5" t="inlineStr">
        <is>
          <t>A term sheet might specify loan amount, interest rate, term, collateral requirements, and key conditions.</t>
        </is>
      </c>
      <c r="E19" s="5" t="inlineStr">
        <is>
          <t>Allows you to understand and compare loan offers before signing binding documents.</t>
        </is>
      </c>
    </row>
    <row r="20">
      <c r="B20" s="11" t="inlineStr">
        <is>
          <t>Debt-to-Income (DTI) Ratio</t>
        </is>
      </c>
      <c r="C20" s="12" t="inlineStr">
        <is>
          <t>The percentage of your monthly income that goes toward paying debts.</t>
        </is>
      </c>
      <c r="D20" s="12" t="inlineStr">
        <is>
          <t>If your monthly income is $10,000 and debt payments total $3,000, your DTI is 30%.</t>
        </is>
      </c>
      <c r="E20" s="12" t="inlineStr">
        <is>
          <t>Lenders use this to assess your ability to take on additional debt.</t>
        </is>
      </c>
    </row>
    <row r="21">
      <c r="B21" s="13" t="inlineStr">
        <is>
          <t>Grace Period</t>
        </is>
      </c>
      <c r="C21" s="5" t="inlineStr">
        <is>
          <t>A set period after a payment due date during which a late payment will not result in penalties.</t>
        </is>
      </c>
      <c r="D21" s="5" t="inlineStr">
        <is>
          <t>A 15-day grace period means no late fees if you pay within 15 days after the due date.</t>
        </is>
      </c>
      <c r="E21" s="5" t="inlineStr">
        <is>
          <t>Provides flexibility in timing your payments.</t>
        </is>
      </c>
    </row>
    <row r="22">
      <c r="B22" s="11" t="inlineStr">
        <is>
          <t>Balloon Payment</t>
        </is>
      </c>
      <c r="C22" s="12" t="inlineStr">
        <is>
          <t>A large, lump-sum payment due at the end of a loan term.</t>
        </is>
      </c>
      <c r="D22" s="12" t="inlineStr">
        <is>
          <t>A 5-year loan with a $50,000 balloon payment at the end.</t>
        </is>
      </c>
      <c r="E22" s="12" t="inlineStr">
        <is>
          <t>Requires planning to either refinance or have funds available for the final payment.</t>
        </is>
      </c>
    </row>
    <row r="25">
      <c r="B25" s="9" t="inlineStr">
        <is>
          <t>Note: This is not an exhaustive list. Ask your CDFI loan officer about any terms you don't understand.</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B2:H401"/>
  <sheetViews>
    <sheetView workbookViewId="0">
      <selection activeCell="A1" sqref="A1"/>
    </sheetView>
  </sheetViews>
  <sheetFormatPr baseColWidth="8" defaultRowHeight="15"/>
  <cols>
    <col width="5" customWidth="1" min="1" max="1"/>
    <col width="15" customWidth="1" min="2" max="2"/>
    <col width="15" customWidth="1" min="3" max="3"/>
    <col width="15" customWidth="1" min="4" max="4"/>
    <col width="20" customWidth="1" min="5" max="5"/>
    <col width="15" customWidth="1" min="6" max="6"/>
    <col width="20" customWidth="1" min="7" max="7"/>
    <col hidden="1" width="13" customWidth="1" min="8" max="8"/>
  </cols>
  <sheetData>
    <row r="2">
      <c r="B2" s="7" t="inlineStr">
        <is>
          <t>Loan Amortization Calculator</t>
        </is>
      </c>
    </row>
    <row r="3">
      <c r="B3" s="8" t="inlineStr">
        <is>
          <t>Calculate monthly payments and view payment schedules for your loan</t>
        </is>
      </c>
    </row>
    <row r="5">
      <c r="B5" s="6" t="inlineStr">
        <is>
          <t>Instructions:</t>
        </is>
      </c>
    </row>
    <row r="6">
      <c r="B6" s="5" t="inlineStr">
        <is>
          <t>1. Enter your loan details in the green input cells below
    2. View your monthly payment and loan summary in the orange cells
    3. Scroll down to see your complete amortization schedule</t>
        </is>
      </c>
    </row>
    <row r="8">
      <c r="B8" s="4" t="inlineStr">
        <is>
          <t>Loan Details</t>
        </is>
      </c>
      <c r="E8" s="4" t="inlineStr">
        <is>
          <t>Loan Summary</t>
        </is>
      </c>
    </row>
    <row r="10">
      <c r="B10" t="inlineStr">
        <is>
          <t>Loan Amount ($)</t>
        </is>
      </c>
      <c r="C10" s="14" t="n">
        <v>100000</v>
      </c>
      <c r="E10" t="inlineStr">
        <is>
          <t>Monthly Payment ($)</t>
        </is>
      </c>
      <c r="F10" s="15">
        <f>PMT(C11/C13,C12*C13,C10)</f>
        <v/>
      </c>
    </row>
    <row r="11">
      <c r="B11" t="inlineStr">
        <is>
          <t>Annual Interest Rate (%)</t>
        </is>
      </c>
      <c r="C11" s="14" t="n">
        <v>5.5</v>
      </c>
      <c r="E11" t="inlineStr">
        <is>
          <t>Total Payments ($)</t>
        </is>
      </c>
      <c r="F11" s="15">
        <f>F10*C12*C13</f>
        <v/>
      </c>
    </row>
    <row r="12">
      <c r="B12" t="inlineStr">
        <is>
          <t>Loan Term (Years)</t>
        </is>
      </c>
      <c r="C12" s="14" t="n">
        <v>5</v>
      </c>
      <c r="E12" t="inlineStr">
        <is>
          <t>Total Interest ($)</t>
        </is>
      </c>
      <c r="F12" s="15">
        <f>F11-C10</f>
        <v/>
      </c>
    </row>
    <row r="13">
      <c r="B13" t="inlineStr">
        <is>
          <t>Payments Per Year</t>
        </is>
      </c>
      <c r="C13" s="14" t="n">
        <v>12</v>
      </c>
      <c r="E13" t="inlineStr">
        <is>
          <t>Total Principal ($)</t>
        </is>
      </c>
      <c r="F13" s="15">
        <f>C10</f>
        <v/>
      </c>
    </row>
    <row r="14">
      <c r="B14" t="inlineStr">
        <is>
          <t>Start Date</t>
        </is>
      </c>
      <c r="C14" s="14" t="inlineStr">
        <is>
          <t>TODAY()</t>
        </is>
      </c>
      <c r="E14" t="inlineStr">
        <is>
          <t>Last Payment Date</t>
        </is>
      </c>
      <c r="F14" s="16">
        <f>EDATE(C14,C12*12)</f>
        <v/>
      </c>
    </row>
    <row r="17">
      <c r="B17" s="4" t="inlineStr">
        <is>
          <t>Amortization Schedule</t>
        </is>
      </c>
    </row>
    <row r="19">
      <c r="B19" s="10" t="inlineStr">
        <is>
          <t>Payment #</t>
        </is>
      </c>
      <c r="C19" s="10" t="inlineStr">
        <is>
          <t>Payment Date</t>
        </is>
      </c>
      <c r="D19" s="10" t="inlineStr">
        <is>
          <t>Payment Amount</t>
        </is>
      </c>
      <c r="E19" s="10" t="inlineStr">
        <is>
          <t>Principal</t>
        </is>
      </c>
      <c r="F19" s="10" t="inlineStr">
        <is>
          <t>Interest</t>
        </is>
      </c>
      <c r="G19" s="10" t="inlineStr">
        <is>
          <t>Remaining Balance</t>
        </is>
      </c>
    </row>
    <row r="20">
      <c r="B20" s="17" t="n">
        <v>1</v>
      </c>
      <c r="C20" s="17">
        <f>EDATE(C14,1)</f>
        <v/>
      </c>
      <c r="D20" s="17">
        <f>F10</f>
        <v/>
      </c>
      <c r="E20" s="17">
        <f>D20-F20</f>
        <v/>
      </c>
      <c r="F20" s="17">
        <f>H20*C11/C13</f>
        <v/>
      </c>
      <c r="G20" s="18">
        <f>C10-E20</f>
        <v/>
      </c>
      <c r="H20">
        <f>C10</f>
        <v/>
      </c>
    </row>
    <row r="21">
      <c r="B21" s="19">
        <f>2</f>
        <v/>
      </c>
      <c r="C21" s="20">
        <f>EDATE(C14,2)</f>
        <v/>
      </c>
      <c r="D21" s="21">
        <f>F10</f>
        <v/>
      </c>
      <c r="E21" s="21">
        <f>D21-F21</f>
        <v/>
      </c>
      <c r="F21" s="21">
        <f>H21*C11/C13</f>
        <v/>
      </c>
      <c r="G21" s="22">
        <f>G20-E21</f>
        <v/>
      </c>
      <c r="H21">
        <f>G20</f>
        <v/>
      </c>
    </row>
    <row r="22">
      <c r="B22" s="19">
        <f>3</f>
        <v/>
      </c>
      <c r="C22" s="20">
        <f>EDATE(C14,3)</f>
        <v/>
      </c>
      <c r="D22" s="21">
        <f>F10</f>
        <v/>
      </c>
      <c r="E22" s="21">
        <f>D22-F22</f>
        <v/>
      </c>
      <c r="F22" s="21">
        <f>H22*C11/C13</f>
        <v/>
      </c>
      <c r="G22" s="22">
        <f>G21-E22</f>
        <v/>
      </c>
      <c r="H22">
        <f>G21</f>
        <v/>
      </c>
    </row>
    <row r="23">
      <c r="B23" s="19">
        <f>4</f>
        <v/>
      </c>
      <c r="C23" s="20">
        <f>EDATE(C14,4)</f>
        <v/>
      </c>
      <c r="D23" s="21">
        <f>F10</f>
        <v/>
      </c>
      <c r="E23" s="21">
        <f>D23-F23</f>
        <v/>
      </c>
      <c r="F23" s="21">
        <f>H23*C11/C13</f>
        <v/>
      </c>
      <c r="G23" s="22">
        <f>G22-E23</f>
        <v/>
      </c>
      <c r="H23">
        <f>G22</f>
        <v/>
      </c>
    </row>
    <row r="24">
      <c r="B24" s="19">
        <f>5</f>
        <v/>
      </c>
      <c r="C24" s="20">
        <f>EDATE(C14,5)</f>
        <v/>
      </c>
      <c r="D24" s="21">
        <f>F10</f>
        <v/>
      </c>
      <c r="E24" s="21">
        <f>D24-F24</f>
        <v/>
      </c>
      <c r="F24" s="21">
        <f>H24*C11/C13</f>
        <v/>
      </c>
      <c r="G24" s="22">
        <f>G23-E24</f>
        <v/>
      </c>
      <c r="H24">
        <f>G23</f>
        <v/>
      </c>
    </row>
    <row r="25">
      <c r="B25" s="19">
        <f>6</f>
        <v/>
      </c>
      <c r="C25" s="20">
        <f>EDATE(C14,6)</f>
        <v/>
      </c>
      <c r="D25" s="21">
        <f>F10</f>
        <v/>
      </c>
      <c r="E25" s="21">
        <f>D25-F25</f>
        <v/>
      </c>
      <c r="F25" s="21">
        <f>H25*C11/C13</f>
        <v/>
      </c>
      <c r="G25" s="22">
        <f>G24-E25</f>
        <v/>
      </c>
      <c r="H25">
        <f>G24</f>
        <v/>
      </c>
    </row>
    <row r="26">
      <c r="B26" s="19">
        <f>7</f>
        <v/>
      </c>
      <c r="C26" s="20">
        <f>EDATE(C14,7)</f>
        <v/>
      </c>
      <c r="D26" s="21">
        <f>F10</f>
        <v/>
      </c>
      <c r="E26" s="21">
        <f>D26-F26</f>
        <v/>
      </c>
      <c r="F26" s="21">
        <f>H26*C11/C13</f>
        <v/>
      </c>
      <c r="G26" s="22">
        <f>G25-E26</f>
        <v/>
      </c>
      <c r="H26">
        <f>G25</f>
        <v/>
      </c>
    </row>
    <row r="27">
      <c r="B27" s="19">
        <f>8</f>
        <v/>
      </c>
      <c r="C27" s="20">
        <f>EDATE(C14,8)</f>
        <v/>
      </c>
      <c r="D27" s="21">
        <f>F10</f>
        <v/>
      </c>
      <c r="E27" s="21">
        <f>D27-F27</f>
        <v/>
      </c>
      <c r="F27" s="21">
        <f>H27*C11/C13</f>
        <v/>
      </c>
      <c r="G27" s="22">
        <f>G26-E27</f>
        <v/>
      </c>
      <c r="H27">
        <f>G26</f>
        <v/>
      </c>
    </row>
    <row r="28">
      <c r="B28" s="19">
        <f>9</f>
        <v/>
      </c>
      <c r="C28" s="20">
        <f>EDATE(C14,9)</f>
        <v/>
      </c>
      <c r="D28" s="21">
        <f>F10</f>
        <v/>
      </c>
      <c r="E28" s="21">
        <f>D28-F28</f>
        <v/>
      </c>
      <c r="F28" s="21">
        <f>H28*C11/C13</f>
        <v/>
      </c>
      <c r="G28" s="22">
        <f>G27-E28</f>
        <v/>
      </c>
      <c r="H28">
        <f>G27</f>
        <v/>
      </c>
    </row>
    <row r="29">
      <c r="B29" s="19">
        <f>10</f>
        <v/>
      </c>
      <c r="C29" s="20">
        <f>EDATE(C14,10)</f>
        <v/>
      </c>
      <c r="D29" s="21">
        <f>F10</f>
        <v/>
      </c>
      <c r="E29" s="21">
        <f>D29-F29</f>
        <v/>
      </c>
      <c r="F29" s="21">
        <f>H29*C11/C13</f>
        <v/>
      </c>
      <c r="G29" s="22">
        <f>G28-E29</f>
        <v/>
      </c>
      <c r="H29">
        <f>G28</f>
        <v/>
      </c>
    </row>
    <row r="30">
      <c r="B30" s="19">
        <f>11</f>
        <v/>
      </c>
      <c r="C30" s="20">
        <f>EDATE(C14,11)</f>
        <v/>
      </c>
      <c r="D30" s="21">
        <f>F10</f>
        <v/>
      </c>
      <c r="E30" s="21">
        <f>D30-F30</f>
        <v/>
      </c>
      <c r="F30" s="21">
        <f>H30*C11/C13</f>
        <v/>
      </c>
      <c r="G30" s="22">
        <f>G29-E30</f>
        <v/>
      </c>
      <c r="H30">
        <f>G29</f>
        <v/>
      </c>
    </row>
    <row r="31">
      <c r="B31" s="19">
        <f>12</f>
        <v/>
      </c>
      <c r="C31" s="20">
        <f>EDATE(C14,12)</f>
        <v/>
      </c>
      <c r="D31" s="21">
        <f>F10</f>
        <v/>
      </c>
      <c r="E31" s="21">
        <f>D31-F31</f>
        <v/>
      </c>
      <c r="F31" s="21">
        <f>H31*C11/C13</f>
        <v/>
      </c>
      <c r="G31" s="22">
        <f>G30-E31</f>
        <v/>
      </c>
      <c r="H31">
        <f>G30</f>
        <v/>
      </c>
    </row>
    <row r="32">
      <c r="B32" s="19">
        <f>13</f>
        <v/>
      </c>
      <c r="C32" s="20">
        <f>EDATE(C14,13)</f>
        <v/>
      </c>
      <c r="D32" s="21">
        <f>F10</f>
        <v/>
      </c>
      <c r="E32" s="21">
        <f>D32-F32</f>
        <v/>
      </c>
      <c r="F32" s="21">
        <f>H32*C11/C13</f>
        <v/>
      </c>
      <c r="G32" s="22">
        <f>G31-E32</f>
        <v/>
      </c>
      <c r="H32">
        <f>G31</f>
        <v/>
      </c>
    </row>
    <row r="33">
      <c r="B33" s="19">
        <f>14</f>
        <v/>
      </c>
      <c r="C33" s="20">
        <f>EDATE(C14,14)</f>
        <v/>
      </c>
      <c r="D33" s="21">
        <f>F10</f>
        <v/>
      </c>
      <c r="E33" s="21">
        <f>D33-F33</f>
        <v/>
      </c>
      <c r="F33" s="21">
        <f>H33*C11/C13</f>
        <v/>
      </c>
      <c r="G33" s="22">
        <f>G32-E33</f>
        <v/>
      </c>
      <c r="H33">
        <f>G32</f>
        <v/>
      </c>
    </row>
    <row r="34">
      <c r="B34" s="19">
        <f>15</f>
        <v/>
      </c>
      <c r="C34" s="20">
        <f>EDATE(C14,15)</f>
        <v/>
      </c>
      <c r="D34" s="21">
        <f>F10</f>
        <v/>
      </c>
      <c r="E34" s="21">
        <f>D34-F34</f>
        <v/>
      </c>
      <c r="F34" s="21">
        <f>H34*C11/C13</f>
        <v/>
      </c>
      <c r="G34" s="22">
        <f>G33-E34</f>
        <v/>
      </c>
      <c r="H34">
        <f>G33</f>
        <v/>
      </c>
    </row>
    <row r="35">
      <c r="B35" s="19">
        <f>16</f>
        <v/>
      </c>
      <c r="C35" s="20">
        <f>EDATE(C14,16)</f>
        <v/>
      </c>
      <c r="D35" s="21">
        <f>F10</f>
        <v/>
      </c>
      <c r="E35" s="21">
        <f>D35-F35</f>
        <v/>
      </c>
      <c r="F35" s="21">
        <f>H35*C11/C13</f>
        <v/>
      </c>
      <c r="G35" s="22">
        <f>G34-E35</f>
        <v/>
      </c>
      <c r="H35">
        <f>G34</f>
        <v/>
      </c>
    </row>
    <row r="36">
      <c r="B36" s="19">
        <f>17</f>
        <v/>
      </c>
      <c r="C36" s="20">
        <f>EDATE(C14,17)</f>
        <v/>
      </c>
      <c r="D36" s="21">
        <f>F10</f>
        <v/>
      </c>
      <c r="E36" s="21">
        <f>D36-F36</f>
        <v/>
      </c>
      <c r="F36" s="21">
        <f>H36*C11/C13</f>
        <v/>
      </c>
      <c r="G36" s="22">
        <f>G35-E36</f>
        <v/>
      </c>
      <c r="H36">
        <f>G35</f>
        <v/>
      </c>
    </row>
    <row r="37">
      <c r="B37" s="19">
        <f>18</f>
        <v/>
      </c>
      <c r="C37" s="20">
        <f>EDATE(C14,18)</f>
        <v/>
      </c>
      <c r="D37" s="21">
        <f>F10</f>
        <v/>
      </c>
      <c r="E37" s="21">
        <f>D37-F37</f>
        <v/>
      </c>
      <c r="F37" s="21">
        <f>H37*C11/C13</f>
        <v/>
      </c>
      <c r="G37" s="22">
        <f>G36-E37</f>
        <v/>
      </c>
      <c r="H37">
        <f>G36</f>
        <v/>
      </c>
    </row>
    <row r="38">
      <c r="B38" s="19">
        <f>19</f>
        <v/>
      </c>
      <c r="C38" s="20">
        <f>EDATE(C14,19)</f>
        <v/>
      </c>
      <c r="D38" s="21">
        <f>F10</f>
        <v/>
      </c>
      <c r="E38" s="21">
        <f>D38-F38</f>
        <v/>
      </c>
      <c r="F38" s="21">
        <f>H38*C11/C13</f>
        <v/>
      </c>
      <c r="G38" s="22">
        <f>G37-E38</f>
        <v/>
      </c>
      <c r="H38">
        <f>G37</f>
        <v/>
      </c>
    </row>
    <row r="39">
      <c r="B39" s="19">
        <f>20</f>
        <v/>
      </c>
      <c r="C39" s="20">
        <f>EDATE(C14,20)</f>
        <v/>
      </c>
      <c r="D39" s="21">
        <f>F10</f>
        <v/>
      </c>
      <c r="E39" s="21">
        <f>D39-F39</f>
        <v/>
      </c>
      <c r="F39" s="21">
        <f>H39*C11/C13</f>
        <v/>
      </c>
      <c r="G39" s="22">
        <f>G38-E39</f>
        <v/>
      </c>
      <c r="H39">
        <f>G38</f>
        <v/>
      </c>
    </row>
    <row r="40">
      <c r="B40" s="19">
        <f>21</f>
        <v/>
      </c>
      <c r="C40" s="20">
        <f>EDATE(C14,21)</f>
        <v/>
      </c>
      <c r="D40" s="21">
        <f>F10</f>
        <v/>
      </c>
      <c r="E40" s="21">
        <f>D40-F40</f>
        <v/>
      </c>
      <c r="F40" s="21">
        <f>H40*C11/C13</f>
        <v/>
      </c>
      <c r="G40" s="22">
        <f>G39-E40</f>
        <v/>
      </c>
      <c r="H40">
        <f>G39</f>
        <v/>
      </c>
    </row>
    <row r="41">
      <c r="B41" s="19">
        <f>22</f>
        <v/>
      </c>
      <c r="C41" s="20">
        <f>EDATE(C14,22)</f>
        <v/>
      </c>
      <c r="D41" s="21">
        <f>F10</f>
        <v/>
      </c>
      <c r="E41" s="21">
        <f>D41-F41</f>
        <v/>
      </c>
      <c r="F41" s="21">
        <f>H41*C11/C13</f>
        <v/>
      </c>
      <c r="G41" s="22">
        <f>G40-E41</f>
        <v/>
      </c>
      <c r="H41">
        <f>G40</f>
        <v/>
      </c>
    </row>
    <row r="42">
      <c r="B42" s="19">
        <f>23</f>
        <v/>
      </c>
      <c r="C42" s="20">
        <f>EDATE(C14,23)</f>
        <v/>
      </c>
      <c r="D42" s="21">
        <f>F10</f>
        <v/>
      </c>
      <c r="E42" s="21">
        <f>D42-F42</f>
        <v/>
      </c>
      <c r="F42" s="21">
        <f>H42*C11/C13</f>
        <v/>
      </c>
      <c r="G42" s="22">
        <f>G41-E42</f>
        <v/>
      </c>
      <c r="H42">
        <f>G41</f>
        <v/>
      </c>
    </row>
    <row r="43">
      <c r="B43" s="19">
        <f>24</f>
        <v/>
      </c>
      <c r="C43" s="20">
        <f>EDATE(C14,24)</f>
        <v/>
      </c>
      <c r="D43" s="21">
        <f>F10</f>
        <v/>
      </c>
      <c r="E43" s="21">
        <f>D43-F43</f>
        <v/>
      </c>
      <c r="F43" s="21">
        <f>H43*C11/C13</f>
        <v/>
      </c>
      <c r="G43" s="22">
        <f>G42-E43</f>
        <v/>
      </c>
      <c r="H43">
        <f>G42</f>
        <v/>
      </c>
    </row>
    <row r="44">
      <c r="B44" s="19">
        <f>25</f>
        <v/>
      </c>
      <c r="C44" s="20">
        <f>EDATE(C14,25)</f>
        <v/>
      </c>
      <c r="D44" s="21">
        <f>F10</f>
        <v/>
      </c>
      <c r="E44" s="21">
        <f>D44-F44</f>
        <v/>
      </c>
      <c r="F44" s="21">
        <f>H44*C11/C13</f>
        <v/>
      </c>
      <c r="G44" s="22">
        <f>G43-E44</f>
        <v/>
      </c>
      <c r="H44">
        <f>G43</f>
        <v/>
      </c>
    </row>
    <row r="45">
      <c r="B45" s="19">
        <f>26</f>
        <v/>
      </c>
      <c r="C45" s="20">
        <f>EDATE(C14,26)</f>
        <v/>
      </c>
      <c r="D45" s="21">
        <f>F10</f>
        <v/>
      </c>
      <c r="E45" s="21">
        <f>D45-F45</f>
        <v/>
      </c>
      <c r="F45" s="21">
        <f>H45*C11/C13</f>
        <v/>
      </c>
      <c r="G45" s="22">
        <f>G44-E45</f>
        <v/>
      </c>
      <c r="H45">
        <f>G44</f>
        <v/>
      </c>
    </row>
    <row r="46">
      <c r="B46" s="19">
        <f>27</f>
        <v/>
      </c>
      <c r="C46" s="20">
        <f>EDATE(C14,27)</f>
        <v/>
      </c>
      <c r="D46" s="21">
        <f>F10</f>
        <v/>
      </c>
      <c r="E46" s="21">
        <f>D46-F46</f>
        <v/>
      </c>
      <c r="F46" s="21">
        <f>H46*C11/C13</f>
        <v/>
      </c>
      <c r="G46" s="22">
        <f>G45-E46</f>
        <v/>
      </c>
      <c r="H46">
        <f>G45</f>
        <v/>
      </c>
    </row>
    <row r="47">
      <c r="B47" s="19">
        <f>28</f>
        <v/>
      </c>
      <c r="C47" s="20">
        <f>EDATE(C14,28)</f>
        <v/>
      </c>
      <c r="D47" s="21">
        <f>F10</f>
        <v/>
      </c>
      <c r="E47" s="21">
        <f>D47-F47</f>
        <v/>
      </c>
      <c r="F47" s="21">
        <f>H47*C11/C13</f>
        <v/>
      </c>
      <c r="G47" s="22">
        <f>G46-E47</f>
        <v/>
      </c>
      <c r="H47">
        <f>G46</f>
        <v/>
      </c>
    </row>
    <row r="48">
      <c r="B48" s="19">
        <f>29</f>
        <v/>
      </c>
      <c r="C48" s="20">
        <f>EDATE(C14,29)</f>
        <v/>
      </c>
      <c r="D48" s="21">
        <f>F10</f>
        <v/>
      </c>
      <c r="E48" s="21">
        <f>D48-F48</f>
        <v/>
      </c>
      <c r="F48" s="21">
        <f>H48*C11/C13</f>
        <v/>
      </c>
      <c r="G48" s="22">
        <f>G47-E48</f>
        <v/>
      </c>
      <c r="H48">
        <f>G47</f>
        <v/>
      </c>
    </row>
    <row r="49">
      <c r="B49" s="19">
        <f>30</f>
        <v/>
      </c>
      <c r="C49" s="20">
        <f>EDATE(C14,30)</f>
        <v/>
      </c>
      <c r="D49" s="21">
        <f>F10</f>
        <v/>
      </c>
      <c r="E49" s="21">
        <f>D49-F49</f>
        <v/>
      </c>
      <c r="F49" s="21">
        <f>H49*C11/C13</f>
        <v/>
      </c>
      <c r="G49" s="22">
        <f>G48-E49</f>
        <v/>
      </c>
      <c r="H49">
        <f>G48</f>
        <v/>
      </c>
    </row>
    <row r="50">
      <c r="B50" s="19">
        <f>31</f>
        <v/>
      </c>
      <c r="C50" s="20">
        <f>EDATE(C14,31)</f>
        <v/>
      </c>
      <c r="D50" s="21">
        <f>F10</f>
        <v/>
      </c>
      <c r="E50" s="21">
        <f>D50-F50</f>
        <v/>
      </c>
      <c r="F50" s="21">
        <f>H50*C11/C13</f>
        <v/>
      </c>
      <c r="G50" s="22">
        <f>G49-E50</f>
        <v/>
      </c>
      <c r="H50">
        <f>G49</f>
        <v/>
      </c>
    </row>
    <row r="51">
      <c r="B51" s="19">
        <f>32</f>
        <v/>
      </c>
      <c r="C51" s="20">
        <f>EDATE(C14,32)</f>
        <v/>
      </c>
      <c r="D51" s="21">
        <f>F10</f>
        <v/>
      </c>
      <c r="E51" s="21">
        <f>D51-F51</f>
        <v/>
      </c>
      <c r="F51" s="21">
        <f>H51*C11/C13</f>
        <v/>
      </c>
      <c r="G51" s="22">
        <f>G50-E51</f>
        <v/>
      </c>
      <c r="H51">
        <f>G50</f>
        <v/>
      </c>
    </row>
    <row r="52">
      <c r="B52" s="19">
        <f>33</f>
        <v/>
      </c>
      <c r="C52" s="20">
        <f>EDATE(C14,33)</f>
        <v/>
      </c>
      <c r="D52" s="21">
        <f>F10</f>
        <v/>
      </c>
      <c r="E52" s="21">
        <f>D52-F52</f>
        <v/>
      </c>
      <c r="F52" s="21">
        <f>H52*C11/C13</f>
        <v/>
      </c>
      <c r="G52" s="22">
        <f>G51-E52</f>
        <v/>
      </c>
      <c r="H52">
        <f>G51</f>
        <v/>
      </c>
    </row>
    <row r="53">
      <c r="B53" s="19">
        <f>34</f>
        <v/>
      </c>
      <c r="C53" s="20">
        <f>EDATE(C14,34)</f>
        <v/>
      </c>
      <c r="D53" s="21">
        <f>F10</f>
        <v/>
      </c>
      <c r="E53" s="21">
        <f>D53-F53</f>
        <v/>
      </c>
      <c r="F53" s="21">
        <f>H53*C11/C13</f>
        <v/>
      </c>
      <c r="G53" s="22">
        <f>G52-E53</f>
        <v/>
      </c>
      <c r="H53">
        <f>G52</f>
        <v/>
      </c>
    </row>
    <row r="54">
      <c r="B54" s="19">
        <f>35</f>
        <v/>
      </c>
      <c r="C54" s="20">
        <f>EDATE(C14,35)</f>
        <v/>
      </c>
      <c r="D54" s="21">
        <f>F10</f>
        <v/>
      </c>
      <c r="E54" s="21">
        <f>D54-F54</f>
        <v/>
      </c>
      <c r="F54" s="21">
        <f>H54*C11/C13</f>
        <v/>
      </c>
      <c r="G54" s="22">
        <f>G53-E54</f>
        <v/>
      </c>
      <c r="H54">
        <f>G53</f>
        <v/>
      </c>
    </row>
    <row r="55">
      <c r="B55" s="19">
        <f>36</f>
        <v/>
      </c>
      <c r="C55" s="20">
        <f>EDATE(C14,36)</f>
        <v/>
      </c>
      <c r="D55" s="21">
        <f>F10</f>
        <v/>
      </c>
      <c r="E55" s="21">
        <f>D55-F55</f>
        <v/>
      </c>
      <c r="F55" s="21">
        <f>H55*C11/C13</f>
        <v/>
      </c>
      <c r="G55" s="22">
        <f>G54-E55</f>
        <v/>
      </c>
      <c r="H55">
        <f>G54</f>
        <v/>
      </c>
    </row>
    <row r="56">
      <c r="B56" s="19">
        <f>37</f>
        <v/>
      </c>
      <c r="C56" s="20">
        <f>EDATE(C14,37)</f>
        <v/>
      </c>
      <c r="D56" s="21">
        <f>F10</f>
        <v/>
      </c>
      <c r="E56" s="21">
        <f>D56-F56</f>
        <v/>
      </c>
      <c r="F56" s="21">
        <f>H56*C11/C13</f>
        <v/>
      </c>
      <c r="G56" s="22">
        <f>G55-E56</f>
        <v/>
      </c>
      <c r="H56">
        <f>G55</f>
        <v/>
      </c>
    </row>
    <row r="57">
      <c r="B57" s="19">
        <f>38</f>
        <v/>
      </c>
      <c r="C57" s="20">
        <f>EDATE(C14,38)</f>
        <v/>
      </c>
      <c r="D57" s="21">
        <f>F10</f>
        <v/>
      </c>
      <c r="E57" s="21">
        <f>D57-F57</f>
        <v/>
      </c>
      <c r="F57" s="21">
        <f>H57*C11/C13</f>
        <v/>
      </c>
      <c r="G57" s="22">
        <f>G56-E57</f>
        <v/>
      </c>
      <c r="H57">
        <f>G56</f>
        <v/>
      </c>
    </row>
    <row r="58">
      <c r="B58" s="19">
        <f>39</f>
        <v/>
      </c>
      <c r="C58" s="20">
        <f>EDATE(C14,39)</f>
        <v/>
      </c>
      <c r="D58" s="21">
        <f>F10</f>
        <v/>
      </c>
      <c r="E58" s="21">
        <f>D58-F58</f>
        <v/>
      </c>
      <c r="F58" s="21">
        <f>H58*C11/C13</f>
        <v/>
      </c>
      <c r="G58" s="22">
        <f>G57-E58</f>
        <v/>
      </c>
      <c r="H58">
        <f>G57</f>
        <v/>
      </c>
    </row>
    <row r="59">
      <c r="B59" s="19">
        <f>40</f>
        <v/>
      </c>
      <c r="C59" s="20">
        <f>EDATE(C14,40)</f>
        <v/>
      </c>
      <c r="D59" s="21">
        <f>F10</f>
        <v/>
      </c>
      <c r="E59" s="21">
        <f>D59-F59</f>
        <v/>
      </c>
      <c r="F59" s="21">
        <f>H59*C11/C13</f>
        <v/>
      </c>
      <c r="G59" s="22">
        <f>G58-E59</f>
        <v/>
      </c>
      <c r="H59">
        <f>G58</f>
        <v/>
      </c>
    </row>
    <row r="60">
      <c r="B60" s="19">
        <f>41</f>
        <v/>
      </c>
      <c r="C60" s="20">
        <f>EDATE(C14,41)</f>
        <v/>
      </c>
      <c r="D60" s="21">
        <f>F10</f>
        <v/>
      </c>
      <c r="E60" s="21">
        <f>D60-F60</f>
        <v/>
      </c>
      <c r="F60" s="21">
        <f>H60*C11/C13</f>
        <v/>
      </c>
      <c r="G60" s="22">
        <f>G59-E60</f>
        <v/>
      </c>
      <c r="H60">
        <f>G59</f>
        <v/>
      </c>
    </row>
    <row r="61">
      <c r="B61" s="19">
        <f>42</f>
        <v/>
      </c>
      <c r="C61" s="20">
        <f>EDATE(C14,42)</f>
        <v/>
      </c>
      <c r="D61" s="21">
        <f>F10</f>
        <v/>
      </c>
      <c r="E61" s="21">
        <f>D61-F61</f>
        <v/>
      </c>
      <c r="F61" s="21">
        <f>H61*C11/C13</f>
        <v/>
      </c>
      <c r="G61" s="22">
        <f>G60-E61</f>
        <v/>
      </c>
      <c r="H61">
        <f>G60</f>
        <v/>
      </c>
    </row>
    <row r="62">
      <c r="B62" s="19">
        <f>43</f>
        <v/>
      </c>
      <c r="C62" s="20">
        <f>EDATE(C14,43)</f>
        <v/>
      </c>
      <c r="D62" s="21">
        <f>F10</f>
        <v/>
      </c>
      <c r="E62" s="21">
        <f>D62-F62</f>
        <v/>
      </c>
      <c r="F62" s="21">
        <f>H62*C11/C13</f>
        <v/>
      </c>
      <c r="G62" s="22">
        <f>G61-E62</f>
        <v/>
      </c>
      <c r="H62">
        <f>G61</f>
        <v/>
      </c>
    </row>
    <row r="63">
      <c r="B63" s="19">
        <f>44</f>
        <v/>
      </c>
      <c r="C63" s="20">
        <f>EDATE(C14,44)</f>
        <v/>
      </c>
      <c r="D63" s="21">
        <f>F10</f>
        <v/>
      </c>
      <c r="E63" s="21">
        <f>D63-F63</f>
        <v/>
      </c>
      <c r="F63" s="21">
        <f>H63*C11/C13</f>
        <v/>
      </c>
      <c r="G63" s="22">
        <f>G62-E63</f>
        <v/>
      </c>
      <c r="H63">
        <f>G62</f>
        <v/>
      </c>
    </row>
    <row r="64">
      <c r="B64" s="19">
        <f>45</f>
        <v/>
      </c>
      <c r="C64" s="20">
        <f>EDATE(C14,45)</f>
        <v/>
      </c>
      <c r="D64" s="21">
        <f>F10</f>
        <v/>
      </c>
      <c r="E64" s="21">
        <f>D64-F64</f>
        <v/>
      </c>
      <c r="F64" s="21">
        <f>H64*C11/C13</f>
        <v/>
      </c>
      <c r="G64" s="22">
        <f>G63-E64</f>
        <v/>
      </c>
      <c r="H64">
        <f>G63</f>
        <v/>
      </c>
    </row>
    <row r="65">
      <c r="B65" s="19">
        <f>46</f>
        <v/>
      </c>
      <c r="C65" s="20">
        <f>EDATE(C14,46)</f>
        <v/>
      </c>
      <c r="D65" s="21">
        <f>F10</f>
        <v/>
      </c>
      <c r="E65" s="21">
        <f>D65-F65</f>
        <v/>
      </c>
      <c r="F65" s="21">
        <f>H65*C11/C13</f>
        <v/>
      </c>
      <c r="G65" s="22">
        <f>G64-E65</f>
        <v/>
      </c>
      <c r="H65">
        <f>G64</f>
        <v/>
      </c>
    </row>
    <row r="66">
      <c r="B66" s="19">
        <f>47</f>
        <v/>
      </c>
      <c r="C66" s="20">
        <f>EDATE(C14,47)</f>
        <v/>
      </c>
      <c r="D66" s="21">
        <f>F10</f>
        <v/>
      </c>
      <c r="E66" s="21">
        <f>D66-F66</f>
        <v/>
      </c>
      <c r="F66" s="21">
        <f>H66*C11/C13</f>
        <v/>
      </c>
      <c r="G66" s="22">
        <f>G65-E66</f>
        <v/>
      </c>
      <c r="H66">
        <f>G65</f>
        <v/>
      </c>
    </row>
    <row r="67">
      <c r="B67" s="19">
        <f>48</f>
        <v/>
      </c>
      <c r="C67" s="20">
        <f>EDATE(C14,48)</f>
        <v/>
      </c>
      <c r="D67" s="21">
        <f>F10</f>
        <v/>
      </c>
      <c r="E67" s="21">
        <f>D67-F67</f>
        <v/>
      </c>
      <c r="F67" s="21">
        <f>H67*C11/C13</f>
        <v/>
      </c>
      <c r="G67" s="22">
        <f>G66-E67</f>
        <v/>
      </c>
      <c r="H67">
        <f>G66</f>
        <v/>
      </c>
    </row>
    <row r="68">
      <c r="B68" s="19">
        <f>49</f>
        <v/>
      </c>
      <c r="C68" s="20">
        <f>EDATE(C14,49)</f>
        <v/>
      </c>
      <c r="D68" s="21">
        <f>F10</f>
        <v/>
      </c>
      <c r="E68" s="21">
        <f>D68-F68</f>
        <v/>
      </c>
      <c r="F68" s="21">
        <f>H68*C11/C13</f>
        <v/>
      </c>
      <c r="G68" s="22">
        <f>G67-E68</f>
        <v/>
      </c>
      <c r="H68">
        <f>G67</f>
        <v/>
      </c>
    </row>
    <row r="69">
      <c r="B69" s="19">
        <f>50</f>
        <v/>
      </c>
      <c r="C69" s="20">
        <f>EDATE(C14,50)</f>
        <v/>
      </c>
      <c r="D69" s="21">
        <f>F10</f>
        <v/>
      </c>
      <c r="E69" s="21">
        <f>D69-F69</f>
        <v/>
      </c>
      <c r="F69" s="21">
        <f>H69*C11/C13</f>
        <v/>
      </c>
      <c r="G69" s="22">
        <f>G68-E69</f>
        <v/>
      </c>
      <c r="H69">
        <f>G68</f>
        <v/>
      </c>
    </row>
    <row r="70">
      <c r="B70" s="19">
        <f>51</f>
        <v/>
      </c>
      <c r="C70" s="20">
        <f>EDATE(C14,51)</f>
        <v/>
      </c>
      <c r="D70" s="21">
        <f>F10</f>
        <v/>
      </c>
      <c r="E70" s="21">
        <f>D70-F70</f>
        <v/>
      </c>
      <c r="F70" s="21">
        <f>H70*C11/C13</f>
        <v/>
      </c>
      <c r="G70" s="22">
        <f>G69-E70</f>
        <v/>
      </c>
      <c r="H70">
        <f>G69</f>
        <v/>
      </c>
    </row>
    <row r="71">
      <c r="B71" s="19">
        <f>52</f>
        <v/>
      </c>
      <c r="C71" s="20">
        <f>EDATE(C14,52)</f>
        <v/>
      </c>
      <c r="D71" s="21">
        <f>F10</f>
        <v/>
      </c>
      <c r="E71" s="21">
        <f>D71-F71</f>
        <v/>
      </c>
      <c r="F71" s="21">
        <f>H71*C11/C13</f>
        <v/>
      </c>
      <c r="G71" s="22">
        <f>G70-E71</f>
        <v/>
      </c>
      <c r="H71">
        <f>G70</f>
        <v/>
      </c>
    </row>
    <row r="72">
      <c r="B72" s="19">
        <f>53</f>
        <v/>
      </c>
      <c r="C72" s="20">
        <f>EDATE(C14,53)</f>
        <v/>
      </c>
      <c r="D72" s="21">
        <f>F10</f>
        <v/>
      </c>
      <c r="E72" s="21">
        <f>D72-F72</f>
        <v/>
      </c>
      <c r="F72" s="21">
        <f>H72*C11/C13</f>
        <v/>
      </c>
      <c r="G72" s="22">
        <f>G71-E72</f>
        <v/>
      </c>
      <c r="H72">
        <f>G71</f>
        <v/>
      </c>
    </row>
    <row r="73">
      <c r="B73" s="19">
        <f>54</f>
        <v/>
      </c>
      <c r="C73" s="20">
        <f>EDATE(C14,54)</f>
        <v/>
      </c>
      <c r="D73" s="21">
        <f>F10</f>
        <v/>
      </c>
      <c r="E73" s="21">
        <f>D73-F73</f>
        <v/>
      </c>
      <c r="F73" s="21">
        <f>H73*C11/C13</f>
        <v/>
      </c>
      <c r="G73" s="22">
        <f>G72-E73</f>
        <v/>
      </c>
      <c r="H73">
        <f>G72</f>
        <v/>
      </c>
    </row>
    <row r="74">
      <c r="B74" s="19">
        <f>55</f>
        <v/>
      </c>
      <c r="C74" s="20">
        <f>EDATE(C14,55)</f>
        <v/>
      </c>
      <c r="D74" s="21">
        <f>F10</f>
        <v/>
      </c>
      <c r="E74" s="21">
        <f>D74-F74</f>
        <v/>
      </c>
      <c r="F74" s="21">
        <f>H74*C11/C13</f>
        <v/>
      </c>
      <c r="G74" s="22">
        <f>G73-E74</f>
        <v/>
      </c>
      <c r="H74">
        <f>G73</f>
        <v/>
      </c>
    </row>
    <row r="75">
      <c r="B75" s="19">
        <f>56</f>
        <v/>
      </c>
      <c r="C75" s="20">
        <f>EDATE(C14,56)</f>
        <v/>
      </c>
      <c r="D75" s="21">
        <f>F10</f>
        <v/>
      </c>
      <c r="E75" s="21">
        <f>D75-F75</f>
        <v/>
      </c>
      <c r="F75" s="21">
        <f>H75*C11/C13</f>
        <v/>
      </c>
      <c r="G75" s="22">
        <f>G74-E75</f>
        <v/>
      </c>
      <c r="H75">
        <f>G74</f>
        <v/>
      </c>
    </row>
    <row r="76">
      <c r="B76" s="19">
        <f>57</f>
        <v/>
      </c>
      <c r="C76" s="20">
        <f>EDATE(C14,57)</f>
        <v/>
      </c>
      <c r="D76" s="21">
        <f>F10</f>
        <v/>
      </c>
      <c r="E76" s="21">
        <f>D76-F76</f>
        <v/>
      </c>
      <c r="F76" s="21">
        <f>H76*C11/C13</f>
        <v/>
      </c>
      <c r="G76" s="22">
        <f>G75-E76</f>
        <v/>
      </c>
      <c r="H76">
        <f>G75</f>
        <v/>
      </c>
    </row>
    <row r="77">
      <c r="B77" s="19">
        <f>58</f>
        <v/>
      </c>
      <c r="C77" s="20">
        <f>EDATE(C14,58)</f>
        <v/>
      </c>
      <c r="D77" s="21">
        <f>F10</f>
        <v/>
      </c>
      <c r="E77" s="21">
        <f>D77-F77</f>
        <v/>
      </c>
      <c r="F77" s="21">
        <f>H77*C11/C13</f>
        <v/>
      </c>
      <c r="G77" s="22">
        <f>G76-E77</f>
        <v/>
      </c>
      <c r="H77">
        <f>G76</f>
        <v/>
      </c>
    </row>
    <row r="78">
      <c r="B78" s="19">
        <f>59</f>
        <v/>
      </c>
      <c r="C78" s="20">
        <f>EDATE(C14,59)</f>
        <v/>
      </c>
      <c r="D78" s="21">
        <f>F10</f>
        <v/>
      </c>
      <c r="E78" s="21">
        <f>D78-F78</f>
        <v/>
      </c>
      <c r="F78" s="21">
        <f>H78*C11/C13</f>
        <v/>
      </c>
      <c r="G78" s="22">
        <f>G77-E78</f>
        <v/>
      </c>
      <c r="H78">
        <f>G77</f>
        <v/>
      </c>
    </row>
    <row r="79">
      <c r="B79" s="19">
        <f>60</f>
        <v/>
      </c>
      <c r="C79" s="20">
        <f>EDATE(C14,60)</f>
        <v/>
      </c>
      <c r="D79" s="21">
        <f>F10</f>
        <v/>
      </c>
      <c r="E79" s="21">
        <f>D79-F79</f>
        <v/>
      </c>
      <c r="F79" s="21">
        <f>H79*C11/C13</f>
        <v/>
      </c>
      <c r="G79" s="22">
        <f>G78-E79</f>
        <v/>
      </c>
      <c r="H79">
        <f>G78</f>
        <v/>
      </c>
    </row>
    <row r="80">
      <c r="B80" s="19">
        <f>61</f>
        <v/>
      </c>
      <c r="C80" s="20">
        <f>EDATE(C14,61)</f>
        <v/>
      </c>
      <c r="D80" s="21">
        <f>F10</f>
        <v/>
      </c>
      <c r="E80" s="21">
        <f>D80-F80</f>
        <v/>
      </c>
      <c r="F80" s="21">
        <f>H80*C11/C13</f>
        <v/>
      </c>
      <c r="G80" s="22">
        <f>G79-E80</f>
        <v/>
      </c>
      <c r="H80">
        <f>G79</f>
        <v/>
      </c>
    </row>
    <row r="81">
      <c r="B81" s="19">
        <f>62</f>
        <v/>
      </c>
      <c r="C81" s="20">
        <f>EDATE(C14,62)</f>
        <v/>
      </c>
      <c r="D81" s="21">
        <f>F10</f>
        <v/>
      </c>
      <c r="E81" s="21">
        <f>D81-F81</f>
        <v/>
      </c>
      <c r="F81" s="21">
        <f>H81*C11/C13</f>
        <v/>
      </c>
      <c r="G81" s="22">
        <f>G80-E81</f>
        <v/>
      </c>
      <c r="H81">
        <f>G80</f>
        <v/>
      </c>
    </row>
    <row r="82">
      <c r="B82" s="19">
        <f>63</f>
        <v/>
      </c>
      <c r="C82" s="20">
        <f>EDATE(C14,63)</f>
        <v/>
      </c>
      <c r="D82" s="21">
        <f>F10</f>
        <v/>
      </c>
      <c r="E82" s="21">
        <f>D82-F82</f>
        <v/>
      </c>
      <c r="F82" s="21">
        <f>H82*C11/C13</f>
        <v/>
      </c>
      <c r="G82" s="22">
        <f>G81-E82</f>
        <v/>
      </c>
      <c r="H82">
        <f>G81</f>
        <v/>
      </c>
    </row>
    <row r="83">
      <c r="B83" s="19">
        <f>64</f>
        <v/>
      </c>
      <c r="C83" s="20">
        <f>EDATE(C14,64)</f>
        <v/>
      </c>
      <c r="D83" s="21">
        <f>F10</f>
        <v/>
      </c>
      <c r="E83" s="21">
        <f>D83-F83</f>
        <v/>
      </c>
      <c r="F83" s="21">
        <f>H83*C11/C13</f>
        <v/>
      </c>
      <c r="G83" s="22">
        <f>G82-E83</f>
        <v/>
      </c>
      <c r="H83">
        <f>G82</f>
        <v/>
      </c>
    </row>
    <row r="84">
      <c r="B84" s="19">
        <f>65</f>
        <v/>
      </c>
      <c r="C84" s="20">
        <f>EDATE(C14,65)</f>
        <v/>
      </c>
      <c r="D84" s="21">
        <f>F10</f>
        <v/>
      </c>
      <c r="E84" s="21">
        <f>D84-F84</f>
        <v/>
      </c>
      <c r="F84" s="21">
        <f>H84*C11/C13</f>
        <v/>
      </c>
      <c r="G84" s="22">
        <f>G83-E84</f>
        <v/>
      </c>
      <c r="H84">
        <f>G83</f>
        <v/>
      </c>
    </row>
    <row r="85">
      <c r="B85" s="19">
        <f>66</f>
        <v/>
      </c>
      <c r="C85" s="20">
        <f>EDATE(C14,66)</f>
        <v/>
      </c>
      <c r="D85" s="21">
        <f>F10</f>
        <v/>
      </c>
      <c r="E85" s="21">
        <f>D85-F85</f>
        <v/>
      </c>
      <c r="F85" s="21">
        <f>H85*C11/C13</f>
        <v/>
      </c>
      <c r="G85" s="22">
        <f>G84-E85</f>
        <v/>
      </c>
      <c r="H85">
        <f>G84</f>
        <v/>
      </c>
    </row>
    <row r="86">
      <c r="B86" s="19">
        <f>67</f>
        <v/>
      </c>
      <c r="C86" s="20">
        <f>EDATE(C14,67)</f>
        <v/>
      </c>
      <c r="D86" s="21">
        <f>F10</f>
        <v/>
      </c>
      <c r="E86" s="21">
        <f>D86-F86</f>
        <v/>
      </c>
      <c r="F86" s="21">
        <f>H86*C11/C13</f>
        <v/>
      </c>
      <c r="G86" s="22">
        <f>G85-E86</f>
        <v/>
      </c>
      <c r="H86">
        <f>G85</f>
        <v/>
      </c>
    </row>
    <row r="87">
      <c r="B87" s="19">
        <f>68</f>
        <v/>
      </c>
      <c r="C87" s="20">
        <f>EDATE(C14,68)</f>
        <v/>
      </c>
      <c r="D87" s="21">
        <f>F10</f>
        <v/>
      </c>
      <c r="E87" s="21">
        <f>D87-F87</f>
        <v/>
      </c>
      <c r="F87" s="21">
        <f>H87*C11/C13</f>
        <v/>
      </c>
      <c r="G87" s="22">
        <f>G86-E87</f>
        <v/>
      </c>
      <c r="H87">
        <f>G86</f>
        <v/>
      </c>
    </row>
    <row r="88">
      <c r="B88" s="19">
        <f>69</f>
        <v/>
      </c>
      <c r="C88" s="20">
        <f>EDATE(C14,69)</f>
        <v/>
      </c>
      <c r="D88" s="21">
        <f>F10</f>
        <v/>
      </c>
      <c r="E88" s="21">
        <f>D88-F88</f>
        <v/>
      </c>
      <c r="F88" s="21">
        <f>H88*C11/C13</f>
        <v/>
      </c>
      <c r="G88" s="22">
        <f>G87-E88</f>
        <v/>
      </c>
      <c r="H88">
        <f>G87</f>
        <v/>
      </c>
    </row>
    <row r="89">
      <c r="B89" s="19">
        <f>70</f>
        <v/>
      </c>
      <c r="C89" s="20">
        <f>EDATE(C14,70)</f>
        <v/>
      </c>
      <c r="D89" s="21">
        <f>F10</f>
        <v/>
      </c>
      <c r="E89" s="21">
        <f>D89-F89</f>
        <v/>
      </c>
      <c r="F89" s="21">
        <f>H89*C11/C13</f>
        <v/>
      </c>
      <c r="G89" s="22">
        <f>G88-E89</f>
        <v/>
      </c>
      <c r="H89">
        <f>G88</f>
        <v/>
      </c>
    </row>
    <row r="90">
      <c r="B90" s="19">
        <f>71</f>
        <v/>
      </c>
      <c r="C90" s="20">
        <f>EDATE(C14,71)</f>
        <v/>
      </c>
      <c r="D90" s="21">
        <f>F10</f>
        <v/>
      </c>
      <c r="E90" s="21">
        <f>D90-F90</f>
        <v/>
      </c>
      <c r="F90" s="21">
        <f>H90*C11/C13</f>
        <v/>
      </c>
      <c r="G90" s="22">
        <f>G89-E90</f>
        <v/>
      </c>
      <c r="H90">
        <f>G89</f>
        <v/>
      </c>
    </row>
    <row r="91">
      <c r="B91" s="19">
        <f>72</f>
        <v/>
      </c>
      <c r="C91" s="20">
        <f>EDATE(C14,72)</f>
        <v/>
      </c>
      <c r="D91" s="21">
        <f>F10</f>
        <v/>
      </c>
      <c r="E91" s="21">
        <f>D91-F91</f>
        <v/>
      </c>
      <c r="F91" s="21">
        <f>H91*C11/C13</f>
        <v/>
      </c>
      <c r="G91" s="22">
        <f>G90-E91</f>
        <v/>
      </c>
      <c r="H91">
        <f>G90</f>
        <v/>
      </c>
    </row>
    <row r="92">
      <c r="B92" s="19">
        <f>73</f>
        <v/>
      </c>
      <c r="C92" s="20">
        <f>EDATE(C14,73)</f>
        <v/>
      </c>
      <c r="D92" s="21">
        <f>F10</f>
        <v/>
      </c>
      <c r="E92" s="21">
        <f>D92-F92</f>
        <v/>
      </c>
      <c r="F92" s="21">
        <f>H92*C11/C13</f>
        <v/>
      </c>
      <c r="G92" s="22">
        <f>G91-E92</f>
        <v/>
      </c>
      <c r="H92">
        <f>G91</f>
        <v/>
      </c>
    </row>
    <row r="93">
      <c r="B93" s="19">
        <f>74</f>
        <v/>
      </c>
      <c r="C93" s="20">
        <f>EDATE(C14,74)</f>
        <v/>
      </c>
      <c r="D93" s="21">
        <f>F10</f>
        <v/>
      </c>
      <c r="E93" s="21">
        <f>D93-F93</f>
        <v/>
      </c>
      <c r="F93" s="21">
        <f>H93*C11/C13</f>
        <v/>
      </c>
      <c r="G93" s="22">
        <f>G92-E93</f>
        <v/>
      </c>
      <c r="H93">
        <f>G92</f>
        <v/>
      </c>
    </row>
    <row r="94">
      <c r="B94" s="19">
        <f>75</f>
        <v/>
      </c>
      <c r="C94" s="20">
        <f>EDATE(C14,75)</f>
        <v/>
      </c>
      <c r="D94" s="21">
        <f>F10</f>
        <v/>
      </c>
      <c r="E94" s="21">
        <f>D94-F94</f>
        <v/>
      </c>
      <c r="F94" s="21">
        <f>H94*C11/C13</f>
        <v/>
      </c>
      <c r="G94" s="22">
        <f>G93-E94</f>
        <v/>
      </c>
      <c r="H94">
        <f>G93</f>
        <v/>
      </c>
    </row>
    <row r="95">
      <c r="B95" s="19">
        <f>76</f>
        <v/>
      </c>
      <c r="C95" s="20">
        <f>EDATE(C14,76)</f>
        <v/>
      </c>
      <c r="D95" s="21">
        <f>F10</f>
        <v/>
      </c>
      <c r="E95" s="21">
        <f>D95-F95</f>
        <v/>
      </c>
      <c r="F95" s="21">
        <f>H95*C11/C13</f>
        <v/>
      </c>
      <c r="G95" s="22">
        <f>G94-E95</f>
        <v/>
      </c>
      <c r="H95">
        <f>G94</f>
        <v/>
      </c>
    </row>
    <row r="96">
      <c r="B96" s="19">
        <f>77</f>
        <v/>
      </c>
      <c r="C96" s="20">
        <f>EDATE(C14,77)</f>
        <v/>
      </c>
      <c r="D96" s="21">
        <f>F10</f>
        <v/>
      </c>
      <c r="E96" s="21">
        <f>D96-F96</f>
        <v/>
      </c>
      <c r="F96" s="21">
        <f>H96*C11/C13</f>
        <v/>
      </c>
      <c r="G96" s="22">
        <f>G95-E96</f>
        <v/>
      </c>
      <c r="H96">
        <f>G95</f>
        <v/>
      </c>
    </row>
    <row r="97">
      <c r="B97" s="19">
        <f>78</f>
        <v/>
      </c>
      <c r="C97" s="20">
        <f>EDATE(C14,78)</f>
        <v/>
      </c>
      <c r="D97" s="21">
        <f>F10</f>
        <v/>
      </c>
      <c r="E97" s="21">
        <f>D97-F97</f>
        <v/>
      </c>
      <c r="F97" s="21">
        <f>H97*C11/C13</f>
        <v/>
      </c>
      <c r="G97" s="22">
        <f>G96-E97</f>
        <v/>
      </c>
      <c r="H97">
        <f>G96</f>
        <v/>
      </c>
    </row>
    <row r="98">
      <c r="B98" s="19">
        <f>79</f>
        <v/>
      </c>
      <c r="C98" s="20">
        <f>EDATE(C14,79)</f>
        <v/>
      </c>
      <c r="D98" s="21">
        <f>F10</f>
        <v/>
      </c>
      <c r="E98" s="21">
        <f>D98-F98</f>
        <v/>
      </c>
      <c r="F98" s="21">
        <f>H98*C11/C13</f>
        <v/>
      </c>
      <c r="G98" s="22">
        <f>G97-E98</f>
        <v/>
      </c>
      <c r="H98">
        <f>G97</f>
        <v/>
      </c>
    </row>
    <row r="99">
      <c r="B99" s="19">
        <f>80</f>
        <v/>
      </c>
      <c r="C99" s="20">
        <f>EDATE(C14,80)</f>
        <v/>
      </c>
      <c r="D99" s="21">
        <f>F10</f>
        <v/>
      </c>
      <c r="E99" s="21">
        <f>D99-F99</f>
        <v/>
      </c>
      <c r="F99" s="21">
        <f>H99*C11/C13</f>
        <v/>
      </c>
      <c r="G99" s="22">
        <f>G98-E99</f>
        <v/>
      </c>
      <c r="H99">
        <f>G98</f>
        <v/>
      </c>
    </row>
    <row r="100">
      <c r="B100" s="19">
        <f>81</f>
        <v/>
      </c>
      <c r="C100" s="20">
        <f>EDATE(C14,81)</f>
        <v/>
      </c>
      <c r="D100" s="21">
        <f>F10</f>
        <v/>
      </c>
      <c r="E100" s="21">
        <f>D100-F100</f>
        <v/>
      </c>
      <c r="F100" s="21">
        <f>H100*C11/C13</f>
        <v/>
      </c>
      <c r="G100" s="22">
        <f>G99-E100</f>
        <v/>
      </c>
      <c r="H100">
        <f>G99</f>
        <v/>
      </c>
    </row>
    <row r="101">
      <c r="B101" s="19">
        <f>82</f>
        <v/>
      </c>
      <c r="C101" s="20">
        <f>EDATE(C14,82)</f>
        <v/>
      </c>
      <c r="D101" s="21">
        <f>F10</f>
        <v/>
      </c>
      <c r="E101" s="21">
        <f>D101-F101</f>
        <v/>
      </c>
      <c r="F101" s="21">
        <f>H101*C11/C13</f>
        <v/>
      </c>
      <c r="G101" s="22">
        <f>G100-E101</f>
        <v/>
      </c>
      <c r="H101">
        <f>G100</f>
        <v/>
      </c>
    </row>
    <row r="102">
      <c r="B102" s="19">
        <f>83</f>
        <v/>
      </c>
      <c r="C102" s="20">
        <f>EDATE(C14,83)</f>
        <v/>
      </c>
      <c r="D102" s="21">
        <f>F10</f>
        <v/>
      </c>
      <c r="E102" s="21">
        <f>D102-F102</f>
        <v/>
      </c>
      <c r="F102" s="21">
        <f>H102*C11/C13</f>
        <v/>
      </c>
      <c r="G102" s="22">
        <f>G101-E102</f>
        <v/>
      </c>
      <c r="H102">
        <f>G101</f>
        <v/>
      </c>
    </row>
    <row r="103">
      <c r="B103" s="19">
        <f>84</f>
        <v/>
      </c>
      <c r="C103" s="20">
        <f>EDATE(C14,84)</f>
        <v/>
      </c>
      <c r="D103" s="21">
        <f>F10</f>
        <v/>
      </c>
      <c r="E103" s="21">
        <f>D103-F103</f>
        <v/>
      </c>
      <c r="F103" s="21">
        <f>H103*C11/C13</f>
        <v/>
      </c>
      <c r="G103" s="22">
        <f>G102-E103</f>
        <v/>
      </c>
      <c r="H103">
        <f>G102</f>
        <v/>
      </c>
    </row>
    <row r="104">
      <c r="B104" s="19">
        <f>85</f>
        <v/>
      </c>
      <c r="C104" s="20">
        <f>EDATE(C14,85)</f>
        <v/>
      </c>
      <c r="D104" s="21">
        <f>F10</f>
        <v/>
      </c>
      <c r="E104" s="21">
        <f>D104-F104</f>
        <v/>
      </c>
      <c r="F104" s="21">
        <f>H104*C11/C13</f>
        <v/>
      </c>
      <c r="G104" s="22">
        <f>G103-E104</f>
        <v/>
      </c>
      <c r="H104">
        <f>G103</f>
        <v/>
      </c>
    </row>
    <row r="105">
      <c r="B105" s="19">
        <f>86</f>
        <v/>
      </c>
      <c r="C105" s="20">
        <f>EDATE(C14,86)</f>
        <v/>
      </c>
      <c r="D105" s="21">
        <f>F10</f>
        <v/>
      </c>
      <c r="E105" s="21">
        <f>D105-F105</f>
        <v/>
      </c>
      <c r="F105" s="21">
        <f>H105*C11/C13</f>
        <v/>
      </c>
      <c r="G105" s="22">
        <f>G104-E105</f>
        <v/>
      </c>
      <c r="H105">
        <f>G104</f>
        <v/>
      </c>
    </row>
    <row r="106">
      <c r="B106" s="19">
        <f>87</f>
        <v/>
      </c>
      <c r="C106" s="20">
        <f>EDATE(C14,87)</f>
        <v/>
      </c>
      <c r="D106" s="21">
        <f>F10</f>
        <v/>
      </c>
      <c r="E106" s="21">
        <f>D106-F106</f>
        <v/>
      </c>
      <c r="F106" s="21">
        <f>H106*C11/C13</f>
        <v/>
      </c>
      <c r="G106" s="22">
        <f>G105-E106</f>
        <v/>
      </c>
      <c r="H106">
        <f>G105</f>
        <v/>
      </c>
    </row>
    <row r="107">
      <c r="B107" s="19">
        <f>88</f>
        <v/>
      </c>
      <c r="C107" s="20">
        <f>EDATE(C14,88)</f>
        <v/>
      </c>
      <c r="D107" s="21">
        <f>F10</f>
        <v/>
      </c>
      <c r="E107" s="21">
        <f>D107-F107</f>
        <v/>
      </c>
      <c r="F107" s="21">
        <f>H107*C11/C13</f>
        <v/>
      </c>
      <c r="G107" s="22">
        <f>G106-E107</f>
        <v/>
      </c>
      <c r="H107">
        <f>G106</f>
        <v/>
      </c>
    </row>
    <row r="108">
      <c r="B108" s="19">
        <f>89</f>
        <v/>
      </c>
      <c r="C108" s="20">
        <f>EDATE(C14,89)</f>
        <v/>
      </c>
      <c r="D108" s="21">
        <f>F10</f>
        <v/>
      </c>
      <c r="E108" s="21">
        <f>D108-F108</f>
        <v/>
      </c>
      <c r="F108" s="21">
        <f>H108*C11/C13</f>
        <v/>
      </c>
      <c r="G108" s="22">
        <f>G107-E108</f>
        <v/>
      </c>
      <c r="H108">
        <f>G107</f>
        <v/>
      </c>
    </row>
    <row r="109">
      <c r="B109" s="19">
        <f>90</f>
        <v/>
      </c>
      <c r="C109" s="20">
        <f>EDATE(C14,90)</f>
        <v/>
      </c>
      <c r="D109" s="21">
        <f>F10</f>
        <v/>
      </c>
      <c r="E109" s="21">
        <f>D109-F109</f>
        <v/>
      </c>
      <c r="F109" s="21">
        <f>H109*C11/C13</f>
        <v/>
      </c>
      <c r="G109" s="22">
        <f>G108-E109</f>
        <v/>
      </c>
      <c r="H109">
        <f>G108</f>
        <v/>
      </c>
    </row>
    <row r="110">
      <c r="B110" s="19">
        <f>91</f>
        <v/>
      </c>
      <c r="C110" s="20">
        <f>EDATE(C14,91)</f>
        <v/>
      </c>
      <c r="D110" s="21">
        <f>F10</f>
        <v/>
      </c>
      <c r="E110" s="21">
        <f>D110-F110</f>
        <v/>
      </c>
      <c r="F110" s="21">
        <f>H110*C11/C13</f>
        <v/>
      </c>
      <c r="G110" s="22">
        <f>G109-E110</f>
        <v/>
      </c>
      <c r="H110">
        <f>G109</f>
        <v/>
      </c>
    </row>
    <row r="111">
      <c r="B111" s="19">
        <f>92</f>
        <v/>
      </c>
      <c r="C111" s="20">
        <f>EDATE(C14,92)</f>
        <v/>
      </c>
      <c r="D111" s="21">
        <f>F10</f>
        <v/>
      </c>
      <c r="E111" s="21">
        <f>D111-F111</f>
        <v/>
      </c>
      <c r="F111" s="21">
        <f>H111*C11/C13</f>
        <v/>
      </c>
      <c r="G111" s="22">
        <f>G110-E111</f>
        <v/>
      </c>
      <c r="H111">
        <f>G110</f>
        <v/>
      </c>
    </row>
    <row r="112">
      <c r="B112" s="19">
        <f>93</f>
        <v/>
      </c>
      <c r="C112" s="20">
        <f>EDATE(C14,93)</f>
        <v/>
      </c>
      <c r="D112" s="21">
        <f>F10</f>
        <v/>
      </c>
      <c r="E112" s="21">
        <f>D112-F112</f>
        <v/>
      </c>
      <c r="F112" s="21">
        <f>H112*C11/C13</f>
        <v/>
      </c>
      <c r="G112" s="22">
        <f>G111-E112</f>
        <v/>
      </c>
      <c r="H112">
        <f>G111</f>
        <v/>
      </c>
    </row>
    <row r="113">
      <c r="B113" s="19">
        <f>94</f>
        <v/>
      </c>
      <c r="C113" s="20">
        <f>EDATE(C14,94)</f>
        <v/>
      </c>
      <c r="D113" s="21">
        <f>F10</f>
        <v/>
      </c>
      <c r="E113" s="21">
        <f>D113-F113</f>
        <v/>
      </c>
      <c r="F113" s="21">
        <f>H113*C11/C13</f>
        <v/>
      </c>
      <c r="G113" s="22">
        <f>G112-E113</f>
        <v/>
      </c>
      <c r="H113">
        <f>G112</f>
        <v/>
      </c>
    </row>
    <row r="114">
      <c r="B114" s="19">
        <f>95</f>
        <v/>
      </c>
      <c r="C114" s="20">
        <f>EDATE(C14,95)</f>
        <v/>
      </c>
      <c r="D114" s="21">
        <f>F10</f>
        <v/>
      </c>
      <c r="E114" s="21">
        <f>D114-F114</f>
        <v/>
      </c>
      <c r="F114" s="21">
        <f>H114*C11/C13</f>
        <v/>
      </c>
      <c r="G114" s="22">
        <f>G113-E114</f>
        <v/>
      </c>
      <c r="H114">
        <f>G113</f>
        <v/>
      </c>
    </row>
    <row r="115">
      <c r="B115" s="19">
        <f>96</f>
        <v/>
      </c>
      <c r="C115" s="20">
        <f>EDATE(C14,96)</f>
        <v/>
      </c>
      <c r="D115" s="21">
        <f>F10</f>
        <v/>
      </c>
      <c r="E115" s="21">
        <f>D115-F115</f>
        <v/>
      </c>
      <c r="F115" s="21">
        <f>H115*C11/C13</f>
        <v/>
      </c>
      <c r="G115" s="22">
        <f>G114-E115</f>
        <v/>
      </c>
      <c r="H115">
        <f>G114</f>
        <v/>
      </c>
    </row>
    <row r="116">
      <c r="B116" s="19">
        <f>97</f>
        <v/>
      </c>
      <c r="C116" s="20">
        <f>EDATE(C14,97)</f>
        <v/>
      </c>
      <c r="D116" s="21">
        <f>F10</f>
        <v/>
      </c>
      <c r="E116" s="21">
        <f>D116-F116</f>
        <v/>
      </c>
      <c r="F116" s="21">
        <f>H116*C11/C13</f>
        <v/>
      </c>
      <c r="G116" s="22">
        <f>G115-E116</f>
        <v/>
      </c>
      <c r="H116">
        <f>G115</f>
        <v/>
      </c>
    </row>
    <row r="117">
      <c r="B117" s="19">
        <f>98</f>
        <v/>
      </c>
      <c r="C117" s="20">
        <f>EDATE(C14,98)</f>
        <v/>
      </c>
      <c r="D117" s="21">
        <f>F10</f>
        <v/>
      </c>
      <c r="E117" s="21">
        <f>D117-F117</f>
        <v/>
      </c>
      <c r="F117" s="21">
        <f>H117*C11/C13</f>
        <v/>
      </c>
      <c r="G117" s="22">
        <f>G116-E117</f>
        <v/>
      </c>
      <c r="H117">
        <f>G116</f>
        <v/>
      </c>
    </row>
    <row r="118">
      <c r="B118" s="19">
        <f>99</f>
        <v/>
      </c>
      <c r="C118" s="20">
        <f>EDATE(C14,99)</f>
        <v/>
      </c>
      <c r="D118" s="21">
        <f>F10</f>
        <v/>
      </c>
      <c r="E118" s="21">
        <f>D118-F118</f>
        <v/>
      </c>
      <c r="F118" s="21">
        <f>H118*C11/C13</f>
        <v/>
      </c>
      <c r="G118" s="22">
        <f>G117-E118</f>
        <v/>
      </c>
      <c r="H118">
        <f>G117</f>
        <v/>
      </c>
    </row>
    <row r="119">
      <c r="B119" s="19">
        <f>100</f>
        <v/>
      </c>
      <c r="C119" s="20">
        <f>EDATE(C14,100)</f>
        <v/>
      </c>
      <c r="D119" s="21">
        <f>F10</f>
        <v/>
      </c>
      <c r="E119" s="21">
        <f>D119-F119</f>
        <v/>
      </c>
      <c r="F119" s="21">
        <f>H119*C11/C13</f>
        <v/>
      </c>
      <c r="G119" s="22">
        <f>G118-E119</f>
        <v/>
      </c>
      <c r="H119">
        <f>G118</f>
        <v/>
      </c>
    </row>
    <row r="120">
      <c r="B120" s="19">
        <f>101</f>
        <v/>
      </c>
      <c r="C120" s="20">
        <f>EDATE(C14,101)</f>
        <v/>
      </c>
      <c r="D120" s="21">
        <f>F10</f>
        <v/>
      </c>
      <c r="E120" s="21">
        <f>D120-F120</f>
        <v/>
      </c>
      <c r="F120" s="21">
        <f>H120*C11/C13</f>
        <v/>
      </c>
      <c r="G120" s="22">
        <f>G119-E120</f>
        <v/>
      </c>
      <c r="H120">
        <f>G119</f>
        <v/>
      </c>
    </row>
    <row r="121">
      <c r="B121" s="19">
        <f>102</f>
        <v/>
      </c>
      <c r="C121" s="20">
        <f>EDATE(C14,102)</f>
        <v/>
      </c>
      <c r="D121" s="21">
        <f>F10</f>
        <v/>
      </c>
      <c r="E121" s="21">
        <f>D121-F121</f>
        <v/>
      </c>
      <c r="F121" s="21">
        <f>H121*C11/C13</f>
        <v/>
      </c>
      <c r="G121" s="22">
        <f>G120-E121</f>
        <v/>
      </c>
      <c r="H121">
        <f>G120</f>
        <v/>
      </c>
    </row>
    <row r="122">
      <c r="B122" s="19">
        <f>103</f>
        <v/>
      </c>
      <c r="C122" s="20">
        <f>EDATE(C14,103)</f>
        <v/>
      </c>
      <c r="D122" s="21">
        <f>F10</f>
        <v/>
      </c>
      <c r="E122" s="21">
        <f>D122-F122</f>
        <v/>
      </c>
      <c r="F122" s="21">
        <f>H122*C11/C13</f>
        <v/>
      </c>
      <c r="G122" s="22">
        <f>G121-E122</f>
        <v/>
      </c>
      <c r="H122">
        <f>G121</f>
        <v/>
      </c>
    </row>
    <row r="123">
      <c r="B123" s="19">
        <f>104</f>
        <v/>
      </c>
      <c r="C123" s="20">
        <f>EDATE(C14,104)</f>
        <v/>
      </c>
      <c r="D123" s="21">
        <f>F10</f>
        <v/>
      </c>
      <c r="E123" s="21">
        <f>D123-F123</f>
        <v/>
      </c>
      <c r="F123" s="21">
        <f>H123*C11/C13</f>
        <v/>
      </c>
      <c r="G123" s="22">
        <f>G122-E123</f>
        <v/>
      </c>
      <c r="H123">
        <f>G122</f>
        <v/>
      </c>
    </row>
    <row r="124">
      <c r="B124" s="19">
        <f>105</f>
        <v/>
      </c>
      <c r="C124" s="20">
        <f>EDATE(C14,105)</f>
        <v/>
      </c>
      <c r="D124" s="21">
        <f>F10</f>
        <v/>
      </c>
      <c r="E124" s="21">
        <f>D124-F124</f>
        <v/>
      </c>
      <c r="F124" s="21">
        <f>H124*C11/C13</f>
        <v/>
      </c>
      <c r="G124" s="22">
        <f>G123-E124</f>
        <v/>
      </c>
      <c r="H124">
        <f>G123</f>
        <v/>
      </c>
    </row>
    <row r="125">
      <c r="B125" s="19">
        <f>106</f>
        <v/>
      </c>
      <c r="C125" s="20">
        <f>EDATE(C14,106)</f>
        <v/>
      </c>
      <c r="D125" s="21">
        <f>F10</f>
        <v/>
      </c>
      <c r="E125" s="21">
        <f>D125-F125</f>
        <v/>
      </c>
      <c r="F125" s="21">
        <f>H125*C11/C13</f>
        <v/>
      </c>
      <c r="G125" s="22">
        <f>G124-E125</f>
        <v/>
      </c>
      <c r="H125">
        <f>G124</f>
        <v/>
      </c>
    </row>
    <row r="126">
      <c r="B126" s="19">
        <f>107</f>
        <v/>
      </c>
      <c r="C126" s="20">
        <f>EDATE(C14,107)</f>
        <v/>
      </c>
      <c r="D126" s="21">
        <f>F10</f>
        <v/>
      </c>
      <c r="E126" s="21">
        <f>D126-F126</f>
        <v/>
      </c>
      <c r="F126" s="21">
        <f>H126*C11/C13</f>
        <v/>
      </c>
      <c r="G126" s="22">
        <f>G125-E126</f>
        <v/>
      </c>
      <c r="H126">
        <f>G125</f>
        <v/>
      </c>
    </row>
    <row r="127">
      <c r="B127" s="19">
        <f>108</f>
        <v/>
      </c>
      <c r="C127" s="20">
        <f>EDATE(C14,108)</f>
        <v/>
      </c>
      <c r="D127" s="21">
        <f>F10</f>
        <v/>
      </c>
      <c r="E127" s="21">
        <f>D127-F127</f>
        <v/>
      </c>
      <c r="F127" s="21">
        <f>H127*C11/C13</f>
        <v/>
      </c>
      <c r="G127" s="22">
        <f>G126-E127</f>
        <v/>
      </c>
      <c r="H127">
        <f>G126</f>
        <v/>
      </c>
    </row>
    <row r="128">
      <c r="B128" s="19">
        <f>109</f>
        <v/>
      </c>
      <c r="C128" s="20">
        <f>EDATE(C14,109)</f>
        <v/>
      </c>
      <c r="D128" s="21">
        <f>F10</f>
        <v/>
      </c>
      <c r="E128" s="21">
        <f>D128-F128</f>
        <v/>
      </c>
      <c r="F128" s="21">
        <f>H128*C11/C13</f>
        <v/>
      </c>
      <c r="G128" s="22">
        <f>G127-E128</f>
        <v/>
      </c>
      <c r="H128">
        <f>G127</f>
        <v/>
      </c>
    </row>
    <row r="129">
      <c r="B129" s="19">
        <f>110</f>
        <v/>
      </c>
      <c r="C129" s="20">
        <f>EDATE(C14,110)</f>
        <v/>
      </c>
      <c r="D129" s="21">
        <f>F10</f>
        <v/>
      </c>
      <c r="E129" s="21">
        <f>D129-F129</f>
        <v/>
      </c>
      <c r="F129" s="21">
        <f>H129*C11/C13</f>
        <v/>
      </c>
      <c r="G129" s="22">
        <f>G128-E129</f>
        <v/>
      </c>
      <c r="H129">
        <f>G128</f>
        <v/>
      </c>
    </row>
    <row r="130">
      <c r="B130" s="19">
        <f>111</f>
        <v/>
      </c>
      <c r="C130" s="20">
        <f>EDATE(C14,111)</f>
        <v/>
      </c>
      <c r="D130" s="21">
        <f>F10</f>
        <v/>
      </c>
      <c r="E130" s="21">
        <f>D130-F130</f>
        <v/>
      </c>
      <c r="F130" s="21">
        <f>H130*C11/C13</f>
        <v/>
      </c>
      <c r="G130" s="22">
        <f>G129-E130</f>
        <v/>
      </c>
      <c r="H130">
        <f>G129</f>
        <v/>
      </c>
    </row>
    <row r="131">
      <c r="B131" s="19">
        <f>112</f>
        <v/>
      </c>
      <c r="C131" s="20">
        <f>EDATE(C14,112)</f>
        <v/>
      </c>
      <c r="D131" s="21">
        <f>F10</f>
        <v/>
      </c>
      <c r="E131" s="21">
        <f>D131-F131</f>
        <v/>
      </c>
      <c r="F131" s="21">
        <f>H131*C11/C13</f>
        <v/>
      </c>
      <c r="G131" s="22">
        <f>G130-E131</f>
        <v/>
      </c>
      <c r="H131">
        <f>G130</f>
        <v/>
      </c>
    </row>
    <row r="132">
      <c r="B132" s="19">
        <f>113</f>
        <v/>
      </c>
      <c r="C132" s="20">
        <f>EDATE(C14,113)</f>
        <v/>
      </c>
      <c r="D132" s="21">
        <f>F10</f>
        <v/>
      </c>
      <c r="E132" s="21">
        <f>D132-F132</f>
        <v/>
      </c>
      <c r="F132" s="21">
        <f>H132*C11/C13</f>
        <v/>
      </c>
      <c r="G132" s="22">
        <f>G131-E132</f>
        <v/>
      </c>
      <c r="H132">
        <f>G131</f>
        <v/>
      </c>
    </row>
    <row r="133">
      <c r="B133" s="19">
        <f>114</f>
        <v/>
      </c>
      <c r="C133" s="20">
        <f>EDATE(C14,114)</f>
        <v/>
      </c>
      <c r="D133" s="21">
        <f>F10</f>
        <v/>
      </c>
      <c r="E133" s="21">
        <f>D133-F133</f>
        <v/>
      </c>
      <c r="F133" s="21">
        <f>H133*C11/C13</f>
        <v/>
      </c>
      <c r="G133" s="22">
        <f>G132-E133</f>
        <v/>
      </c>
      <c r="H133">
        <f>G132</f>
        <v/>
      </c>
    </row>
    <row r="134">
      <c r="B134" s="19">
        <f>115</f>
        <v/>
      </c>
      <c r="C134" s="20">
        <f>EDATE(C14,115)</f>
        <v/>
      </c>
      <c r="D134" s="21">
        <f>F10</f>
        <v/>
      </c>
      <c r="E134" s="21">
        <f>D134-F134</f>
        <v/>
      </c>
      <c r="F134" s="21">
        <f>H134*C11/C13</f>
        <v/>
      </c>
      <c r="G134" s="22">
        <f>G133-E134</f>
        <v/>
      </c>
      <c r="H134">
        <f>G133</f>
        <v/>
      </c>
    </row>
    <row r="135">
      <c r="B135" s="19">
        <f>116</f>
        <v/>
      </c>
      <c r="C135" s="20">
        <f>EDATE(C14,116)</f>
        <v/>
      </c>
      <c r="D135" s="21">
        <f>F10</f>
        <v/>
      </c>
      <c r="E135" s="21">
        <f>D135-F135</f>
        <v/>
      </c>
      <c r="F135" s="21">
        <f>H135*C11/C13</f>
        <v/>
      </c>
      <c r="G135" s="22">
        <f>G134-E135</f>
        <v/>
      </c>
      <c r="H135">
        <f>G134</f>
        <v/>
      </c>
    </row>
    <row r="136">
      <c r="B136" s="19">
        <f>117</f>
        <v/>
      </c>
      <c r="C136" s="20">
        <f>EDATE(C14,117)</f>
        <v/>
      </c>
      <c r="D136" s="21">
        <f>F10</f>
        <v/>
      </c>
      <c r="E136" s="21">
        <f>D136-F136</f>
        <v/>
      </c>
      <c r="F136" s="21">
        <f>H136*C11/C13</f>
        <v/>
      </c>
      <c r="G136" s="22">
        <f>G135-E136</f>
        <v/>
      </c>
      <c r="H136">
        <f>G135</f>
        <v/>
      </c>
    </row>
    <row r="137">
      <c r="B137" s="19">
        <f>118</f>
        <v/>
      </c>
      <c r="C137" s="20">
        <f>EDATE(C14,118)</f>
        <v/>
      </c>
      <c r="D137" s="21">
        <f>F10</f>
        <v/>
      </c>
      <c r="E137" s="21">
        <f>D137-F137</f>
        <v/>
      </c>
      <c r="F137" s="21">
        <f>H137*C11/C13</f>
        <v/>
      </c>
      <c r="G137" s="22">
        <f>G136-E137</f>
        <v/>
      </c>
      <c r="H137">
        <f>G136</f>
        <v/>
      </c>
    </row>
    <row r="138">
      <c r="B138" s="19">
        <f>119</f>
        <v/>
      </c>
      <c r="C138" s="20">
        <f>EDATE(C14,119)</f>
        <v/>
      </c>
      <c r="D138" s="21">
        <f>F10</f>
        <v/>
      </c>
      <c r="E138" s="21">
        <f>D138-F138</f>
        <v/>
      </c>
      <c r="F138" s="21">
        <f>H138*C11/C13</f>
        <v/>
      </c>
      <c r="G138" s="22">
        <f>G137-E138</f>
        <v/>
      </c>
      <c r="H138">
        <f>G137</f>
        <v/>
      </c>
    </row>
    <row r="139">
      <c r="B139" s="19">
        <f>120</f>
        <v/>
      </c>
      <c r="C139" s="20">
        <f>EDATE(C14,120)</f>
        <v/>
      </c>
      <c r="D139" s="21">
        <f>F10</f>
        <v/>
      </c>
      <c r="E139" s="21">
        <f>D139-F139</f>
        <v/>
      </c>
      <c r="F139" s="21">
        <f>H139*C11/C13</f>
        <v/>
      </c>
      <c r="G139" s="22">
        <f>G138-E139</f>
        <v/>
      </c>
      <c r="H139">
        <f>G138</f>
        <v/>
      </c>
    </row>
    <row r="140">
      <c r="B140" s="19">
        <f>121</f>
        <v/>
      </c>
      <c r="C140" s="20">
        <f>EDATE(C14,121)</f>
        <v/>
      </c>
      <c r="D140" s="21">
        <f>F10</f>
        <v/>
      </c>
      <c r="E140" s="21">
        <f>D140-F140</f>
        <v/>
      </c>
      <c r="F140" s="21">
        <f>H140*C11/C13</f>
        <v/>
      </c>
      <c r="G140" s="22">
        <f>G139-E140</f>
        <v/>
      </c>
      <c r="H140">
        <f>G139</f>
        <v/>
      </c>
    </row>
    <row r="141">
      <c r="B141" s="19">
        <f>122</f>
        <v/>
      </c>
      <c r="C141" s="20">
        <f>EDATE(C14,122)</f>
        <v/>
      </c>
      <c r="D141" s="21">
        <f>F10</f>
        <v/>
      </c>
      <c r="E141" s="21">
        <f>D141-F141</f>
        <v/>
      </c>
      <c r="F141" s="21">
        <f>H141*C11/C13</f>
        <v/>
      </c>
      <c r="G141" s="22">
        <f>G140-E141</f>
        <v/>
      </c>
      <c r="H141">
        <f>G140</f>
        <v/>
      </c>
    </row>
    <row r="142">
      <c r="B142" s="19">
        <f>123</f>
        <v/>
      </c>
      <c r="C142" s="20">
        <f>EDATE(C14,123)</f>
        <v/>
      </c>
      <c r="D142" s="21">
        <f>F10</f>
        <v/>
      </c>
      <c r="E142" s="21">
        <f>D142-F142</f>
        <v/>
      </c>
      <c r="F142" s="21">
        <f>H142*C11/C13</f>
        <v/>
      </c>
      <c r="G142" s="22">
        <f>G141-E142</f>
        <v/>
      </c>
      <c r="H142">
        <f>G141</f>
        <v/>
      </c>
    </row>
    <row r="143">
      <c r="B143" s="19">
        <f>124</f>
        <v/>
      </c>
      <c r="C143" s="20">
        <f>EDATE(C14,124)</f>
        <v/>
      </c>
      <c r="D143" s="21">
        <f>F10</f>
        <v/>
      </c>
      <c r="E143" s="21">
        <f>D143-F143</f>
        <v/>
      </c>
      <c r="F143" s="21">
        <f>H143*C11/C13</f>
        <v/>
      </c>
      <c r="G143" s="22">
        <f>G142-E143</f>
        <v/>
      </c>
      <c r="H143">
        <f>G142</f>
        <v/>
      </c>
    </row>
    <row r="144">
      <c r="B144" s="19">
        <f>125</f>
        <v/>
      </c>
      <c r="C144" s="20">
        <f>EDATE(C14,125)</f>
        <v/>
      </c>
      <c r="D144" s="21">
        <f>F10</f>
        <v/>
      </c>
      <c r="E144" s="21">
        <f>D144-F144</f>
        <v/>
      </c>
      <c r="F144" s="21">
        <f>H144*C11/C13</f>
        <v/>
      </c>
      <c r="G144" s="22">
        <f>G143-E144</f>
        <v/>
      </c>
      <c r="H144">
        <f>G143</f>
        <v/>
      </c>
    </row>
    <row r="145">
      <c r="B145" s="19">
        <f>126</f>
        <v/>
      </c>
      <c r="C145" s="20">
        <f>EDATE(C14,126)</f>
        <v/>
      </c>
      <c r="D145" s="21">
        <f>F10</f>
        <v/>
      </c>
      <c r="E145" s="21">
        <f>D145-F145</f>
        <v/>
      </c>
      <c r="F145" s="21">
        <f>H145*C11/C13</f>
        <v/>
      </c>
      <c r="G145" s="22">
        <f>G144-E145</f>
        <v/>
      </c>
      <c r="H145">
        <f>G144</f>
        <v/>
      </c>
    </row>
    <row r="146">
      <c r="B146" s="19">
        <f>127</f>
        <v/>
      </c>
      <c r="C146" s="20">
        <f>EDATE(C14,127)</f>
        <v/>
      </c>
      <c r="D146" s="21">
        <f>F10</f>
        <v/>
      </c>
      <c r="E146" s="21">
        <f>D146-F146</f>
        <v/>
      </c>
      <c r="F146" s="21">
        <f>H146*C11/C13</f>
        <v/>
      </c>
      <c r="G146" s="22">
        <f>G145-E146</f>
        <v/>
      </c>
      <c r="H146">
        <f>G145</f>
        <v/>
      </c>
    </row>
    <row r="147">
      <c r="B147" s="19">
        <f>128</f>
        <v/>
      </c>
      <c r="C147" s="20">
        <f>EDATE(C14,128)</f>
        <v/>
      </c>
      <c r="D147" s="21">
        <f>F10</f>
        <v/>
      </c>
      <c r="E147" s="21">
        <f>D147-F147</f>
        <v/>
      </c>
      <c r="F147" s="21">
        <f>H147*C11/C13</f>
        <v/>
      </c>
      <c r="G147" s="22">
        <f>G146-E147</f>
        <v/>
      </c>
      <c r="H147">
        <f>G146</f>
        <v/>
      </c>
    </row>
    <row r="148">
      <c r="B148" s="19">
        <f>129</f>
        <v/>
      </c>
      <c r="C148" s="20">
        <f>EDATE(C14,129)</f>
        <v/>
      </c>
      <c r="D148" s="21">
        <f>F10</f>
        <v/>
      </c>
      <c r="E148" s="21">
        <f>D148-F148</f>
        <v/>
      </c>
      <c r="F148" s="21">
        <f>H148*C11/C13</f>
        <v/>
      </c>
      <c r="G148" s="22">
        <f>G147-E148</f>
        <v/>
      </c>
      <c r="H148">
        <f>G147</f>
        <v/>
      </c>
    </row>
    <row r="149">
      <c r="B149" s="19">
        <f>130</f>
        <v/>
      </c>
      <c r="C149" s="20">
        <f>EDATE(C14,130)</f>
        <v/>
      </c>
      <c r="D149" s="21">
        <f>F10</f>
        <v/>
      </c>
      <c r="E149" s="21">
        <f>D149-F149</f>
        <v/>
      </c>
      <c r="F149" s="21">
        <f>H149*C11/C13</f>
        <v/>
      </c>
      <c r="G149" s="22">
        <f>G148-E149</f>
        <v/>
      </c>
      <c r="H149">
        <f>G148</f>
        <v/>
      </c>
    </row>
    <row r="150">
      <c r="B150" s="19">
        <f>131</f>
        <v/>
      </c>
      <c r="C150" s="20">
        <f>EDATE(C14,131)</f>
        <v/>
      </c>
      <c r="D150" s="21">
        <f>F10</f>
        <v/>
      </c>
      <c r="E150" s="21">
        <f>D150-F150</f>
        <v/>
      </c>
      <c r="F150" s="21">
        <f>H150*C11/C13</f>
        <v/>
      </c>
      <c r="G150" s="22">
        <f>G149-E150</f>
        <v/>
      </c>
      <c r="H150">
        <f>G149</f>
        <v/>
      </c>
    </row>
    <row r="151">
      <c r="B151" s="19">
        <f>132</f>
        <v/>
      </c>
      <c r="C151" s="20">
        <f>EDATE(C14,132)</f>
        <v/>
      </c>
      <c r="D151" s="21">
        <f>F10</f>
        <v/>
      </c>
      <c r="E151" s="21">
        <f>D151-F151</f>
        <v/>
      </c>
      <c r="F151" s="21">
        <f>H151*C11/C13</f>
        <v/>
      </c>
      <c r="G151" s="22">
        <f>G150-E151</f>
        <v/>
      </c>
      <c r="H151">
        <f>G150</f>
        <v/>
      </c>
    </row>
    <row r="152">
      <c r="B152" s="19">
        <f>133</f>
        <v/>
      </c>
      <c r="C152" s="20">
        <f>EDATE(C14,133)</f>
        <v/>
      </c>
      <c r="D152" s="21">
        <f>F10</f>
        <v/>
      </c>
      <c r="E152" s="21">
        <f>D152-F152</f>
        <v/>
      </c>
      <c r="F152" s="21">
        <f>H152*C11/C13</f>
        <v/>
      </c>
      <c r="G152" s="22">
        <f>G151-E152</f>
        <v/>
      </c>
      <c r="H152">
        <f>G151</f>
        <v/>
      </c>
    </row>
    <row r="153">
      <c r="B153" s="19">
        <f>134</f>
        <v/>
      </c>
      <c r="C153" s="20">
        <f>EDATE(C14,134)</f>
        <v/>
      </c>
      <c r="D153" s="21">
        <f>F10</f>
        <v/>
      </c>
      <c r="E153" s="21">
        <f>D153-F153</f>
        <v/>
      </c>
      <c r="F153" s="21">
        <f>H153*C11/C13</f>
        <v/>
      </c>
      <c r="G153" s="22">
        <f>G152-E153</f>
        <v/>
      </c>
      <c r="H153">
        <f>G152</f>
        <v/>
      </c>
    </row>
    <row r="154">
      <c r="B154" s="19">
        <f>135</f>
        <v/>
      </c>
      <c r="C154" s="20">
        <f>EDATE(C14,135)</f>
        <v/>
      </c>
      <c r="D154" s="21">
        <f>F10</f>
        <v/>
      </c>
      <c r="E154" s="21">
        <f>D154-F154</f>
        <v/>
      </c>
      <c r="F154" s="21">
        <f>H154*C11/C13</f>
        <v/>
      </c>
      <c r="G154" s="22">
        <f>G153-E154</f>
        <v/>
      </c>
      <c r="H154">
        <f>G153</f>
        <v/>
      </c>
    </row>
    <row r="155">
      <c r="B155" s="19">
        <f>136</f>
        <v/>
      </c>
      <c r="C155" s="20">
        <f>EDATE(C14,136)</f>
        <v/>
      </c>
      <c r="D155" s="21">
        <f>F10</f>
        <v/>
      </c>
      <c r="E155" s="21">
        <f>D155-F155</f>
        <v/>
      </c>
      <c r="F155" s="21">
        <f>H155*C11/C13</f>
        <v/>
      </c>
      <c r="G155" s="22">
        <f>G154-E155</f>
        <v/>
      </c>
      <c r="H155">
        <f>G154</f>
        <v/>
      </c>
    </row>
    <row r="156">
      <c r="B156" s="19">
        <f>137</f>
        <v/>
      </c>
      <c r="C156" s="20">
        <f>EDATE(C14,137)</f>
        <v/>
      </c>
      <c r="D156" s="21">
        <f>F10</f>
        <v/>
      </c>
      <c r="E156" s="21">
        <f>D156-F156</f>
        <v/>
      </c>
      <c r="F156" s="21">
        <f>H156*C11/C13</f>
        <v/>
      </c>
      <c r="G156" s="22">
        <f>G155-E156</f>
        <v/>
      </c>
      <c r="H156">
        <f>G155</f>
        <v/>
      </c>
    </row>
    <row r="157">
      <c r="B157" s="19">
        <f>138</f>
        <v/>
      </c>
      <c r="C157" s="20">
        <f>EDATE(C14,138)</f>
        <v/>
      </c>
      <c r="D157" s="21">
        <f>F10</f>
        <v/>
      </c>
      <c r="E157" s="21">
        <f>D157-F157</f>
        <v/>
      </c>
      <c r="F157" s="21">
        <f>H157*C11/C13</f>
        <v/>
      </c>
      <c r="G157" s="22">
        <f>G156-E157</f>
        <v/>
      </c>
      <c r="H157">
        <f>G156</f>
        <v/>
      </c>
    </row>
    <row r="158">
      <c r="B158" s="19">
        <f>139</f>
        <v/>
      </c>
      <c r="C158" s="20">
        <f>EDATE(C14,139)</f>
        <v/>
      </c>
      <c r="D158" s="21">
        <f>F10</f>
        <v/>
      </c>
      <c r="E158" s="21">
        <f>D158-F158</f>
        <v/>
      </c>
      <c r="F158" s="21">
        <f>H158*C11/C13</f>
        <v/>
      </c>
      <c r="G158" s="22">
        <f>G157-E158</f>
        <v/>
      </c>
      <c r="H158">
        <f>G157</f>
        <v/>
      </c>
    </row>
    <row r="159">
      <c r="B159" s="19">
        <f>140</f>
        <v/>
      </c>
      <c r="C159" s="20">
        <f>EDATE(C14,140)</f>
        <v/>
      </c>
      <c r="D159" s="21">
        <f>F10</f>
        <v/>
      </c>
      <c r="E159" s="21">
        <f>D159-F159</f>
        <v/>
      </c>
      <c r="F159" s="21">
        <f>H159*C11/C13</f>
        <v/>
      </c>
      <c r="G159" s="22">
        <f>G158-E159</f>
        <v/>
      </c>
      <c r="H159">
        <f>G158</f>
        <v/>
      </c>
    </row>
    <row r="160">
      <c r="B160" s="19">
        <f>141</f>
        <v/>
      </c>
      <c r="C160" s="20">
        <f>EDATE(C14,141)</f>
        <v/>
      </c>
      <c r="D160" s="21">
        <f>F10</f>
        <v/>
      </c>
      <c r="E160" s="21">
        <f>D160-F160</f>
        <v/>
      </c>
      <c r="F160" s="21">
        <f>H160*C11/C13</f>
        <v/>
      </c>
      <c r="G160" s="22">
        <f>G159-E160</f>
        <v/>
      </c>
      <c r="H160">
        <f>G159</f>
        <v/>
      </c>
    </row>
    <row r="161">
      <c r="B161" s="19">
        <f>142</f>
        <v/>
      </c>
      <c r="C161" s="20">
        <f>EDATE(C14,142)</f>
        <v/>
      </c>
      <c r="D161" s="21">
        <f>F10</f>
        <v/>
      </c>
      <c r="E161" s="21">
        <f>D161-F161</f>
        <v/>
      </c>
      <c r="F161" s="21">
        <f>H161*C11/C13</f>
        <v/>
      </c>
      <c r="G161" s="22">
        <f>G160-E161</f>
        <v/>
      </c>
      <c r="H161">
        <f>G160</f>
        <v/>
      </c>
    </row>
    <row r="162">
      <c r="B162" s="19">
        <f>143</f>
        <v/>
      </c>
      <c r="C162" s="20">
        <f>EDATE(C14,143)</f>
        <v/>
      </c>
      <c r="D162" s="21">
        <f>F10</f>
        <v/>
      </c>
      <c r="E162" s="21">
        <f>D162-F162</f>
        <v/>
      </c>
      <c r="F162" s="21">
        <f>H162*C11/C13</f>
        <v/>
      </c>
      <c r="G162" s="22">
        <f>G161-E162</f>
        <v/>
      </c>
      <c r="H162">
        <f>G161</f>
        <v/>
      </c>
    </row>
    <row r="163">
      <c r="B163" s="19">
        <f>144</f>
        <v/>
      </c>
      <c r="C163" s="20">
        <f>EDATE(C14,144)</f>
        <v/>
      </c>
      <c r="D163" s="21">
        <f>F10</f>
        <v/>
      </c>
      <c r="E163" s="21">
        <f>D163-F163</f>
        <v/>
      </c>
      <c r="F163" s="21">
        <f>H163*C11/C13</f>
        <v/>
      </c>
      <c r="G163" s="22">
        <f>G162-E163</f>
        <v/>
      </c>
      <c r="H163">
        <f>G162</f>
        <v/>
      </c>
    </row>
    <row r="164">
      <c r="B164" s="19">
        <f>145</f>
        <v/>
      </c>
      <c r="C164" s="20">
        <f>EDATE(C14,145)</f>
        <v/>
      </c>
      <c r="D164" s="21">
        <f>F10</f>
        <v/>
      </c>
      <c r="E164" s="21">
        <f>D164-F164</f>
        <v/>
      </c>
      <c r="F164" s="21">
        <f>H164*C11/C13</f>
        <v/>
      </c>
      <c r="G164" s="22">
        <f>G163-E164</f>
        <v/>
      </c>
      <c r="H164">
        <f>G163</f>
        <v/>
      </c>
    </row>
    <row r="165">
      <c r="B165" s="19">
        <f>146</f>
        <v/>
      </c>
      <c r="C165" s="20">
        <f>EDATE(C14,146)</f>
        <v/>
      </c>
      <c r="D165" s="21">
        <f>F10</f>
        <v/>
      </c>
      <c r="E165" s="21">
        <f>D165-F165</f>
        <v/>
      </c>
      <c r="F165" s="21">
        <f>H165*C11/C13</f>
        <v/>
      </c>
      <c r="G165" s="22">
        <f>G164-E165</f>
        <v/>
      </c>
      <c r="H165">
        <f>G164</f>
        <v/>
      </c>
    </row>
    <row r="166">
      <c r="B166" s="19">
        <f>147</f>
        <v/>
      </c>
      <c r="C166" s="20">
        <f>EDATE(C14,147)</f>
        <v/>
      </c>
      <c r="D166" s="21">
        <f>F10</f>
        <v/>
      </c>
      <c r="E166" s="21">
        <f>D166-F166</f>
        <v/>
      </c>
      <c r="F166" s="21">
        <f>H166*C11/C13</f>
        <v/>
      </c>
      <c r="G166" s="22">
        <f>G165-E166</f>
        <v/>
      </c>
      <c r="H166">
        <f>G165</f>
        <v/>
      </c>
    </row>
    <row r="167">
      <c r="B167" s="19">
        <f>148</f>
        <v/>
      </c>
      <c r="C167" s="20">
        <f>EDATE(C14,148)</f>
        <v/>
      </c>
      <c r="D167" s="21">
        <f>F10</f>
        <v/>
      </c>
      <c r="E167" s="21">
        <f>D167-F167</f>
        <v/>
      </c>
      <c r="F167" s="21">
        <f>H167*C11/C13</f>
        <v/>
      </c>
      <c r="G167" s="22">
        <f>G166-E167</f>
        <v/>
      </c>
      <c r="H167">
        <f>G166</f>
        <v/>
      </c>
    </row>
    <row r="168">
      <c r="B168" s="19">
        <f>149</f>
        <v/>
      </c>
      <c r="C168" s="20">
        <f>EDATE(C14,149)</f>
        <v/>
      </c>
      <c r="D168" s="21">
        <f>F10</f>
        <v/>
      </c>
      <c r="E168" s="21">
        <f>D168-F168</f>
        <v/>
      </c>
      <c r="F168" s="21">
        <f>H168*C11/C13</f>
        <v/>
      </c>
      <c r="G168" s="22">
        <f>G167-E168</f>
        <v/>
      </c>
      <c r="H168">
        <f>G167</f>
        <v/>
      </c>
    </row>
    <row r="169">
      <c r="B169" s="19">
        <f>150</f>
        <v/>
      </c>
      <c r="C169" s="20">
        <f>EDATE(C14,150)</f>
        <v/>
      </c>
      <c r="D169" s="21">
        <f>F10</f>
        <v/>
      </c>
      <c r="E169" s="21">
        <f>D169-F169</f>
        <v/>
      </c>
      <c r="F169" s="21">
        <f>H169*C11/C13</f>
        <v/>
      </c>
      <c r="G169" s="22">
        <f>G168-E169</f>
        <v/>
      </c>
      <c r="H169">
        <f>G168</f>
        <v/>
      </c>
    </row>
    <row r="170">
      <c r="B170" s="19">
        <f>151</f>
        <v/>
      </c>
      <c r="C170" s="20">
        <f>EDATE(C14,151)</f>
        <v/>
      </c>
      <c r="D170" s="21">
        <f>F10</f>
        <v/>
      </c>
      <c r="E170" s="21">
        <f>D170-F170</f>
        <v/>
      </c>
      <c r="F170" s="21">
        <f>H170*C11/C13</f>
        <v/>
      </c>
      <c r="G170" s="22">
        <f>G169-E170</f>
        <v/>
      </c>
      <c r="H170">
        <f>G169</f>
        <v/>
      </c>
    </row>
    <row r="171">
      <c r="B171" s="19">
        <f>152</f>
        <v/>
      </c>
      <c r="C171" s="20">
        <f>EDATE(C14,152)</f>
        <v/>
      </c>
      <c r="D171" s="21">
        <f>F10</f>
        <v/>
      </c>
      <c r="E171" s="21">
        <f>D171-F171</f>
        <v/>
      </c>
      <c r="F171" s="21">
        <f>H171*C11/C13</f>
        <v/>
      </c>
      <c r="G171" s="22">
        <f>G170-E171</f>
        <v/>
      </c>
      <c r="H171">
        <f>G170</f>
        <v/>
      </c>
    </row>
    <row r="172">
      <c r="B172" s="19">
        <f>153</f>
        <v/>
      </c>
      <c r="C172" s="20">
        <f>EDATE(C14,153)</f>
        <v/>
      </c>
      <c r="D172" s="21">
        <f>F10</f>
        <v/>
      </c>
      <c r="E172" s="21">
        <f>D172-F172</f>
        <v/>
      </c>
      <c r="F172" s="21">
        <f>H172*C11/C13</f>
        <v/>
      </c>
      <c r="G172" s="22">
        <f>G171-E172</f>
        <v/>
      </c>
      <c r="H172">
        <f>G171</f>
        <v/>
      </c>
    </row>
    <row r="173">
      <c r="B173" s="19">
        <f>154</f>
        <v/>
      </c>
      <c r="C173" s="20">
        <f>EDATE(C14,154)</f>
        <v/>
      </c>
      <c r="D173" s="21">
        <f>F10</f>
        <v/>
      </c>
      <c r="E173" s="21">
        <f>D173-F173</f>
        <v/>
      </c>
      <c r="F173" s="21">
        <f>H173*C11/C13</f>
        <v/>
      </c>
      <c r="G173" s="22">
        <f>G172-E173</f>
        <v/>
      </c>
      <c r="H173">
        <f>G172</f>
        <v/>
      </c>
    </row>
    <row r="174">
      <c r="B174" s="19">
        <f>155</f>
        <v/>
      </c>
      <c r="C174" s="20">
        <f>EDATE(C14,155)</f>
        <v/>
      </c>
      <c r="D174" s="21">
        <f>F10</f>
        <v/>
      </c>
      <c r="E174" s="21">
        <f>D174-F174</f>
        <v/>
      </c>
      <c r="F174" s="21">
        <f>H174*C11/C13</f>
        <v/>
      </c>
      <c r="G174" s="22">
        <f>G173-E174</f>
        <v/>
      </c>
      <c r="H174">
        <f>G173</f>
        <v/>
      </c>
    </row>
    <row r="175">
      <c r="B175" s="19">
        <f>156</f>
        <v/>
      </c>
      <c r="C175" s="20">
        <f>EDATE(C14,156)</f>
        <v/>
      </c>
      <c r="D175" s="21">
        <f>F10</f>
        <v/>
      </c>
      <c r="E175" s="21">
        <f>D175-F175</f>
        <v/>
      </c>
      <c r="F175" s="21">
        <f>H175*C11/C13</f>
        <v/>
      </c>
      <c r="G175" s="22">
        <f>G174-E175</f>
        <v/>
      </c>
      <c r="H175">
        <f>G174</f>
        <v/>
      </c>
    </row>
    <row r="176">
      <c r="B176" s="19">
        <f>157</f>
        <v/>
      </c>
      <c r="C176" s="20">
        <f>EDATE(C14,157)</f>
        <v/>
      </c>
      <c r="D176" s="21">
        <f>F10</f>
        <v/>
      </c>
      <c r="E176" s="21">
        <f>D176-F176</f>
        <v/>
      </c>
      <c r="F176" s="21">
        <f>H176*C11/C13</f>
        <v/>
      </c>
      <c r="G176" s="22">
        <f>G175-E176</f>
        <v/>
      </c>
      <c r="H176">
        <f>G175</f>
        <v/>
      </c>
    </row>
    <row r="177">
      <c r="B177" s="19">
        <f>158</f>
        <v/>
      </c>
      <c r="C177" s="20">
        <f>EDATE(C14,158)</f>
        <v/>
      </c>
      <c r="D177" s="21">
        <f>F10</f>
        <v/>
      </c>
      <c r="E177" s="21">
        <f>D177-F177</f>
        <v/>
      </c>
      <c r="F177" s="21">
        <f>H177*C11/C13</f>
        <v/>
      </c>
      <c r="G177" s="22">
        <f>G176-E177</f>
        <v/>
      </c>
      <c r="H177">
        <f>G176</f>
        <v/>
      </c>
    </row>
    <row r="178">
      <c r="B178" s="19">
        <f>159</f>
        <v/>
      </c>
      <c r="C178" s="20">
        <f>EDATE(C14,159)</f>
        <v/>
      </c>
      <c r="D178" s="21">
        <f>F10</f>
        <v/>
      </c>
      <c r="E178" s="21">
        <f>D178-F178</f>
        <v/>
      </c>
      <c r="F178" s="21">
        <f>H178*C11/C13</f>
        <v/>
      </c>
      <c r="G178" s="22">
        <f>G177-E178</f>
        <v/>
      </c>
      <c r="H178">
        <f>G177</f>
        <v/>
      </c>
    </row>
    <row r="179">
      <c r="B179" s="19">
        <f>160</f>
        <v/>
      </c>
      <c r="C179" s="20">
        <f>EDATE(C14,160)</f>
        <v/>
      </c>
      <c r="D179" s="21">
        <f>F10</f>
        <v/>
      </c>
      <c r="E179" s="21">
        <f>D179-F179</f>
        <v/>
      </c>
      <c r="F179" s="21">
        <f>H179*C11/C13</f>
        <v/>
      </c>
      <c r="G179" s="22">
        <f>G178-E179</f>
        <v/>
      </c>
      <c r="H179">
        <f>G178</f>
        <v/>
      </c>
    </row>
    <row r="180">
      <c r="B180" s="19">
        <f>161</f>
        <v/>
      </c>
      <c r="C180" s="20">
        <f>EDATE(C14,161)</f>
        <v/>
      </c>
      <c r="D180" s="21">
        <f>F10</f>
        <v/>
      </c>
      <c r="E180" s="21">
        <f>D180-F180</f>
        <v/>
      </c>
      <c r="F180" s="21">
        <f>H180*C11/C13</f>
        <v/>
      </c>
      <c r="G180" s="22">
        <f>G179-E180</f>
        <v/>
      </c>
      <c r="H180">
        <f>G179</f>
        <v/>
      </c>
    </row>
    <row r="181">
      <c r="B181" s="19">
        <f>162</f>
        <v/>
      </c>
      <c r="C181" s="20">
        <f>EDATE(C14,162)</f>
        <v/>
      </c>
      <c r="D181" s="21">
        <f>F10</f>
        <v/>
      </c>
      <c r="E181" s="21">
        <f>D181-F181</f>
        <v/>
      </c>
      <c r="F181" s="21">
        <f>H181*C11/C13</f>
        <v/>
      </c>
      <c r="G181" s="22">
        <f>G180-E181</f>
        <v/>
      </c>
      <c r="H181">
        <f>G180</f>
        <v/>
      </c>
    </row>
    <row r="182">
      <c r="B182" s="19">
        <f>163</f>
        <v/>
      </c>
      <c r="C182" s="20">
        <f>EDATE(C14,163)</f>
        <v/>
      </c>
      <c r="D182" s="21">
        <f>F10</f>
        <v/>
      </c>
      <c r="E182" s="21">
        <f>D182-F182</f>
        <v/>
      </c>
      <c r="F182" s="21">
        <f>H182*C11/C13</f>
        <v/>
      </c>
      <c r="G182" s="22">
        <f>G181-E182</f>
        <v/>
      </c>
      <c r="H182">
        <f>G181</f>
        <v/>
      </c>
    </row>
    <row r="183">
      <c r="B183" s="19">
        <f>164</f>
        <v/>
      </c>
      <c r="C183" s="20">
        <f>EDATE(C14,164)</f>
        <v/>
      </c>
      <c r="D183" s="21">
        <f>F10</f>
        <v/>
      </c>
      <c r="E183" s="21">
        <f>D183-F183</f>
        <v/>
      </c>
      <c r="F183" s="21">
        <f>H183*C11/C13</f>
        <v/>
      </c>
      <c r="G183" s="22">
        <f>G182-E183</f>
        <v/>
      </c>
      <c r="H183">
        <f>G182</f>
        <v/>
      </c>
    </row>
    <row r="184">
      <c r="B184" s="19">
        <f>165</f>
        <v/>
      </c>
      <c r="C184" s="20">
        <f>EDATE(C14,165)</f>
        <v/>
      </c>
      <c r="D184" s="21">
        <f>F10</f>
        <v/>
      </c>
      <c r="E184" s="21">
        <f>D184-F184</f>
        <v/>
      </c>
      <c r="F184" s="21">
        <f>H184*C11/C13</f>
        <v/>
      </c>
      <c r="G184" s="22">
        <f>G183-E184</f>
        <v/>
      </c>
      <c r="H184">
        <f>G183</f>
        <v/>
      </c>
    </row>
    <row r="185">
      <c r="B185" s="19">
        <f>166</f>
        <v/>
      </c>
      <c r="C185" s="20">
        <f>EDATE(C14,166)</f>
        <v/>
      </c>
      <c r="D185" s="21">
        <f>F10</f>
        <v/>
      </c>
      <c r="E185" s="21">
        <f>D185-F185</f>
        <v/>
      </c>
      <c r="F185" s="21">
        <f>H185*C11/C13</f>
        <v/>
      </c>
      <c r="G185" s="22">
        <f>G184-E185</f>
        <v/>
      </c>
      <c r="H185">
        <f>G184</f>
        <v/>
      </c>
    </row>
    <row r="186">
      <c r="B186" s="19">
        <f>167</f>
        <v/>
      </c>
      <c r="C186" s="20">
        <f>EDATE(C14,167)</f>
        <v/>
      </c>
      <c r="D186" s="21">
        <f>F10</f>
        <v/>
      </c>
      <c r="E186" s="21">
        <f>D186-F186</f>
        <v/>
      </c>
      <c r="F186" s="21">
        <f>H186*C11/C13</f>
        <v/>
      </c>
      <c r="G186" s="22">
        <f>G185-E186</f>
        <v/>
      </c>
      <c r="H186">
        <f>G185</f>
        <v/>
      </c>
    </row>
    <row r="187">
      <c r="B187" s="19">
        <f>168</f>
        <v/>
      </c>
      <c r="C187" s="20">
        <f>EDATE(C14,168)</f>
        <v/>
      </c>
      <c r="D187" s="21">
        <f>F10</f>
        <v/>
      </c>
      <c r="E187" s="21">
        <f>D187-F187</f>
        <v/>
      </c>
      <c r="F187" s="21">
        <f>H187*C11/C13</f>
        <v/>
      </c>
      <c r="G187" s="22">
        <f>G186-E187</f>
        <v/>
      </c>
      <c r="H187">
        <f>G186</f>
        <v/>
      </c>
    </row>
    <row r="188">
      <c r="B188" s="19">
        <f>169</f>
        <v/>
      </c>
      <c r="C188" s="20">
        <f>EDATE(C14,169)</f>
        <v/>
      </c>
      <c r="D188" s="21">
        <f>F10</f>
        <v/>
      </c>
      <c r="E188" s="21">
        <f>D188-F188</f>
        <v/>
      </c>
      <c r="F188" s="21">
        <f>H188*C11/C13</f>
        <v/>
      </c>
      <c r="G188" s="22">
        <f>G187-E188</f>
        <v/>
      </c>
      <c r="H188">
        <f>G187</f>
        <v/>
      </c>
    </row>
    <row r="189">
      <c r="B189" s="19">
        <f>170</f>
        <v/>
      </c>
      <c r="C189" s="20">
        <f>EDATE(C14,170)</f>
        <v/>
      </c>
      <c r="D189" s="21">
        <f>F10</f>
        <v/>
      </c>
      <c r="E189" s="21">
        <f>D189-F189</f>
        <v/>
      </c>
      <c r="F189" s="21">
        <f>H189*C11/C13</f>
        <v/>
      </c>
      <c r="G189" s="22">
        <f>G188-E189</f>
        <v/>
      </c>
      <c r="H189">
        <f>G188</f>
        <v/>
      </c>
    </row>
    <row r="190">
      <c r="B190" s="19">
        <f>171</f>
        <v/>
      </c>
      <c r="C190" s="20">
        <f>EDATE(C14,171)</f>
        <v/>
      </c>
      <c r="D190" s="21">
        <f>F10</f>
        <v/>
      </c>
      <c r="E190" s="21">
        <f>D190-F190</f>
        <v/>
      </c>
      <c r="F190" s="21">
        <f>H190*C11/C13</f>
        <v/>
      </c>
      <c r="G190" s="22">
        <f>G189-E190</f>
        <v/>
      </c>
      <c r="H190">
        <f>G189</f>
        <v/>
      </c>
    </row>
    <row r="191">
      <c r="B191" s="19">
        <f>172</f>
        <v/>
      </c>
      <c r="C191" s="20">
        <f>EDATE(C14,172)</f>
        <v/>
      </c>
      <c r="D191" s="21">
        <f>F10</f>
        <v/>
      </c>
      <c r="E191" s="21">
        <f>D191-F191</f>
        <v/>
      </c>
      <c r="F191" s="21">
        <f>H191*C11/C13</f>
        <v/>
      </c>
      <c r="G191" s="22">
        <f>G190-E191</f>
        <v/>
      </c>
      <c r="H191">
        <f>G190</f>
        <v/>
      </c>
    </row>
    <row r="192">
      <c r="B192" s="19">
        <f>173</f>
        <v/>
      </c>
      <c r="C192" s="20">
        <f>EDATE(C14,173)</f>
        <v/>
      </c>
      <c r="D192" s="21">
        <f>F10</f>
        <v/>
      </c>
      <c r="E192" s="21">
        <f>D192-F192</f>
        <v/>
      </c>
      <c r="F192" s="21">
        <f>H192*C11/C13</f>
        <v/>
      </c>
      <c r="G192" s="22">
        <f>G191-E192</f>
        <v/>
      </c>
      <c r="H192">
        <f>G191</f>
        <v/>
      </c>
    </row>
    <row r="193">
      <c r="B193" s="19">
        <f>174</f>
        <v/>
      </c>
      <c r="C193" s="20">
        <f>EDATE(C14,174)</f>
        <v/>
      </c>
      <c r="D193" s="21">
        <f>F10</f>
        <v/>
      </c>
      <c r="E193" s="21">
        <f>D193-F193</f>
        <v/>
      </c>
      <c r="F193" s="21">
        <f>H193*C11/C13</f>
        <v/>
      </c>
      <c r="G193" s="22">
        <f>G192-E193</f>
        <v/>
      </c>
      <c r="H193">
        <f>G192</f>
        <v/>
      </c>
    </row>
    <row r="194">
      <c r="B194" s="19">
        <f>175</f>
        <v/>
      </c>
      <c r="C194" s="20">
        <f>EDATE(C14,175)</f>
        <v/>
      </c>
      <c r="D194" s="21">
        <f>F10</f>
        <v/>
      </c>
      <c r="E194" s="21">
        <f>D194-F194</f>
        <v/>
      </c>
      <c r="F194" s="21">
        <f>H194*C11/C13</f>
        <v/>
      </c>
      <c r="G194" s="22">
        <f>G193-E194</f>
        <v/>
      </c>
      <c r="H194">
        <f>G193</f>
        <v/>
      </c>
    </row>
    <row r="195">
      <c r="B195" s="19">
        <f>176</f>
        <v/>
      </c>
      <c r="C195" s="20">
        <f>EDATE(C14,176)</f>
        <v/>
      </c>
      <c r="D195" s="21">
        <f>F10</f>
        <v/>
      </c>
      <c r="E195" s="21">
        <f>D195-F195</f>
        <v/>
      </c>
      <c r="F195" s="21">
        <f>H195*C11/C13</f>
        <v/>
      </c>
      <c r="G195" s="22">
        <f>G194-E195</f>
        <v/>
      </c>
      <c r="H195">
        <f>G194</f>
        <v/>
      </c>
    </row>
    <row r="196">
      <c r="B196" s="19">
        <f>177</f>
        <v/>
      </c>
      <c r="C196" s="20">
        <f>EDATE(C14,177)</f>
        <v/>
      </c>
      <c r="D196" s="21">
        <f>F10</f>
        <v/>
      </c>
      <c r="E196" s="21">
        <f>D196-F196</f>
        <v/>
      </c>
      <c r="F196" s="21">
        <f>H196*C11/C13</f>
        <v/>
      </c>
      <c r="G196" s="22">
        <f>G195-E196</f>
        <v/>
      </c>
      <c r="H196">
        <f>G195</f>
        <v/>
      </c>
    </row>
    <row r="197">
      <c r="B197" s="19">
        <f>178</f>
        <v/>
      </c>
      <c r="C197" s="20">
        <f>EDATE(C14,178)</f>
        <v/>
      </c>
      <c r="D197" s="21">
        <f>F10</f>
        <v/>
      </c>
      <c r="E197" s="21">
        <f>D197-F197</f>
        <v/>
      </c>
      <c r="F197" s="21">
        <f>H197*C11/C13</f>
        <v/>
      </c>
      <c r="G197" s="22">
        <f>G196-E197</f>
        <v/>
      </c>
      <c r="H197">
        <f>G196</f>
        <v/>
      </c>
    </row>
    <row r="198">
      <c r="B198" s="19">
        <f>179</f>
        <v/>
      </c>
      <c r="C198" s="20">
        <f>EDATE(C14,179)</f>
        <v/>
      </c>
      <c r="D198" s="21">
        <f>F10</f>
        <v/>
      </c>
      <c r="E198" s="21">
        <f>D198-F198</f>
        <v/>
      </c>
      <c r="F198" s="21">
        <f>H198*C11/C13</f>
        <v/>
      </c>
      <c r="G198" s="22">
        <f>G197-E198</f>
        <v/>
      </c>
      <c r="H198">
        <f>G197</f>
        <v/>
      </c>
    </row>
    <row r="199">
      <c r="B199" s="19">
        <f>180</f>
        <v/>
      </c>
      <c r="C199" s="20">
        <f>EDATE(C14,180)</f>
        <v/>
      </c>
      <c r="D199" s="21">
        <f>F10</f>
        <v/>
      </c>
      <c r="E199" s="21">
        <f>D199-F199</f>
        <v/>
      </c>
      <c r="F199" s="21">
        <f>H199*C11/C13</f>
        <v/>
      </c>
      <c r="G199" s="22">
        <f>G198-E199</f>
        <v/>
      </c>
      <c r="H199">
        <f>G198</f>
        <v/>
      </c>
    </row>
    <row r="200">
      <c r="B200" s="19">
        <f>181</f>
        <v/>
      </c>
      <c r="C200" s="20">
        <f>EDATE(C14,181)</f>
        <v/>
      </c>
      <c r="D200" s="21">
        <f>F10</f>
        <v/>
      </c>
      <c r="E200" s="21">
        <f>D200-F200</f>
        <v/>
      </c>
      <c r="F200" s="21">
        <f>H200*C11/C13</f>
        <v/>
      </c>
      <c r="G200" s="22">
        <f>G199-E200</f>
        <v/>
      </c>
      <c r="H200">
        <f>G199</f>
        <v/>
      </c>
    </row>
    <row r="201">
      <c r="B201" s="19">
        <f>182</f>
        <v/>
      </c>
      <c r="C201" s="20">
        <f>EDATE(C14,182)</f>
        <v/>
      </c>
      <c r="D201" s="21">
        <f>F10</f>
        <v/>
      </c>
      <c r="E201" s="21">
        <f>D201-F201</f>
        <v/>
      </c>
      <c r="F201" s="21">
        <f>H201*C11/C13</f>
        <v/>
      </c>
      <c r="G201" s="22">
        <f>G200-E201</f>
        <v/>
      </c>
      <c r="H201">
        <f>G200</f>
        <v/>
      </c>
    </row>
    <row r="202">
      <c r="B202" s="19">
        <f>183</f>
        <v/>
      </c>
      <c r="C202" s="20">
        <f>EDATE(C14,183)</f>
        <v/>
      </c>
      <c r="D202" s="21">
        <f>F10</f>
        <v/>
      </c>
      <c r="E202" s="21">
        <f>D202-F202</f>
        <v/>
      </c>
      <c r="F202" s="21">
        <f>H202*C11/C13</f>
        <v/>
      </c>
      <c r="G202" s="22">
        <f>G201-E202</f>
        <v/>
      </c>
      <c r="H202">
        <f>G201</f>
        <v/>
      </c>
    </row>
    <row r="203">
      <c r="B203" s="19">
        <f>184</f>
        <v/>
      </c>
      <c r="C203" s="20">
        <f>EDATE(C14,184)</f>
        <v/>
      </c>
      <c r="D203" s="21">
        <f>F10</f>
        <v/>
      </c>
      <c r="E203" s="21">
        <f>D203-F203</f>
        <v/>
      </c>
      <c r="F203" s="21">
        <f>H203*C11/C13</f>
        <v/>
      </c>
      <c r="G203" s="22">
        <f>G202-E203</f>
        <v/>
      </c>
      <c r="H203">
        <f>G202</f>
        <v/>
      </c>
    </row>
    <row r="204">
      <c r="B204" s="19">
        <f>185</f>
        <v/>
      </c>
      <c r="C204" s="20">
        <f>EDATE(C14,185)</f>
        <v/>
      </c>
      <c r="D204" s="21">
        <f>F10</f>
        <v/>
      </c>
      <c r="E204" s="21">
        <f>D204-F204</f>
        <v/>
      </c>
      <c r="F204" s="21">
        <f>H204*C11/C13</f>
        <v/>
      </c>
      <c r="G204" s="22">
        <f>G203-E204</f>
        <v/>
      </c>
      <c r="H204">
        <f>G203</f>
        <v/>
      </c>
    </row>
    <row r="205">
      <c r="B205" s="19">
        <f>186</f>
        <v/>
      </c>
      <c r="C205" s="20">
        <f>EDATE(C14,186)</f>
        <v/>
      </c>
      <c r="D205" s="21">
        <f>F10</f>
        <v/>
      </c>
      <c r="E205" s="21">
        <f>D205-F205</f>
        <v/>
      </c>
      <c r="F205" s="21">
        <f>H205*C11/C13</f>
        <v/>
      </c>
      <c r="G205" s="22">
        <f>G204-E205</f>
        <v/>
      </c>
      <c r="H205">
        <f>G204</f>
        <v/>
      </c>
    </row>
    <row r="206">
      <c r="B206" s="19">
        <f>187</f>
        <v/>
      </c>
      <c r="C206" s="20">
        <f>EDATE(C14,187)</f>
        <v/>
      </c>
      <c r="D206" s="21">
        <f>F10</f>
        <v/>
      </c>
      <c r="E206" s="21">
        <f>D206-F206</f>
        <v/>
      </c>
      <c r="F206" s="21">
        <f>H206*C11/C13</f>
        <v/>
      </c>
      <c r="G206" s="22">
        <f>G205-E206</f>
        <v/>
      </c>
      <c r="H206">
        <f>G205</f>
        <v/>
      </c>
    </row>
    <row r="207">
      <c r="B207" s="19">
        <f>188</f>
        <v/>
      </c>
      <c r="C207" s="20">
        <f>EDATE(C14,188)</f>
        <v/>
      </c>
      <c r="D207" s="21">
        <f>F10</f>
        <v/>
      </c>
      <c r="E207" s="21">
        <f>D207-F207</f>
        <v/>
      </c>
      <c r="F207" s="21">
        <f>H207*C11/C13</f>
        <v/>
      </c>
      <c r="G207" s="22">
        <f>G206-E207</f>
        <v/>
      </c>
      <c r="H207">
        <f>G206</f>
        <v/>
      </c>
    </row>
    <row r="208">
      <c r="B208" s="19">
        <f>189</f>
        <v/>
      </c>
      <c r="C208" s="20">
        <f>EDATE(C14,189)</f>
        <v/>
      </c>
      <c r="D208" s="21">
        <f>F10</f>
        <v/>
      </c>
      <c r="E208" s="21">
        <f>D208-F208</f>
        <v/>
      </c>
      <c r="F208" s="21">
        <f>H208*C11/C13</f>
        <v/>
      </c>
      <c r="G208" s="22">
        <f>G207-E208</f>
        <v/>
      </c>
      <c r="H208">
        <f>G207</f>
        <v/>
      </c>
    </row>
    <row r="209">
      <c r="B209" s="19">
        <f>190</f>
        <v/>
      </c>
      <c r="C209" s="20">
        <f>EDATE(C14,190)</f>
        <v/>
      </c>
      <c r="D209" s="21">
        <f>F10</f>
        <v/>
      </c>
      <c r="E209" s="21">
        <f>D209-F209</f>
        <v/>
      </c>
      <c r="F209" s="21">
        <f>H209*C11/C13</f>
        <v/>
      </c>
      <c r="G209" s="22">
        <f>G208-E209</f>
        <v/>
      </c>
      <c r="H209">
        <f>G208</f>
        <v/>
      </c>
    </row>
    <row r="210">
      <c r="B210" s="19">
        <f>191</f>
        <v/>
      </c>
      <c r="C210" s="20">
        <f>EDATE(C14,191)</f>
        <v/>
      </c>
      <c r="D210" s="21">
        <f>F10</f>
        <v/>
      </c>
      <c r="E210" s="21">
        <f>D210-F210</f>
        <v/>
      </c>
      <c r="F210" s="21">
        <f>H210*C11/C13</f>
        <v/>
      </c>
      <c r="G210" s="22">
        <f>G209-E210</f>
        <v/>
      </c>
      <c r="H210">
        <f>G209</f>
        <v/>
      </c>
    </row>
    <row r="211">
      <c r="B211" s="19">
        <f>192</f>
        <v/>
      </c>
      <c r="C211" s="20">
        <f>EDATE(C14,192)</f>
        <v/>
      </c>
      <c r="D211" s="21">
        <f>F10</f>
        <v/>
      </c>
      <c r="E211" s="21">
        <f>D211-F211</f>
        <v/>
      </c>
      <c r="F211" s="21">
        <f>H211*C11/C13</f>
        <v/>
      </c>
      <c r="G211" s="22">
        <f>G210-E211</f>
        <v/>
      </c>
      <c r="H211">
        <f>G210</f>
        <v/>
      </c>
    </row>
    <row r="212">
      <c r="B212" s="19">
        <f>193</f>
        <v/>
      </c>
      <c r="C212" s="20">
        <f>EDATE(C14,193)</f>
        <v/>
      </c>
      <c r="D212" s="21">
        <f>F10</f>
        <v/>
      </c>
      <c r="E212" s="21">
        <f>D212-F212</f>
        <v/>
      </c>
      <c r="F212" s="21">
        <f>H212*C11/C13</f>
        <v/>
      </c>
      <c r="G212" s="22">
        <f>G211-E212</f>
        <v/>
      </c>
      <c r="H212">
        <f>G211</f>
        <v/>
      </c>
    </row>
    <row r="213">
      <c r="B213" s="19">
        <f>194</f>
        <v/>
      </c>
      <c r="C213" s="20">
        <f>EDATE(C14,194)</f>
        <v/>
      </c>
      <c r="D213" s="21">
        <f>F10</f>
        <v/>
      </c>
      <c r="E213" s="21">
        <f>D213-F213</f>
        <v/>
      </c>
      <c r="F213" s="21">
        <f>H213*C11/C13</f>
        <v/>
      </c>
      <c r="G213" s="22">
        <f>G212-E213</f>
        <v/>
      </c>
      <c r="H213">
        <f>G212</f>
        <v/>
      </c>
    </row>
    <row r="214">
      <c r="B214" s="19">
        <f>195</f>
        <v/>
      </c>
      <c r="C214" s="20">
        <f>EDATE(C14,195)</f>
        <v/>
      </c>
      <c r="D214" s="21">
        <f>F10</f>
        <v/>
      </c>
      <c r="E214" s="21">
        <f>D214-F214</f>
        <v/>
      </c>
      <c r="F214" s="21">
        <f>H214*C11/C13</f>
        <v/>
      </c>
      <c r="G214" s="22">
        <f>G213-E214</f>
        <v/>
      </c>
      <c r="H214">
        <f>G213</f>
        <v/>
      </c>
    </row>
    <row r="215">
      <c r="B215" s="19">
        <f>196</f>
        <v/>
      </c>
      <c r="C215" s="20">
        <f>EDATE(C14,196)</f>
        <v/>
      </c>
      <c r="D215" s="21">
        <f>F10</f>
        <v/>
      </c>
      <c r="E215" s="21">
        <f>D215-F215</f>
        <v/>
      </c>
      <c r="F215" s="21">
        <f>H215*C11/C13</f>
        <v/>
      </c>
      <c r="G215" s="22">
        <f>G214-E215</f>
        <v/>
      </c>
      <c r="H215">
        <f>G214</f>
        <v/>
      </c>
    </row>
    <row r="216">
      <c r="B216" s="19">
        <f>197</f>
        <v/>
      </c>
      <c r="C216" s="20">
        <f>EDATE(C14,197)</f>
        <v/>
      </c>
      <c r="D216" s="21">
        <f>F10</f>
        <v/>
      </c>
      <c r="E216" s="21">
        <f>D216-F216</f>
        <v/>
      </c>
      <c r="F216" s="21">
        <f>H216*C11/C13</f>
        <v/>
      </c>
      <c r="G216" s="22">
        <f>G215-E216</f>
        <v/>
      </c>
      <c r="H216">
        <f>G215</f>
        <v/>
      </c>
    </row>
    <row r="217">
      <c r="B217" s="19">
        <f>198</f>
        <v/>
      </c>
      <c r="C217" s="20">
        <f>EDATE(C14,198)</f>
        <v/>
      </c>
      <c r="D217" s="21">
        <f>F10</f>
        <v/>
      </c>
      <c r="E217" s="21">
        <f>D217-F217</f>
        <v/>
      </c>
      <c r="F217" s="21">
        <f>H217*C11/C13</f>
        <v/>
      </c>
      <c r="G217" s="22">
        <f>G216-E217</f>
        <v/>
      </c>
      <c r="H217">
        <f>G216</f>
        <v/>
      </c>
    </row>
    <row r="218">
      <c r="B218" s="19">
        <f>199</f>
        <v/>
      </c>
      <c r="C218" s="20">
        <f>EDATE(C14,199)</f>
        <v/>
      </c>
      <c r="D218" s="21">
        <f>F10</f>
        <v/>
      </c>
      <c r="E218" s="21">
        <f>D218-F218</f>
        <v/>
      </c>
      <c r="F218" s="21">
        <f>H218*C11/C13</f>
        <v/>
      </c>
      <c r="G218" s="22">
        <f>G217-E218</f>
        <v/>
      </c>
      <c r="H218">
        <f>G217</f>
        <v/>
      </c>
    </row>
    <row r="219">
      <c r="B219" s="19">
        <f>200</f>
        <v/>
      </c>
      <c r="C219" s="20">
        <f>EDATE(C14,200)</f>
        <v/>
      </c>
      <c r="D219" s="21">
        <f>F10</f>
        <v/>
      </c>
      <c r="E219" s="21">
        <f>D219-F219</f>
        <v/>
      </c>
      <c r="F219" s="21">
        <f>H219*C11/C13</f>
        <v/>
      </c>
      <c r="G219" s="22">
        <f>G218-E219</f>
        <v/>
      </c>
      <c r="H219">
        <f>G218</f>
        <v/>
      </c>
    </row>
    <row r="220">
      <c r="B220" s="19">
        <f>201</f>
        <v/>
      </c>
      <c r="C220" s="20">
        <f>EDATE(C14,201)</f>
        <v/>
      </c>
      <c r="D220" s="21">
        <f>F10</f>
        <v/>
      </c>
      <c r="E220" s="21">
        <f>D220-F220</f>
        <v/>
      </c>
      <c r="F220" s="21">
        <f>H220*C11/C13</f>
        <v/>
      </c>
      <c r="G220" s="22">
        <f>G219-E220</f>
        <v/>
      </c>
      <c r="H220">
        <f>G219</f>
        <v/>
      </c>
    </row>
    <row r="221">
      <c r="B221" s="19">
        <f>202</f>
        <v/>
      </c>
      <c r="C221" s="20">
        <f>EDATE(C14,202)</f>
        <v/>
      </c>
      <c r="D221" s="21">
        <f>F10</f>
        <v/>
      </c>
      <c r="E221" s="21">
        <f>D221-F221</f>
        <v/>
      </c>
      <c r="F221" s="21">
        <f>H221*C11/C13</f>
        <v/>
      </c>
      <c r="G221" s="22">
        <f>G220-E221</f>
        <v/>
      </c>
      <c r="H221">
        <f>G220</f>
        <v/>
      </c>
    </row>
    <row r="222">
      <c r="B222" s="19">
        <f>203</f>
        <v/>
      </c>
      <c r="C222" s="20">
        <f>EDATE(C14,203)</f>
        <v/>
      </c>
      <c r="D222" s="21">
        <f>F10</f>
        <v/>
      </c>
      <c r="E222" s="21">
        <f>D222-F222</f>
        <v/>
      </c>
      <c r="F222" s="21">
        <f>H222*C11/C13</f>
        <v/>
      </c>
      <c r="G222" s="22">
        <f>G221-E222</f>
        <v/>
      </c>
      <c r="H222">
        <f>G221</f>
        <v/>
      </c>
    </row>
    <row r="223">
      <c r="B223" s="19">
        <f>204</f>
        <v/>
      </c>
      <c r="C223" s="20">
        <f>EDATE(C14,204)</f>
        <v/>
      </c>
      <c r="D223" s="21">
        <f>F10</f>
        <v/>
      </c>
      <c r="E223" s="21">
        <f>D223-F223</f>
        <v/>
      </c>
      <c r="F223" s="21">
        <f>H223*C11/C13</f>
        <v/>
      </c>
      <c r="G223" s="22">
        <f>G222-E223</f>
        <v/>
      </c>
      <c r="H223">
        <f>G222</f>
        <v/>
      </c>
    </row>
    <row r="224">
      <c r="B224" s="19">
        <f>205</f>
        <v/>
      </c>
      <c r="C224" s="20">
        <f>EDATE(C14,205)</f>
        <v/>
      </c>
      <c r="D224" s="21">
        <f>F10</f>
        <v/>
      </c>
      <c r="E224" s="21">
        <f>D224-F224</f>
        <v/>
      </c>
      <c r="F224" s="21">
        <f>H224*C11/C13</f>
        <v/>
      </c>
      <c r="G224" s="22">
        <f>G223-E224</f>
        <v/>
      </c>
      <c r="H224">
        <f>G223</f>
        <v/>
      </c>
    </row>
    <row r="225">
      <c r="B225" s="19">
        <f>206</f>
        <v/>
      </c>
      <c r="C225" s="20">
        <f>EDATE(C14,206)</f>
        <v/>
      </c>
      <c r="D225" s="21">
        <f>F10</f>
        <v/>
      </c>
      <c r="E225" s="21">
        <f>D225-F225</f>
        <v/>
      </c>
      <c r="F225" s="21">
        <f>H225*C11/C13</f>
        <v/>
      </c>
      <c r="G225" s="22">
        <f>G224-E225</f>
        <v/>
      </c>
      <c r="H225">
        <f>G224</f>
        <v/>
      </c>
    </row>
    <row r="226">
      <c r="B226" s="19">
        <f>207</f>
        <v/>
      </c>
      <c r="C226" s="20">
        <f>EDATE(C14,207)</f>
        <v/>
      </c>
      <c r="D226" s="21">
        <f>F10</f>
        <v/>
      </c>
      <c r="E226" s="21">
        <f>D226-F226</f>
        <v/>
      </c>
      <c r="F226" s="21">
        <f>H226*C11/C13</f>
        <v/>
      </c>
      <c r="G226" s="22">
        <f>G225-E226</f>
        <v/>
      </c>
      <c r="H226">
        <f>G225</f>
        <v/>
      </c>
    </row>
    <row r="227">
      <c r="B227" s="19">
        <f>208</f>
        <v/>
      </c>
      <c r="C227" s="20">
        <f>EDATE(C14,208)</f>
        <v/>
      </c>
      <c r="D227" s="21">
        <f>F10</f>
        <v/>
      </c>
      <c r="E227" s="21">
        <f>D227-F227</f>
        <v/>
      </c>
      <c r="F227" s="21">
        <f>H227*C11/C13</f>
        <v/>
      </c>
      <c r="G227" s="22">
        <f>G226-E227</f>
        <v/>
      </c>
      <c r="H227">
        <f>G226</f>
        <v/>
      </c>
    </row>
    <row r="228">
      <c r="B228" s="19">
        <f>209</f>
        <v/>
      </c>
      <c r="C228" s="20">
        <f>EDATE(C14,209)</f>
        <v/>
      </c>
      <c r="D228" s="21">
        <f>F10</f>
        <v/>
      </c>
      <c r="E228" s="21">
        <f>D228-F228</f>
        <v/>
      </c>
      <c r="F228" s="21">
        <f>H228*C11/C13</f>
        <v/>
      </c>
      <c r="G228" s="22">
        <f>G227-E228</f>
        <v/>
      </c>
      <c r="H228">
        <f>G227</f>
        <v/>
      </c>
    </row>
    <row r="229">
      <c r="B229" s="19">
        <f>210</f>
        <v/>
      </c>
      <c r="C229" s="20">
        <f>EDATE(C14,210)</f>
        <v/>
      </c>
      <c r="D229" s="21">
        <f>F10</f>
        <v/>
      </c>
      <c r="E229" s="21">
        <f>D229-F229</f>
        <v/>
      </c>
      <c r="F229" s="21">
        <f>H229*C11/C13</f>
        <v/>
      </c>
      <c r="G229" s="22">
        <f>G228-E229</f>
        <v/>
      </c>
      <c r="H229">
        <f>G228</f>
        <v/>
      </c>
    </row>
    <row r="230">
      <c r="B230" s="19">
        <f>211</f>
        <v/>
      </c>
      <c r="C230" s="20">
        <f>EDATE(C14,211)</f>
        <v/>
      </c>
      <c r="D230" s="21">
        <f>F10</f>
        <v/>
      </c>
      <c r="E230" s="21">
        <f>D230-F230</f>
        <v/>
      </c>
      <c r="F230" s="21">
        <f>H230*C11/C13</f>
        <v/>
      </c>
      <c r="G230" s="22">
        <f>G229-E230</f>
        <v/>
      </c>
      <c r="H230">
        <f>G229</f>
        <v/>
      </c>
    </row>
    <row r="231">
      <c r="B231" s="19">
        <f>212</f>
        <v/>
      </c>
      <c r="C231" s="20">
        <f>EDATE(C14,212)</f>
        <v/>
      </c>
      <c r="D231" s="21">
        <f>F10</f>
        <v/>
      </c>
      <c r="E231" s="21">
        <f>D231-F231</f>
        <v/>
      </c>
      <c r="F231" s="21">
        <f>H231*C11/C13</f>
        <v/>
      </c>
      <c r="G231" s="22">
        <f>G230-E231</f>
        <v/>
      </c>
      <c r="H231">
        <f>G230</f>
        <v/>
      </c>
    </row>
    <row r="232">
      <c r="B232" s="19">
        <f>213</f>
        <v/>
      </c>
      <c r="C232" s="20">
        <f>EDATE(C14,213)</f>
        <v/>
      </c>
      <c r="D232" s="21">
        <f>F10</f>
        <v/>
      </c>
      <c r="E232" s="21">
        <f>D232-F232</f>
        <v/>
      </c>
      <c r="F232" s="21">
        <f>H232*C11/C13</f>
        <v/>
      </c>
      <c r="G232" s="22">
        <f>G231-E232</f>
        <v/>
      </c>
      <c r="H232">
        <f>G231</f>
        <v/>
      </c>
    </row>
    <row r="233">
      <c r="B233" s="19">
        <f>214</f>
        <v/>
      </c>
      <c r="C233" s="20">
        <f>EDATE(C14,214)</f>
        <v/>
      </c>
      <c r="D233" s="21">
        <f>F10</f>
        <v/>
      </c>
      <c r="E233" s="21">
        <f>D233-F233</f>
        <v/>
      </c>
      <c r="F233" s="21">
        <f>H233*C11/C13</f>
        <v/>
      </c>
      <c r="G233" s="22">
        <f>G232-E233</f>
        <v/>
      </c>
      <c r="H233">
        <f>G232</f>
        <v/>
      </c>
    </row>
    <row r="234">
      <c r="B234" s="19">
        <f>215</f>
        <v/>
      </c>
      <c r="C234" s="20">
        <f>EDATE(C14,215)</f>
        <v/>
      </c>
      <c r="D234" s="21">
        <f>F10</f>
        <v/>
      </c>
      <c r="E234" s="21">
        <f>D234-F234</f>
        <v/>
      </c>
      <c r="F234" s="21">
        <f>H234*C11/C13</f>
        <v/>
      </c>
      <c r="G234" s="22">
        <f>G233-E234</f>
        <v/>
      </c>
      <c r="H234">
        <f>G233</f>
        <v/>
      </c>
    </row>
    <row r="235">
      <c r="B235" s="19">
        <f>216</f>
        <v/>
      </c>
      <c r="C235" s="20">
        <f>EDATE(C14,216)</f>
        <v/>
      </c>
      <c r="D235" s="21">
        <f>F10</f>
        <v/>
      </c>
      <c r="E235" s="21">
        <f>D235-F235</f>
        <v/>
      </c>
      <c r="F235" s="21">
        <f>H235*C11/C13</f>
        <v/>
      </c>
      <c r="G235" s="22">
        <f>G234-E235</f>
        <v/>
      </c>
      <c r="H235">
        <f>G234</f>
        <v/>
      </c>
    </row>
    <row r="236">
      <c r="B236" s="19">
        <f>217</f>
        <v/>
      </c>
      <c r="C236" s="20">
        <f>EDATE(C14,217)</f>
        <v/>
      </c>
      <c r="D236" s="21">
        <f>F10</f>
        <v/>
      </c>
      <c r="E236" s="21">
        <f>D236-F236</f>
        <v/>
      </c>
      <c r="F236" s="21">
        <f>H236*C11/C13</f>
        <v/>
      </c>
      <c r="G236" s="22">
        <f>G235-E236</f>
        <v/>
      </c>
      <c r="H236">
        <f>G235</f>
        <v/>
      </c>
    </row>
    <row r="237">
      <c r="B237" s="19">
        <f>218</f>
        <v/>
      </c>
      <c r="C237" s="20">
        <f>EDATE(C14,218)</f>
        <v/>
      </c>
      <c r="D237" s="21">
        <f>F10</f>
        <v/>
      </c>
      <c r="E237" s="21">
        <f>D237-F237</f>
        <v/>
      </c>
      <c r="F237" s="21">
        <f>H237*C11/C13</f>
        <v/>
      </c>
      <c r="G237" s="22">
        <f>G236-E237</f>
        <v/>
      </c>
      <c r="H237">
        <f>G236</f>
        <v/>
      </c>
    </row>
    <row r="238">
      <c r="B238" s="19">
        <f>219</f>
        <v/>
      </c>
      <c r="C238" s="20">
        <f>EDATE(C14,219)</f>
        <v/>
      </c>
      <c r="D238" s="21">
        <f>F10</f>
        <v/>
      </c>
      <c r="E238" s="21">
        <f>D238-F238</f>
        <v/>
      </c>
      <c r="F238" s="21">
        <f>H238*C11/C13</f>
        <v/>
      </c>
      <c r="G238" s="22">
        <f>G237-E238</f>
        <v/>
      </c>
      <c r="H238">
        <f>G237</f>
        <v/>
      </c>
    </row>
    <row r="239">
      <c r="B239" s="19">
        <f>220</f>
        <v/>
      </c>
      <c r="C239" s="20">
        <f>EDATE(C14,220)</f>
        <v/>
      </c>
      <c r="D239" s="21">
        <f>F10</f>
        <v/>
      </c>
      <c r="E239" s="21">
        <f>D239-F239</f>
        <v/>
      </c>
      <c r="F239" s="21">
        <f>H239*C11/C13</f>
        <v/>
      </c>
      <c r="G239" s="22">
        <f>G238-E239</f>
        <v/>
      </c>
      <c r="H239">
        <f>G238</f>
        <v/>
      </c>
    </row>
    <row r="240">
      <c r="B240" s="19">
        <f>221</f>
        <v/>
      </c>
      <c r="C240" s="20">
        <f>EDATE(C14,221)</f>
        <v/>
      </c>
      <c r="D240" s="21">
        <f>F10</f>
        <v/>
      </c>
      <c r="E240" s="21">
        <f>D240-F240</f>
        <v/>
      </c>
      <c r="F240" s="21">
        <f>H240*C11/C13</f>
        <v/>
      </c>
      <c r="G240" s="22">
        <f>G239-E240</f>
        <v/>
      </c>
      <c r="H240">
        <f>G239</f>
        <v/>
      </c>
    </row>
    <row r="241">
      <c r="B241" s="19">
        <f>222</f>
        <v/>
      </c>
      <c r="C241" s="20">
        <f>EDATE(C14,222)</f>
        <v/>
      </c>
      <c r="D241" s="21">
        <f>F10</f>
        <v/>
      </c>
      <c r="E241" s="21">
        <f>D241-F241</f>
        <v/>
      </c>
      <c r="F241" s="21">
        <f>H241*C11/C13</f>
        <v/>
      </c>
      <c r="G241" s="22">
        <f>G240-E241</f>
        <v/>
      </c>
      <c r="H241">
        <f>G240</f>
        <v/>
      </c>
    </row>
    <row r="242">
      <c r="B242" s="19">
        <f>223</f>
        <v/>
      </c>
      <c r="C242" s="20">
        <f>EDATE(C14,223)</f>
        <v/>
      </c>
      <c r="D242" s="21">
        <f>F10</f>
        <v/>
      </c>
      <c r="E242" s="21">
        <f>D242-F242</f>
        <v/>
      </c>
      <c r="F242" s="21">
        <f>H242*C11/C13</f>
        <v/>
      </c>
      <c r="G242" s="22">
        <f>G241-E242</f>
        <v/>
      </c>
      <c r="H242">
        <f>G241</f>
        <v/>
      </c>
    </row>
    <row r="243">
      <c r="B243" s="19">
        <f>224</f>
        <v/>
      </c>
      <c r="C243" s="20">
        <f>EDATE(C14,224)</f>
        <v/>
      </c>
      <c r="D243" s="21">
        <f>F10</f>
        <v/>
      </c>
      <c r="E243" s="21">
        <f>D243-F243</f>
        <v/>
      </c>
      <c r="F243" s="21">
        <f>H243*C11/C13</f>
        <v/>
      </c>
      <c r="G243" s="22">
        <f>G242-E243</f>
        <v/>
      </c>
      <c r="H243">
        <f>G242</f>
        <v/>
      </c>
    </row>
    <row r="244">
      <c r="B244" s="19">
        <f>225</f>
        <v/>
      </c>
      <c r="C244" s="20">
        <f>EDATE(C14,225)</f>
        <v/>
      </c>
      <c r="D244" s="21">
        <f>F10</f>
        <v/>
      </c>
      <c r="E244" s="21">
        <f>D244-F244</f>
        <v/>
      </c>
      <c r="F244" s="21">
        <f>H244*C11/C13</f>
        <v/>
      </c>
      <c r="G244" s="22">
        <f>G243-E244</f>
        <v/>
      </c>
      <c r="H244">
        <f>G243</f>
        <v/>
      </c>
    </row>
    <row r="245">
      <c r="B245" s="19">
        <f>226</f>
        <v/>
      </c>
      <c r="C245" s="20">
        <f>EDATE(C14,226)</f>
        <v/>
      </c>
      <c r="D245" s="21">
        <f>F10</f>
        <v/>
      </c>
      <c r="E245" s="21">
        <f>D245-F245</f>
        <v/>
      </c>
      <c r="F245" s="21">
        <f>H245*C11/C13</f>
        <v/>
      </c>
      <c r="G245" s="22">
        <f>G244-E245</f>
        <v/>
      </c>
      <c r="H245">
        <f>G244</f>
        <v/>
      </c>
    </row>
    <row r="246">
      <c r="B246" s="19">
        <f>227</f>
        <v/>
      </c>
      <c r="C246" s="20">
        <f>EDATE(C14,227)</f>
        <v/>
      </c>
      <c r="D246" s="21">
        <f>F10</f>
        <v/>
      </c>
      <c r="E246" s="21">
        <f>D246-F246</f>
        <v/>
      </c>
      <c r="F246" s="21">
        <f>H246*C11/C13</f>
        <v/>
      </c>
      <c r="G246" s="22">
        <f>G245-E246</f>
        <v/>
      </c>
      <c r="H246">
        <f>G245</f>
        <v/>
      </c>
    </row>
    <row r="247">
      <c r="B247" s="19">
        <f>228</f>
        <v/>
      </c>
      <c r="C247" s="20">
        <f>EDATE(C14,228)</f>
        <v/>
      </c>
      <c r="D247" s="21">
        <f>F10</f>
        <v/>
      </c>
      <c r="E247" s="21">
        <f>D247-F247</f>
        <v/>
      </c>
      <c r="F247" s="21">
        <f>H247*C11/C13</f>
        <v/>
      </c>
      <c r="G247" s="22">
        <f>G246-E247</f>
        <v/>
      </c>
      <c r="H247">
        <f>G246</f>
        <v/>
      </c>
    </row>
    <row r="248">
      <c r="B248" s="19">
        <f>229</f>
        <v/>
      </c>
      <c r="C248" s="20">
        <f>EDATE(C14,229)</f>
        <v/>
      </c>
      <c r="D248" s="21">
        <f>F10</f>
        <v/>
      </c>
      <c r="E248" s="21">
        <f>D248-F248</f>
        <v/>
      </c>
      <c r="F248" s="21">
        <f>H248*C11/C13</f>
        <v/>
      </c>
      <c r="G248" s="22">
        <f>G247-E248</f>
        <v/>
      </c>
      <c r="H248">
        <f>G247</f>
        <v/>
      </c>
    </row>
    <row r="249">
      <c r="B249" s="19">
        <f>230</f>
        <v/>
      </c>
      <c r="C249" s="20">
        <f>EDATE(C14,230)</f>
        <v/>
      </c>
      <c r="D249" s="21">
        <f>F10</f>
        <v/>
      </c>
      <c r="E249" s="21">
        <f>D249-F249</f>
        <v/>
      </c>
      <c r="F249" s="21">
        <f>H249*C11/C13</f>
        <v/>
      </c>
      <c r="G249" s="22">
        <f>G248-E249</f>
        <v/>
      </c>
      <c r="H249">
        <f>G248</f>
        <v/>
      </c>
    </row>
    <row r="250">
      <c r="B250" s="19">
        <f>231</f>
        <v/>
      </c>
      <c r="C250" s="20">
        <f>EDATE(C14,231)</f>
        <v/>
      </c>
      <c r="D250" s="21">
        <f>F10</f>
        <v/>
      </c>
      <c r="E250" s="21">
        <f>D250-F250</f>
        <v/>
      </c>
      <c r="F250" s="21">
        <f>H250*C11/C13</f>
        <v/>
      </c>
      <c r="G250" s="22">
        <f>G249-E250</f>
        <v/>
      </c>
      <c r="H250">
        <f>G249</f>
        <v/>
      </c>
    </row>
    <row r="251">
      <c r="B251" s="19">
        <f>232</f>
        <v/>
      </c>
      <c r="C251" s="20">
        <f>EDATE(C14,232)</f>
        <v/>
      </c>
      <c r="D251" s="21">
        <f>F10</f>
        <v/>
      </c>
      <c r="E251" s="21">
        <f>D251-F251</f>
        <v/>
      </c>
      <c r="F251" s="21">
        <f>H251*C11/C13</f>
        <v/>
      </c>
      <c r="G251" s="22">
        <f>G250-E251</f>
        <v/>
      </c>
      <c r="H251">
        <f>G250</f>
        <v/>
      </c>
    </row>
    <row r="252">
      <c r="B252" s="19">
        <f>233</f>
        <v/>
      </c>
      <c r="C252" s="20">
        <f>EDATE(C14,233)</f>
        <v/>
      </c>
      <c r="D252" s="21">
        <f>F10</f>
        <v/>
      </c>
      <c r="E252" s="21">
        <f>D252-F252</f>
        <v/>
      </c>
      <c r="F252" s="21">
        <f>H252*C11/C13</f>
        <v/>
      </c>
      <c r="G252" s="22">
        <f>G251-E252</f>
        <v/>
      </c>
      <c r="H252">
        <f>G251</f>
        <v/>
      </c>
    </row>
    <row r="253">
      <c r="B253" s="19">
        <f>234</f>
        <v/>
      </c>
      <c r="C253" s="20">
        <f>EDATE(C14,234)</f>
        <v/>
      </c>
      <c r="D253" s="21">
        <f>F10</f>
        <v/>
      </c>
      <c r="E253" s="21">
        <f>D253-F253</f>
        <v/>
      </c>
      <c r="F253" s="21">
        <f>H253*C11/C13</f>
        <v/>
      </c>
      <c r="G253" s="22">
        <f>G252-E253</f>
        <v/>
      </c>
      <c r="H253">
        <f>G252</f>
        <v/>
      </c>
    </row>
    <row r="254">
      <c r="B254" s="19">
        <f>235</f>
        <v/>
      </c>
      <c r="C254" s="20">
        <f>EDATE(C14,235)</f>
        <v/>
      </c>
      <c r="D254" s="21">
        <f>F10</f>
        <v/>
      </c>
      <c r="E254" s="21">
        <f>D254-F254</f>
        <v/>
      </c>
      <c r="F254" s="21">
        <f>H254*C11/C13</f>
        <v/>
      </c>
      <c r="G254" s="22">
        <f>G253-E254</f>
        <v/>
      </c>
      <c r="H254">
        <f>G253</f>
        <v/>
      </c>
    </row>
    <row r="255">
      <c r="B255" s="19">
        <f>236</f>
        <v/>
      </c>
      <c r="C255" s="20">
        <f>EDATE(C14,236)</f>
        <v/>
      </c>
      <c r="D255" s="21">
        <f>F10</f>
        <v/>
      </c>
      <c r="E255" s="21">
        <f>D255-F255</f>
        <v/>
      </c>
      <c r="F255" s="21">
        <f>H255*C11/C13</f>
        <v/>
      </c>
      <c r="G255" s="22">
        <f>G254-E255</f>
        <v/>
      </c>
      <c r="H255">
        <f>G254</f>
        <v/>
      </c>
    </row>
    <row r="256">
      <c r="B256" s="19">
        <f>237</f>
        <v/>
      </c>
      <c r="C256" s="20">
        <f>EDATE(C14,237)</f>
        <v/>
      </c>
      <c r="D256" s="21">
        <f>F10</f>
        <v/>
      </c>
      <c r="E256" s="21">
        <f>D256-F256</f>
        <v/>
      </c>
      <c r="F256" s="21">
        <f>H256*C11/C13</f>
        <v/>
      </c>
      <c r="G256" s="22">
        <f>G255-E256</f>
        <v/>
      </c>
      <c r="H256">
        <f>G255</f>
        <v/>
      </c>
    </row>
    <row r="257">
      <c r="B257" s="19">
        <f>238</f>
        <v/>
      </c>
      <c r="C257" s="20">
        <f>EDATE(C14,238)</f>
        <v/>
      </c>
      <c r="D257" s="21">
        <f>F10</f>
        <v/>
      </c>
      <c r="E257" s="21">
        <f>D257-F257</f>
        <v/>
      </c>
      <c r="F257" s="21">
        <f>H257*C11/C13</f>
        <v/>
      </c>
      <c r="G257" s="22">
        <f>G256-E257</f>
        <v/>
      </c>
      <c r="H257">
        <f>G256</f>
        <v/>
      </c>
    </row>
    <row r="258">
      <c r="B258" s="19">
        <f>239</f>
        <v/>
      </c>
      <c r="C258" s="20">
        <f>EDATE(C14,239)</f>
        <v/>
      </c>
      <c r="D258" s="21">
        <f>F10</f>
        <v/>
      </c>
      <c r="E258" s="21">
        <f>D258-F258</f>
        <v/>
      </c>
      <c r="F258" s="21">
        <f>H258*C11/C13</f>
        <v/>
      </c>
      <c r="G258" s="22">
        <f>G257-E258</f>
        <v/>
      </c>
      <c r="H258">
        <f>G257</f>
        <v/>
      </c>
    </row>
    <row r="259">
      <c r="B259" s="19">
        <f>240</f>
        <v/>
      </c>
      <c r="C259" s="20">
        <f>EDATE(C14,240)</f>
        <v/>
      </c>
      <c r="D259" s="21">
        <f>F10</f>
        <v/>
      </c>
      <c r="E259" s="21">
        <f>D259-F259</f>
        <v/>
      </c>
      <c r="F259" s="21">
        <f>H259*C11/C13</f>
        <v/>
      </c>
      <c r="G259" s="22">
        <f>G258-E259</f>
        <v/>
      </c>
      <c r="H259">
        <f>G258</f>
        <v/>
      </c>
    </row>
    <row r="260">
      <c r="B260" s="19">
        <f>241</f>
        <v/>
      </c>
      <c r="C260" s="20">
        <f>EDATE(C14,241)</f>
        <v/>
      </c>
      <c r="D260" s="21">
        <f>F10</f>
        <v/>
      </c>
      <c r="E260" s="21">
        <f>D260-F260</f>
        <v/>
      </c>
      <c r="F260" s="21">
        <f>H260*C11/C13</f>
        <v/>
      </c>
      <c r="G260" s="22">
        <f>G259-E260</f>
        <v/>
      </c>
      <c r="H260">
        <f>G259</f>
        <v/>
      </c>
    </row>
    <row r="261">
      <c r="B261" s="19">
        <f>242</f>
        <v/>
      </c>
      <c r="C261" s="20">
        <f>EDATE(C14,242)</f>
        <v/>
      </c>
      <c r="D261" s="21">
        <f>F10</f>
        <v/>
      </c>
      <c r="E261" s="21">
        <f>D261-F261</f>
        <v/>
      </c>
      <c r="F261" s="21">
        <f>H261*C11/C13</f>
        <v/>
      </c>
      <c r="G261" s="22">
        <f>G260-E261</f>
        <v/>
      </c>
      <c r="H261">
        <f>G260</f>
        <v/>
      </c>
    </row>
    <row r="262">
      <c r="B262" s="19">
        <f>243</f>
        <v/>
      </c>
      <c r="C262" s="20">
        <f>EDATE(C14,243)</f>
        <v/>
      </c>
      <c r="D262" s="21">
        <f>F10</f>
        <v/>
      </c>
      <c r="E262" s="21">
        <f>D262-F262</f>
        <v/>
      </c>
      <c r="F262" s="21">
        <f>H262*C11/C13</f>
        <v/>
      </c>
      <c r="G262" s="22">
        <f>G261-E262</f>
        <v/>
      </c>
      <c r="H262">
        <f>G261</f>
        <v/>
      </c>
    </row>
    <row r="263">
      <c r="B263" s="19">
        <f>244</f>
        <v/>
      </c>
      <c r="C263" s="20">
        <f>EDATE(C14,244)</f>
        <v/>
      </c>
      <c r="D263" s="21">
        <f>F10</f>
        <v/>
      </c>
      <c r="E263" s="21">
        <f>D263-F263</f>
        <v/>
      </c>
      <c r="F263" s="21">
        <f>H263*C11/C13</f>
        <v/>
      </c>
      <c r="G263" s="22">
        <f>G262-E263</f>
        <v/>
      </c>
      <c r="H263">
        <f>G262</f>
        <v/>
      </c>
    </row>
    <row r="264">
      <c r="B264" s="19">
        <f>245</f>
        <v/>
      </c>
      <c r="C264" s="20">
        <f>EDATE(C14,245)</f>
        <v/>
      </c>
      <c r="D264" s="21">
        <f>F10</f>
        <v/>
      </c>
      <c r="E264" s="21">
        <f>D264-F264</f>
        <v/>
      </c>
      <c r="F264" s="21">
        <f>H264*C11/C13</f>
        <v/>
      </c>
      <c r="G264" s="22">
        <f>G263-E264</f>
        <v/>
      </c>
      <c r="H264">
        <f>G263</f>
        <v/>
      </c>
    </row>
    <row r="265">
      <c r="B265" s="19">
        <f>246</f>
        <v/>
      </c>
      <c r="C265" s="20">
        <f>EDATE(C14,246)</f>
        <v/>
      </c>
      <c r="D265" s="21">
        <f>F10</f>
        <v/>
      </c>
      <c r="E265" s="21">
        <f>D265-F265</f>
        <v/>
      </c>
      <c r="F265" s="21">
        <f>H265*C11/C13</f>
        <v/>
      </c>
      <c r="G265" s="22">
        <f>G264-E265</f>
        <v/>
      </c>
      <c r="H265">
        <f>G264</f>
        <v/>
      </c>
    </row>
    <row r="266">
      <c r="B266" s="19">
        <f>247</f>
        <v/>
      </c>
      <c r="C266" s="20">
        <f>EDATE(C14,247)</f>
        <v/>
      </c>
      <c r="D266" s="21">
        <f>F10</f>
        <v/>
      </c>
      <c r="E266" s="21">
        <f>D266-F266</f>
        <v/>
      </c>
      <c r="F266" s="21">
        <f>H266*C11/C13</f>
        <v/>
      </c>
      <c r="G266" s="22">
        <f>G265-E266</f>
        <v/>
      </c>
      <c r="H266">
        <f>G265</f>
        <v/>
      </c>
    </row>
    <row r="267">
      <c r="B267" s="19">
        <f>248</f>
        <v/>
      </c>
      <c r="C267" s="20">
        <f>EDATE(C14,248)</f>
        <v/>
      </c>
      <c r="D267" s="21">
        <f>F10</f>
        <v/>
      </c>
      <c r="E267" s="21">
        <f>D267-F267</f>
        <v/>
      </c>
      <c r="F267" s="21">
        <f>H267*C11/C13</f>
        <v/>
      </c>
      <c r="G267" s="22">
        <f>G266-E267</f>
        <v/>
      </c>
      <c r="H267">
        <f>G266</f>
        <v/>
      </c>
    </row>
    <row r="268">
      <c r="B268" s="19">
        <f>249</f>
        <v/>
      </c>
      <c r="C268" s="20">
        <f>EDATE(C14,249)</f>
        <v/>
      </c>
      <c r="D268" s="21">
        <f>F10</f>
        <v/>
      </c>
      <c r="E268" s="21">
        <f>D268-F268</f>
        <v/>
      </c>
      <c r="F268" s="21">
        <f>H268*C11/C13</f>
        <v/>
      </c>
      <c r="G268" s="22">
        <f>G267-E268</f>
        <v/>
      </c>
      <c r="H268">
        <f>G267</f>
        <v/>
      </c>
    </row>
    <row r="269">
      <c r="B269" s="19">
        <f>250</f>
        <v/>
      </c>
      <c r="C269" s="20">
        <f>EDATE(C14,250)</f>
        <v/>
      </c>
      <c r="D269" s="21">
        <f>F10</f>
        <v/>
      </c>
      <c r="E269" s="21">
        <f>D269-F269</f>
        <v/>
      </c>
      <c r="F269" s="21">
        <f>H269*C11/C13</f>
        <v/>
      </c>
      <c r="G269" s="22">
        <f>G268-E269</f>
        <v/>
      </c>
      <c r="H269">
        <f>G268</f>
        <v/>
      </c>
    </row>
    <row r="270">
      <c r="B270" s="19">
        <f>251</f>
        <v/>
      </c>
      <c r="C270" s="20">
        <f>EDATE(C14,251)</f>
        <v/>
      </c>
      <c r="D270" s="21">
        <f>F10</f>
        <v/>
      </c>
      <c r="E270" s="21">
        <f>D270-F270</f>
        <v/>
      </c>
      <c r="F270" s="21">
        <f>H270*C11/C13</f>
        <v/>
      </c>
      <c r="G270" s="22">
        <f>G269-E270</f>
        <v/>
      </c>
      <c r="H270">
        <f>G269</f>
        <v/>
      </c>
    </row>
    <row r="271">
      <c r="B271" s="19">
        <f>252</f>
        <v/>
      </c>
      <c r="C271" s="20">
        <f>EDATE(C14,252)</f>
        <v/>
      </c>
      <c r="D271" s="21">
        <f>F10</f>
        <v/>
      </c>
      <c r="E271" s="21">
        <f>D271-F271</f>
        <v/>
      </c>
      <c r="F271" s="21">
        <f>H271*C11/C13</f>
        <v/>
      </c>
      <c r="G271" s="22">
        <f>G270-E271</f>
        <v/>
      </c>
      <c r="H271">
        <f>G270</f>
        <v/>
      </c>
    </row>
    <row r="272">
      <c r="B272" s="19">
        <f>253</f>
        <v/>
      </c>
      <c r="C272" s="20">
        <f>EDATE(C14,253)</f>
        <v/>
      </c>
      <c r="D272" s="21">
        <f>F10</f>
        <v/>
      </c>
      <c r="E272" s="21">
        <f>D272-F272</f>
        <v/>
      </c>
      <c r="F272" s="21">
        <f>H272*C11/C13</f>
        <v/>
      </c>
      <c r="G272" s="22">
        <f>G271-E272</f>
        <v/>
      </c>
      <c r="H272">
        <f>G271</f>
        <v/>
      </c>
    </row>
    <row r="273">
      <c r="B273" s="19">
        <f>254</f>
        <v/>
      </c>
      <c r="C273" s="20">
        <f>EDATE(C14,254)</f>
        <v/>
      </c>
      <c r="D273" s="21">
        <f>F10</f>
        <v/>
      </c>
      <c r="E273" s="21">
        <f>D273-F273</f>
        <v/>
      </c>
      <c r="F273" s="21">
        <f>H273*C11/C13</f>
        <v/>
      </c>
      <c r="G273" s="22">
        <f>G272-E273</f>
        <v/>
      </c>
      <c r="H273">
        <f>G272</f>
        <v/>
      </c>
    </row>
    <row r="274">
      <c r="B274" s="19">
        <f>255</f>
        <v/>
      </c>
      <c r="C274" s="20">
        <f>EDATE(C14,255)</f>
        <v/>
      </c>
      <c r="D274" s="21">
        <f>F10</f>
        <v/>
      </c>
      <c r="E274" s="21">
        <f>D274-F274</f>
        <v/>
      </c>
      <c r="F274" s="21">
        <f>H274*C11/C13</f>
        <v/>
      </c>
      <c r="G274" s="22">
        <f>G273-E274</f>
        <v/>
      </c>
      <c r="H274">
        <f>G273</f>
        <v/>
      </c>
    </row>
    <row r="275">
      <c r="B275" s="19">
        <f>256</f>
        <v/>
      </c>
      <c r="C275" s="20">
        <f>EDATE(C14,256)</f>
        <v/>
      </c>
      <c r="D275" s="21">
        <f>F10</f>
        <v/>
      </c>
      <c r="E275" s="21">
        <f>D275-F275</f>
        <v/>
      </c>
      <c r="F275" s="21">
        <f>H275*C11/C13</f>
        <v/>
      </c>
      <c r="G275" s="22">
        <f>G274-E275</f>
        <v/>
      </c>
      <c r="H275">
        <f>G274</f>
        <v/>
      </c>
    </row>
    <row r="276">
      <c r="B276" s="19">
        <f>257</f>
        <v/>
      </c>
      <c r="C276" s="20">
        <f>EDATE(C14,257)</f>
        <v/>
      </c>
      <c r="D276" s="21">
        <f>F10</f>
        <v/>
      </c>
      <c r="E276" s="21">
        <f>D276-F276</f>
        <v/>
      </c>
      <c r="F276" s="21">
        <f>H276*C11/C13</f>
        <v/>
      </c>
      <c r="G276" s="22">
        <f>G275-E276</f>
        <v/>
      </c>
      <c r="H276">
        <f>G275</f>
        <v/>
      </c>
    </row>
    <row r="277">
      <c r="B277" s="19">
        <f>258</f>
        <v/>
      </c>
      <c r="C277" s="20">
        <f>EDATE(C14,258)</f>
        <v/>
      </c>
      <c r="D277" s="21">
        <f>F10</f>
        <v/>
      </c>
      <c r="E277" s="21">
        <f>D277-F277</f>
        <v/>
      </c>
      <c r="F277" s="21">
        <f>H277*C11/C13</f>
        <v/>
      </c>
      <c r="G277" s="22">
        <f>G276-E277</f>
        <v/>
      </c>
      <c r="H277">
        <f>G276</f>
        <v/>
      </c>
    </row>
    <row r="278">
      <c r="B278" s="19">
        <f>259</f>
        <v/>
      </c>
      <c r="C278" s="20">
        <f>EDATE(C14,259)</f>
        <v/>
      </c>
      <c r="D278" s="21">
        <f>F10</f>
        <v/>
      </c>
      <c r="E278" s="21">
        <f>D278-F278</f>
        <v/>
      </c>
      <c r="F278" s="21">
        <f>H278*C11/C13</f>
        <v/>
      </c>
      <c r="G278" s="22">
        <f>G277-E278</f>
        <v/>
      </c>
      <c r="H278">
        <f>G277</f>
        <v/>
      </c>
    </row>
    <row r="279">
      <c r="B279" s="19">
        <f>260</f>
        <v/>
      </c>
      <c r="C279" s="20">
        <f>EDATE(C14,260)</f>
        <v/>
      </c>
      <c r="D279" s="21">
        <f>F10</f>
        <v/>
      </c>
      <c r="E279" s="21">
        <f>D279-F279</f>
        <v/>
      </c>
      <c r="F279" s="21">
        <f>H279*C11/C13</f>
        <v/>
      </c>
      <c r="G279" s="22">
        <f>G278-E279</f>
        <v/>
      </c>
      <c r="H279">
        <f>G278</f>
        <v/>
      </c>
    </row>
    <row r="280">
      <c r="B280" s="19">
        <f>261</f>
        <v/>
      </c>
      <c r="C280" s="20">
        <f>EDATE(C14,261)</f>
        <v/>
      </c>
      <c r="D280" s="21">
        <f>F10</f>
        <v/>
      </c>
      <c r="E280" s="21">
        <f>D280-F280</f>
        <v/>
      </c>
      <c r="F280" s="21">
        <f>H280*C11/C13</f>
        <v/>
      </c>
      <c r="G280" s="22">
        <f>G279-E280</f>
        <v/>
      </c>
      <c r="H280">
        <f>G279</f>
        <v/>
      </c>
    </row>
    <row r="281">
      <c r="B281" s="19">
        <f>262</f>
        <v/>
      </c>
      <c r="C281" s="20">
        <f>EDATE(C14,262)</f>
        <v/>
      </c>
      <c r="D281" s="21">
        <f>F10</f>
        <v/>
      </c>
      <c r="E281" s="21">
        <f>D281-F281</f>
        <v/>
      </c>
      <c r="F281" s="21">
        <f>H281*C11/C13</f>
        <v/>
      </c>
      <c r="G281" s="22">
        <f>G280-E281</f>
        <v/>
      </c>
      <c r="H281">
        <f>G280</f>
        <v/>
      </c>
    </row>
    <row r="282">
      <c r="B282" s="19">
        <f>263</f>
        <v/>
      </c>
      <c r="C282" s="20">
        <f>EDATE(C14,263)</f>
        <v/>
      </c>
      <c r="D282" s="21">
        <f>F10</f>
        <v/>
      </c>
      <c r="E282" s="21">
        <f>D282-F282</f>
        <v/>
      </c>
      <c r="F282" s="21">
        <f>H282*C11/C13</f>
        <v/>
      </c>
      <c r="G282" s="22">
        <f>G281-E282</f>
        <v/>
      </c>
      <c r="H282">
        <f>G281</f>
        <v/>
      </c>
    </row>
    <row r="283">
      <c r="B283" s="19">
        <f>264</f>
        <v/>
      </c>
      <c r="C283" s="20">
        <f>EDATE(C14,264)</f>
        <v/>
      </c>
      <c r="D283" s="21">
        <f>F10</f>
        <v/>
      </c>
      <c r="E283" s="21">
        <f>D283-F283</f>
        <v/>
      </c>
      <c r="F283" s="21">
        <f>H283*C11/C13</f>
        <v/>
      </c>
      <c r="G283" s="22">
        <f>G282-E283</f>
        <v/>
      </c>
      <c r="H283">
        <f>G282</f>
        <v/>
      </c>
    </row>
    <row r="284">
      <c r="B284" s="19">
        <f>265</f>
        <v/>
      </c>
      <c r="C284" s="20">
        <f>EDATE(C14,265)</f>
        <v/>
      </c>
      <c r="D284" s="21">
        <f>F10</f>
        <v/>
      </c>
      <c r="E284" s="21">
        <f>D284-F284</f>
        <v/>
      </c>
      <c r="F284" s="21">
        <f>H284*C11/C13</f>
        <v/>
      </c>
      <c r="G284" s="22">
        <f>G283-E284</f>
        <v/>
      </c>
      <c r="H284">
        <f>G283</f>
        <v/>
      </c>
    </row>
    <row r="285">
      <c r="B285" s="19">
        <f>266</f>
        <v/>
      </c>
      <c r="C285" s="20">
        <f>EDATE(C14,266)</f>
        <v/>
      </c>
      <c r="D285" s="21">
        <f>F10</f>
        <v/>
      </c>
      <c r="E285" s="21">
        <f>D285-F285</f>
        <v/>
      </c>
      <c r="F285" s="21">
        <f>H285*C11/C13</f>
        <v/>
      </c>
      <c r="G285" s="22">
        <f>G284-E285</f>
        <v/>
      </c>
      <c r="H285">
        <f>G284</f>
        <v/>
      </c>
    </row>
    <row r="286">
      <c r="B286" s="19">
        <f>267</f>
        <v/>
      </c>
      <c r="C286" s="20">
        <f>EDATE(C14,267)</f>
        <v/>
      </c>
      <c r="D286" s="21">
        <f>F10</f>
        <v/>
      </c>
      <c r="E286" s="21">
        <f>D286-F286</f>
        <v/>
      </c>
      <c r="F286" s="21">
        <f>H286*C11/C13</f>
        <v/>
      </c>
      <c r="G286" s="22">
        <f>G285-E286</f>
        <v/>
      </c>
      <c r="H286">
        <f>G285</f>
        <v/>
      </c>
    </row>
    <row r="287">
      <c r="B287" s="19">
        <f>268</f>
        <v/>
      </c>
      <c r="C287" s="20">
        <f>EDATE(C14,268)</f>
        <v/>
      </c>
      <c r="D287" s="21">
        <f>F10</f>
        <v/>
      </c>
      <c r="E287" s="21">
        <f>D287-F287</f>
        <v/>
      </c>
      <c r="F287" s="21">
        <f>H287*C11/C13</f>
        <v/>
      </c>
      <c r="G287" s="22">
        <f>G286-E287</f>
        <v/>
      </c>
      <c r="H287">
        <f>G286</f>
        <v/>
      </c>
    </row>
    <row r="288">
      <c r="B288" s="19">
        <f>269</f>
        <v/>
      </c>
      <c r="C288" s="20">
        <f>EDATE(C14,269)</f>
        <v/>
      </c>
      <c r="D288" s="21">
        <f>F10</f>
        <v/>
      </c>
      <c r="E288" s="21">
        <f>D288-F288</f>
        <v/>
      </c>
      <c r="F288" s="21">
        <f>H288*C11/C13</f>
        <v/>
      </c>
      <c r="G288" s="22">
        <f>G287-E288</f>
        <v/>
      </c>
      <c r="H288">
        <f>G287</f>
        <v/>
      </c>
    </row>
    <row r="289">
      <c r="B289" s="19">
        <f>270</f>
        <v/>
      </c>
      <c r="C289" s="20">
        <f>EDATE(C14,270)</f>
        <v/>
      </c>
      <c r="D289" s="21">
        <f>F10</f>
        <v/>
      </c>
      <c r="E289" s="21">
        <f>D289-F289</f>
        <v/>
      </c>
      <c r="F289" s="21">
        <f>H289*C11/C13</f>
        <v/>
      </c>
      <c r="G289" s="22">
        <f>G288-E289</f>
        <v/>
      </c>
      <c r="H289">
        <f>G288</f>
        <v/>
      </c>
    </row>
    <row r="290">
      <c r="B290" s="19">
        <f>271</f>
        <v/>
      </c>
      <c r="C290" s="20">
        <f>EDATE(C14,271)</f>
        <v/>
      </c>
      <c r="D290" s="21">
        <f>F10</f>
        <v/>
      </c>
      <c r="E290" s="21">
        <f>D290-F290</f>
        <v/>
      </c>
      <c r="F290" s="21">
        <f>H290*C11/C13</f>
        <v/>
      </c>
      <c r="G290" s="22">
        <f>G289-E290</f>
        <v/>
      </c>
      <c r="H290">
        <f>G289</f>
        <v/>
      </c>
    </row>
    <row r="291">
      <c r="B291" s="19">
        <f>272</f>
        <v/>
      </c>
      <c r="C291" s="20">
        <f>EDATE(C14,272)</f>
        <v/>
      </c>
      <c r="D291" s="21">
        <f>F10</f>
        <v/>
      </c>
      <c r="E291" s="21">
        <f>D291-F291</f>
        <v/>
      </c>
      <c r="F291" s="21">
        <f>H291*C11/C13</f>
        <v/>
      </c>
      <c r="G291" s="22">
        <f>G290-E291</f>
        <v/>
      </c>
      <c r="H291">
        <f>G290</f>
        <v/>
      </c>
    </row>
    <row r="292">
      <c r="B292" s="19">
        <f>273</f>
        <v/>
      </c>
      <c r="C292" s="20">
        <f>EDATE(C14,273)</f>
        <v/>
      </c>
      <c r="D292" s="21">
        <f>F10</f>
        <v/>
      </c>
      <c r="E292" s="21">
        <f>D292-F292</f>
        <v/>
      </c>
      <c r="F292" s="21">
        <f>H292*C11/C13</f>
        <v/>
      </c>
      <c r="G292" s="22">
        <f>G291-E292</f>
        <v/>
      </c>
      <c r="H292">
        <f>G291</f>
        <v/>
      </c>
    </row>
    <row r="293">
      <c r="B293" s="19">
        <f>274</f>
        <v/>
      </c>
      <c r="C293" s="20">
        <f>EDATE(C14,274)</f>
        <v/>
      </c>
      <c r="D293" s="21">
        <f>F10</f>
        <v/>
      </c>
      <c r="E293" s="21">
        <f>D293-F293</f>
        <v/>
      </c>
      <c r="F293" s="21">
        <f>H293*C11/C13</f>
        <v/>
      </c>
      <c r="G293" s="22">
        <f>G292-E293</f>
        <v/>
      </c>
      <c r="H293">
        <f>G292</f>
        <v/>
      </c>
    </row>
    <row r="294">
      <c r="B294" s="19">
        <f>275</f>
        <v/>
      </c>
      <c r="C294" s="20">
        <f>EDATE(C14,275)</f>
        <v/>
      </c>
      <c r="D294" s="21">
        <f>F10</f>
        <v/>
      </c>
      <c r="E294" s="21">
        <f>D294-F294</f>
        <v/>
      </c>
      <c r="F294" s="21">
        <f>H294*C11/C13</f>
        <v/>
      </c>
      <c r="G294" s="22">
        <f>G293-E294</f>
        <v/>
      </c>
      <c r="H294">
        <f>G293</f>
        <v/>
      </c>
    </row>
    <row r="295">
      <c r="B295" s="19">
        <f>276</f>
        <v/>
      </c>
      <c r="C295" s="20">
        <f>EDATE(C14,276)</f>
        <v/>
      </c>
      <c r="D295" s="21">
        <f>F10</f>
        <v/>
      </c>
      <c r="E295" s="21">
        <f>D295-F295</f>
        <v/>
      </c>
      <c r="F295" s="21">
        <f>H295*C11/C13</f>
        <v/>
      </c>
      <c r="G295" s="22">
        <f>G294-E295</f>
        <v/>
      </c>
      <c r="H295">
        <f>G294</f>
        <v/>
      </c>
    </row>
    <row r="296">
      <c r="B296" s="19">
        <f>277</f>
        <v/>
      </c>
      <c r="C296" s="20">
        <f>EDATE(C14,277)</f>
        <v/>
      </c>
      <c r="D296" s="21">
        <f>F10</f>
        <v/>
      </c>
      <c r="E296" s="21">
        <f>D296-F296</f>
        <v/>
      </c>
      <c r="F296" s="21">
        <f>H296*C11/C13</f>
        <v/>
      </c>
      <c r="G296" s="22">
        <f>G295-E296</f>
        <v/>
      </c>
      <c r="H296">
        <f>G295</f>
        <v/>
      </c>
    </row>
    <row r="297">
      <c r="B297" s="19">
        <f>278</f>
        <v/>
      </c>
      <c r="C297" s="20">
        <f>EDATE(C14,278)</f>
        <v/>
      </c>
      <c r="D297" s="21">
        <f>F10</f>
        <v/>
      </c>
      <c r="E297" s="21">
        <f>D297-F297</f>
        <v/>
      </c>
      <c r="F297" s="21">
        <f>H297*C11/C13</f>
        <v/>
      </c>
      <c r="G297" s="22">
        <f>G296-E297</f>
        <v/>
      </c>
      <c r="H297">
        <f>G296</f>
        <v/>
      </c>
    </row>
    <row r="298">
      <c r="B298" s="19">
        <f>279</f>
        <v/>
      </c>
      <c r="C298" s="20">
        <f>EDATE(C14,279)</f>
        <v/>
      </c>
      <c r="D298" s="21">
        <f>F10</f>
        <v/>
      </c>
      <c r="E298" s="21">
        <f>D298-F298</f>
        <v/>
      </c>
      <c r="F298" s="21">
        <f>H298*C11/C13</f>
        <v/>
      </c>
      <c r="G298" s="22">
        <f>G297-E298</f>
        <v/>
      </c>
      <c r="H298">
        <f>G297</f>
        <v/>
      </c>
    </row>
    <row r="299">
      <c r="B299" s="19">
        <f>280</f>
        <v/>
      </c>
      <c r="C299" s="20">
        <f>EDATE(C14,280)</f>
        <v/>
      </c>
      <c r="D299" s="21">
        <f>F10</f>
        <v/>
      </c>
      <c r="E299" s="21">
        <f>D299-F299</f>
        <v/>
      </c>
      <c r="F299" s="21">
        <f>H299*C11/C13</f>
        <v/>
      </c>
      <c r="G299" s="22">
        <f>G298-E299</f>
        <v/>
      </c>
      <c r="H299">
        <f>G298</f>
        <v/>
      </c>
    </row>
    <row r="300">
      <c r="B300" s="19">
        <f>281</f>
        <v/>
      </c>
      <c r="C300" s="20">
        <f>EDATE(C14,281)</f>
        <v/>
      </c>
      <c r="D300" s="21">
        <f>F10</f>
        <v/>
      </c>
      <c r="E300" s="21">
        <f>D300-F300</f>
        <v/>
      </c>
      <c r="F300" s="21">
        <f>H300*C11/C13</f>
        <v/>
      </c>
      <c r="G300" s="22">
        <f>G299-E300</f>
        <v/>
      </c>
      <c r="H300">
        <f>G299</f>
        <v/>
      </c>
    </row>
    <row r="301">
      <c r="B301" s="19">
        <f>282</f>
        <v/>
      </c>
      <c r="C301" s="20">
        <f>EDATE(C14,282)</f>
        <v/>
      </c>
      <c r="D301" s="21">
        <f>F10</f>
        <v/>
      </c>
      <c r="E301" s="21">
        <f>D301-F301</f>
        <v/>
      </c>
      <c r="F301" s="21">
        <f>H301*C11/C13</f>
        <v/>
      </c>
      <c r="G301" s="22">
        <f>G300-E301</f>
        <v/>
      </c>
      <c r="H301">
        <f>G300</f>
        <v/>
      </c>
    </row>
    <row r="302">
      <c r="B302" s="19">
        <f>283</f>
        <v/>
      </c>
      <c r="C302" s="20">
        <f>EDATE(C14,283)</f>
        <v/>
      </c>
      <c r="D302" s="21">
        <f>F10</f>
        <v/>
      </c>
      <c r="E302" s="21">
        <f>D302-F302</f>
        <v/>
      </c>
      <c r="F302" s="21">
        <f>H302*C11/C13</f>
        <v/>
      </c>
      <c r="G302" s="22">
        <f>G301-E302</f>
        <v/>
      </c>
      <c r="H302">
        <f>G301</f>
        <v/>
      </c>
    </row>
    <row r="303">
      <c r="B303" s="19">
        <f>284</f>
        <v/>
      </c>
      <c r="C303" s="20">
        <f>EDATE(C14,284)</f>
        <v/>
      </c>
      <c r="D303" s="21">
        <f>F10</f>
        <v/>
      </c>
      <c r="E303" s="21">
        <f>D303-F303</f>
        <v/>
      </c>
      <c r="F303" s="21">
        <f>H303*C11/C13</f>
        <v/>
      </c>
      <c r="G303" s="22">
        <f>G302-E303</f>
        <v/>
      </c>
      <c r="H303">
        <f>G302</f>
        <v/>
      </c>
    </row>
    <row r="304">
      <c r="B304" s="19">
        <f>285</f>
        <v/>
      </c>
      <c r="C304" s="20">
        <f>EDATE(C14,285)</f>
        <v/>
      </c>
      <c r="D304" s="21">
        <f>F10</f>
        <v/>
      </c>
      <c r="E304" s="21">
        <f>D304-F304</f>
        <v/>
      </c>
      <c r="F304" s="21">
        <f>H304*C11/C13</f>
        <v/>
      </c>
      <c r="G304" s="22">
        <f>G303-E304</f>
        <v/>
      </c>
      <c r="H304">
        <f>G303</f>
        <v/>
      </c>
    </row>
    <row r="305">
      <c r="B305" s="19">
        <f>286</f>
        <v/>
      </c>
      <c r="C305" s="20">
        <f>EDATE(C14,286)</f>
        <v/>
      </c>
      <c r="D305" s="21">
        <f>F10</f>
        <v/>
      </c>
      <c r="E305" s="21">
        <f>D305-F305</f>
        <v/>
      </c>
      <c r="F305" s="21">
        <f>H305*C11/C13</f>
        <v/>
      </c>
      <c r="G305" s="22">
        <f>G304-E305</f>
        <v/>
      </c>
      <c r="H305">
        <f>G304</f>
        <v/>
      </c>
    </row>
    <row r="306">
      <c r="B306" s="19">
        <f>287</f>
        <v/>
      </c>
      <c r="C306" s="20">
        <f>EDATE(C14,287)</f>
        <v/>
      </c>
      <c r="D306" s="21">
        <f>F10</f>
        <v/>
      </c>
      <c r="E306" s="21">
        <f>D306-F306</f>
        <v/>
      </c>
      <c r="F306" s="21">
        <f>H306*C11/C13</f>
        <v/>
      </c>
      <c r="G306" s="22">
        <f>G305-E306</f>
        <v/>
      </c>
      <c r="H306">
        <f>G305</f>
        <v/>
      </c>
    </row>
    <row r="307">
      <c r="B307" s="19">
        <f>288</f>
        <v/>
      </c>
      <c r="C307" s="20">
        <f>EDATE(C14,288)</f>
        <v/>
      </c>
      <c r="D307" s="21">
        <f>F10</f>
        <v/>
      </c>
      <c r="E307" s="21">
        <f>D307-F307</f>
        <v/>
      </c>
      <c r="F307" s="21">
        <f>H307*C11/C13</f>
        <v/>
      </c>
      <c r="G307" s="22">
        <f>G306-E307</f>
        <v/>
      </c>
      <c r="H307">
        <f>G306</f>
        <v/>
      </c>
    </row>
    <row r="308">
      <c r="B308" s="19">
        <f>289</f>
        <v/>
      </c>
      <c r="C308" s="20">
        <f>EDATE(C14,289)</f>
        <v/>
      </c>
      <c r="D308" s="21">
        <f>F10</f>
        <v/>
      </c>
      <c r="E308" s="21">
        <f>D308-F308</f>
        <v/>
      </c>
      <c r="F308" s="21">
        <f>H308*C11/C13</f>
        <v/>
      </c>
      <c r="G308" s="22">
        <f>G307-E308</f>
        <v/>
      </c>
      <c r="H308">
        <f>G307</f>
        <v/>
      </c>
    </row>
    <row r="309">
      <c r="B309" s="19">
        <f>290</f>
        <v/>
      </c>
      <c r="C309" s="20">
        <f>EDATE(C14,290)</f>
        <v/>
      </c>
      <c r="D309" s="21">
        <f>F10</f>
        <v/>
      </c>
      <c r="E309" s="21">
        <f>D309-F309</f>
        <v/>
      </c>
      <c r="F309" s="21">
        <f>H309*C11/C13</f>
        <v/>
      </c>
      <c r="G309" s="22">
        <f>G308-E309</f>
        <v/>
      </c>
      <c r="H309">
        <f>G308</f>
        <v/>
      </c>
    </row>
    <row r="310">
      <c r="B310" s="19">
        <f>291</f>
        <v/>
      </c>
      <c r="C310" s="20">
        <f>EDATE(C14,291)</f>
        <v/>
      </c>
      <c r="D310" s="21">
        <f>F10</f>
        <v/>
      </c>
      <c r="E310" s="21">
        <f>D310-F310</f>
        <v/>
      </c>
      <c r="F310" s="21">
        <f>H310*C11/C13</f>
        <v/>
      </c>
      <c r="G310" s="22">
        <f>G309-E310</f>
        <v/>
      </c>
      <c r="H310">
        <f>G309</f>
        <v/>
      </c>
    </row>
    <row r="311">
      <c r="B311" s="19">
        <f>292</f>
        <v/>
      </c>
      <c r="C311" s="20">
        <f>EDATE(C14,292)</f>
        <v/>
      </c>
      <c r="D311" s="21">
        <f>F10</f>
        <v/>
      </c>
      <c r="E311" s="21">
        <f>D311-F311</f>
        <v/>
      </c>
      <c r="F311" s="21">
        <f>H311*C11/C13</f>
        <v/>
      </c>
      <c r="G311" s="22">
        <f>G310-E311</f>
        <v/>
      </c>
      <c r="H311">
        <f>G310</f>
        <v/>
      </c>
    </row>
    <row r="312">
      <c r="B312" s="19">
        <f>293</f>
        <v/>
      </c>
      <c r="C312" s="20">
        <f>EDATE(C14,293)</f>
        <v/>
      </c>
      <c r="D312" s="21">
        <f>F10</f>
        <v/>
      </c>
      <c r="E312" s="21">
        <f>D312-F312</f>
        <v/>
      </c>
      <c r="F312" s="21">
        <f>H312*C11/C13</f>
        <v/>
      </c>
      <c r="G312" s="22">
        <f>G311-E312</f>
        <v/>
      </c>
      <c r="H312">
        <f>G311</f>
        <v/>
      </c>
    </row>
    <row r="313">
      <c r="B313" s="19">
        <f>294</f>
        <v/>
      </c>
      <c r="C313" s="20">
        <f>EDATE(C14,294)</f>
        <v/>
      </c>
      <c r="D313" s="21">
        <f>F10</f>
        <v/>
      </c>
      <c r="E313" s="21">
        <f>D313-F313</f>
        <v/>
      </c>
      <c r="F313" s="21">
        <f>H313*C11/C13</f>
        <v/>
      </c>
      <c r="G313" s="22">
        <f>G312-E313</f>
        <v/>
      </c>
      <c r="H313">
        <f>G312</f>
        <v/>
      </c>
    </row>
    <row r="314">
      <c r="B314" s="19">
        <f>295</f>
        <v/>
      </c>
      <c r="C314" s="20">
        <f>EDATE(C14,295)</f>
        <v/>
      </c>
      <c r="D314" s="21">
        <f>F10</f>
        <v/>
      </c>
      <c r="E314" s="21">
        <f>D314-F314</f>
        <v/>
      </c>
      <c r="F314" s="21">
        <f>H314*C11/C13</f>
        <v/>
      </c>
      <c r="G314" s="22">
        <f>G313-E314</f>
        <v/>
      </c>
      <c r="H314">
        <f>G313</f>
        <v/>
      </c>
    </row>
    <row r="315">
      <c r="B315" s="19">
        <f>296</f>
        <v/>
      </c>
      <c r="C315" s="20">
        <f>EDATE(C14,296)</f>
        <v/>
      </c>
      <c r="D315" s="21">
        <f>F10</f>
        <v/>
      </c>
      <c r="E315" s="21">
        <f>D315-F315</f>
        <v/>
      </c>
      <c r="F315" s="21">
        <f>H315*C11/C13</f>
        <v/>
      </c>
      <c r="G315" s="22">
        <f>G314-E315</f>
        <v/>
      </c>
      <c r="H315">
        <f>G314</f>
        <v/>
      </c>
    </row>
    <row r="316">
      <c r="B316" s="19">
        <f>297</f>
        <v/>
      </c>
      <c r="C316" s="20">
        <f>EDATE(C14,297)</f>
        <v/>
      </c>
      <c r="D316" s="21">
        <f>F10</f>
        <v/>
      </c>
      <c r="E316" s="21">
        <f>D316-F316</f>
        <v/>
      </c>
      <c r="F316" s="21">
        <f>H316*C11/C13</f>
        <v/>
      </c>
      <c r="G316" s="22">
        <f>G315-E316</f>
        <v/>
      </c>
      <c r="H316">
        <f>G315</f>
        <v/>
      </c>
    </row>
    <row r="317">
      <c r="B317" s="19">
        <f>298</f>
        <v/>
      </c>
      <c r="C317" s="20">
        <f>EDATE(C14,298)</f>
        <v/>
      </c>
      <c r="D317" s="21">
        <f>F10</f>
        <v/>
      </c>
      <c r="E317" s="21">
        <f>D317-F317</f>
        <v/>
      </c>
      <c r="F317" s="21">
        <f>H317*C11/C13</f>
        <v/>
      </c>
      <c r="G317" s="22">
        <f>G316-E317</f>
        <v/>
      </c>
      <c r="H317">
        <f>G316</f>
        <v/>
      </c>
    </row>
    <row r="318">
      <c r="B318" s="19">
        <f>299</f>
        <v/>
      </c>
      <c r="C318" s="20">
        <f>EDATE(C14,299)</f>
        <v/>
      </c>
      <c r="D318" s="21">
        <f>F10</f>
        <v/>
      </c>
      <c r="E318" s="21">
        <f>D318-F318</f>
        <v/>
      </c>
      <c r="F318" s="21">
        <f>H318*C11/C13</f>
        <v/>
      </c>
      <c r="G318" s="22">
        <f>G317-E318</f>
        <v/>
      </c>
      <c r="H318">
        <f>G317</f>
        <v/>
      </c>
    </row>
    <row r="319">
      <c r="B319" s="19">
        <f>300</f>
        <v/>
      </c>
      <c r="C319" s="20">
        <f>EDATE(C14,300)</f>
        <v/>
      </c>
      <c r="D319" s="21">
        <f>F10</f>
        <v/>
      </c>
      <c r="E319" s="21">
        <f>D319-F319</f>
        <v/>
      </c>
      <c r="F319" s="21">
        <f>H319*C11/C13</f>
        <v/>
      </c>
      <c r="G319" s="22">
        <f>G318-E319</f>
        <v/>
      </c>
      <c r="H319">
        <f>G318</f>
        <v/>
      </c>
    </row>
    <row r="320">
      <c r="B320" s="19">
        <f>301</f>
        <v/>
      </c>
      <c r="C320" s="20">
        <f>EDATE(C14,301)</f>
        <v/>
      </c>
      <c r="D320" s="21">
        <f>F10</f>
        <v/>
      </c>
      <c r="E320" s="21">
        <f>D320-F320</f>
        <v/>
      </c>
      <c r="F320" s="21">
        <f>H320*C11/C13</f>
        <v/>
      </c>
      <c r="G320" s="22">
        <f>G319-E320</f>
        <v/>
      </c>
      <c r="H320">
        <f>G319</f>
        <v/>
      </c>
    </row>
    <row r="321">
      <c r="B321" s="19">
        <f>302</f>
        <v/>
      </c>
      <c r="C321" s="20">
        <f>EDATE(C14,302)</f>
        <v/>
      </c>
      <c r="D321" s="21">
        <f>F10</f>
        <v/>
      </c>
      <c r="E321" s="21">
        <f>D321-F321</f>
        <v/>
      </c>
      <c r="F321" s="21">
        <f>H321*C11/C13</f>
        <v/>
      </c>
      <c r="G321" s="22">
        <f>G320-E321</f>
        <v/>
      </c>
      <c r="H321">
        <f>G320</f>
        <v/>
      </c>
    </row>
    <row r="322">
      <c r="B322" s="19">
        <f>303</f>
        <v/>
      </c>
      <c r="C322" s="20">
        <f>EDATE(C14,303)</f>
        <v/>
      </c>
      <c r="D322" s="21">
        <f>F10</f>
        <v/>
      </c>
      <c r="E322" s="21">
        <f>D322-F322</f>
        <v/>
      </c>
      <c r="F322" s="21">
        <f>H322*C11/C13</f>
        <v/>
      </c>
      <c r="G322" s="22">
        <f>G321-E322</f>
        <v/>
      </c>
      <c r="H322">
        <f>G321</f>
        <v/>
      </c>
    </row>
    <row r="323">
      <c r="B323" s="19">
        <f>304</f>
        <v/>
      </c>
      <c r="C323" s="20">
        <f>EDATE(C14,304)</f>
        <v/>
      </c>
      <c r="D323" s="21">
        <f>F10</f>
        <v/>
      </c>
      <c r="E323" s="21">
        <f>D323-F323</f>
        <v/>
      </c>
      <c r="F323" s="21">
        <f>H323*C11/C13</f>
        <v/>
      </c>
      <c r="G323" s="22">
        <f>G322-E323</f>
        <v/>
      </c>
      <c r="H323">
        <f>G322</f>
        <v/>
      </c>
    </row>
    <row r="324">
      <c r="B324" s="19">
        <f>305</f>
        <v/>
      </c>
      <c r="C324" s="20">
        <f>EDATE(C14,305)</f>
        <v/>
      </c>
      <c r="D324" s="21">
        <f>F10</f>
        <v/>
      </c>
      <c r="E324" s="21">
        <f>D324-F324</f>
        <v/>
      </c>
      <c r="F324" s="21">
        <f>H324*C11/C13</f>
        <v/>
      </c>
      <c r="G324" s="22">
        <f>G323-E324</f>
        <v/>
      </c>
      <c r="H324">
        <f>G323</f>
        <v/>
      </c>
    </row>
    <row r="325">
      <c r="B325" s="19">
        <f>306</f>
        <v/>
      </c>
      <c r="C325" s="20">
        <f>EDATE(C14,306)</f>
        <v/>
      </c>
      <c r="D325" s="21">
        <f>F10</f>
        <v/>
      </c>
      <c r="E325" s="21">
        <f>D325-F325</f>
        <v/>
      </c>
      <c r="F325" s="21">
        <f>H325*C11/C13</f>
        <v/>
      </c>
      <c r="G325" s="22">
        <f>G324-E325</f>
        <v/>
      </c>
      <c r="H325">
        <f>G324</f>
        <v/>
      </c>
    </row>
    <row r="326">
      <c r="B326" s="19">
        <f>307</f>
        <v/>
      </c>
      <c r="C326" s="20">
        <f>EDATE(C14,307)</f>
        <v/>
      </c>
      <c r="D326" s="21">
        <f>F10</f>
        <v/>
      </c>
      <c r="E326" s="21">
        <f>D326-F326</f>
        <v/>
      </c>
      <c r="F326" s="21">
        <f>H326*C11/C13</f>
        <v/>
      </c>
      <c r="G326" s="22">
        <f>G325-E326</f>
        <v/>
      </c>
      <c r="H326">
        <f>G325</f>
        <v/>
      </c>
    </row>
    <row r="327">
      <c r="B327" s="19">
        <f>308</f>
        <v/>
      </c>
      <c r="C327" s="20">
        <f>EDATE(C14,308)</f>
        <v/>
      </c>
      <c r="D327" s="21">
        <f>F10</f>
        <v/>
      </c>
      <c r="E327" s="21">
        <f>D327-F327</f>
        <v/>
      </c>
      <c r="F327" s="21">
        <f>H327*C11/C13</f>
        <v/>
      </c>
      <c r="G327" s="22">
        <f>G326-E327</f>
        <v/>
      </c>
      <c r="H327">
        <f>G326</f>
        <v/>
      </c>
    </row>
    <row r="328">
      <c r="B328" s="19">
        <f>309</f>
        <v/>
      </c>
      <c r="C328" s="20">
        <f>EDATE(C14,309)</f>
        <v/>
      </c>
      <c r="D328" s="21">
        <f>F10</f>
        <v/>
      </c>
      <c r="E328" s="21">
        <f>D328-F328</f>
        <v/>
      </c>
      <c r="F328" s="21">
        <f>H328*C11/C13</f>
        <v/>
      </c>
      <c r="G328" s="22">
        <f>G327-E328</f>
        <v/>
      </c>
      <c r="H328">
        <f>G327</f>
        <v/>
      </c>
    </row>
    <row r="329">
      <c r="B329" s="19">
        <f>310</f>
        <v/>
      </c>
      <c r="C329" s="20">
        <f>EDATE(C14,310)</f>
        <v/>
      </c>
      <c r="D329" s="21">
        <f>F10</f>
        <v/>
      </c>
      <c r="E329" s="21">
        <f>D329-F329</f>
        <v/>
      </c>
      <c r="F329" s="21">
        <f>H329*C11/C13</f>
        <v/>
      </c>
      <c r="G329" s="22">
        <f>G328-E329</f>
        <v/>
      </c>
      <c r="H329">
        <f>G328</f>
        <v/>
      </c>
    </row>
    <row r="330">
      <c r="B330" s="19">
        <f>311</f>
        <v/>
      </c>
      <c r="C330" s="20">
        <f>EDATE(C14,311)</f>
        <v/>
      </c>
      <c r="D330" s="21">
        <f>F10</f>
        <v/>
      </c>
      <c r="E330" s="21">
        <f>D330-F330</f>
        <v/>
      </c>
      <c r="F330" s="21">
        <f>H330*C11/C13</f>
        <v/>
      </c>
      <c r="G330" s="22">
        <f>G329-E330</f>
        <v/>
      </c>
      <c r="H330">
        <f>G329</f>
        <v/>
      </c>
    </row>
    <row r="331">
      <c r="B331" s="19">
        <f>312</f>
        <v/>
      </c>
      <c r="C331" s="20">
        <f>EDATE(C14,312)</f>
        <v/>
      </c>
      <c r="D331" s="21">
        <f>F10</f>
        <v/>
      </c>
      <c r="E331" s="21">
        <f>D331-F331</f>
        <v/>
      </c>
      <c r="F331" s="21">
        <f>H331*C11/C13</f>
        <v/>
      </c>
      <c r="G331" s="22">
        <f>G330-E331</f>
        <v/>
      </c>
      <c r="H331">
        <f>G330</f>
        <v/>
      </c>
    </row>
    <row r="332">
      <c r="B332" s="19">
        <f>313</f>
        <v/>
      </c>
      <c r="C332" s="20">
        <f>EDATE(C14,313)</f>
        <v/>
      </c>
      <c r="D332" s="21">
        <f>F10</f>
        <v/>
      </c>
      <c r="E332" s="21">
        <f>D332-F332</f>
        <v/>
      </c>
      <c r="F332" s="21">
        <f>H332*C11/C13</f>
        <v/>
      </c>
      <c r="G332" s="22">
        <f>G331-E332</f>
        <v/>
      </c>
      <c r="H332">
        <f>G331</f>
        <v/>
      </c>
    </row>
    <row r="333">
      <c r="B333" s="19">
        <f>314</f>
        <v/>
      </c>
      <c r="C333" s="20">
        <f>EDATE(C14,314)</f>
        <v/>
      </c>
      <c r="D333" s="21">
        <f>F10</f>
        <v/>
      </c>
      <c r="E333" s="21">
        <f>D333-F333</f>
        <v/>
      </c>
      <c r="F333" s="21">
        <f>H333*C11/C13</f>
        <v/>
      </c>
      <c r="G333" s="22">
        <f>G332-E333</f>
        <v/>
      </c>
      <c r="H333">
        <f>G332</f>
        <v/>
      </c>
    </row>
    <row r="334">
      <c r="B334" s="19">
        <f>315</f>
        <v/>
      </c>
      <c r="C334" s="20">
        <f>EDATE(C14,315)</f>
        <v/>
      </c>
      <c r="D334" s="21">
        <f>F10</f>
        <v/>
      </c>
      <c r="E334" s="21">
        <f>D334-F334</f>
        <v/>
      </c>
      <c r="F334" s="21">
        <f>H334*C11/C13</f>
        <v/>
      </c>
      <c r="G334" s="22">
        <f>G333-E334</f>
        <v/>
      </c>
      <c r="H334">
        <f>G333</f>
        <v/>
      </c>
    </row>
    <row r="335">
      <c r="B335" s="19">
        <f>316</f>
        <v/>
      </c>
      <c r="C335" s="20">
        <f>EDATE(C14,316)</f>
        <v/>
      </c>
      <c r="D335" s="21">
        <f>F10</f>
        <v/>
      </c>
      <c r="E335" s="21">
        <f>D335-F335</f>
        <v/>
      </c>
      <c r="F335" s="21">
        <f>H335*C11/C13</f>
        <v/>
      </c>
      <c r="G335" s="22">
        <f>G334-E335</f>
        <v/>
      </c>
      <c r="H335">
        <f>G334</f>
        <v/>
      </c>
    </row>
    <row r="336">
      <c r="B336" s="19">
        <f>317</f>
        <v/>
      </c>
      <c r="C336" s="20">
        <f>EDATE(C14,317)</f>
        <v/>
      </c>
      <c r="D336" s="21">
        <f>F10</f>
        <v/>
      </c>
      <c r="E336" s="21">
        <f>D336-F336</f>
        <v/>
      </c>
      <c r="F336" s="21">
        <f>H336*C11/C13</f>
        <v/>
      </c>
      <c r="G336" s="22">
        <f>G335-E336</f>
        <v/>
      </c>
      <c r="H336">
        <f>G335</f>
        <v/>
      </c>
    </row>
    <row r="337">
      <c r="B337" s="19">
        <f>318</f>
        <v/>
      </c>
      <c r="C337" s="20">
        <f>EDATE(C14,318)</f>
        <v/>
      </c>
      <c r="D337" s="21">
        <f>F10</f>
        <v/>
      </c>
      <c r="E337" s="21">
        <f>D337-F337</f>
        <v/>
      </c>
      <c r="F337" s="21">
        <f>H337*C11/C13</f>
        <v/>
      </c>
      <c r="G337" s="22">
        <f>G336-E337</f>
        <v/>
      </c>
      <c r="H337">
        <f>G336</f>
        <v/>
      </c>
    </row>
    <row r="338">
      <c r="B338" s="19">
        <f>319</f>
        <v/>
      </c>
      <c r="C338" s="20">
        <f>EDATE(C14,319)</f>
        <v/>
      </c>
      <c r="D338" s="21">
        <f>F10</f>
        <v/>
      </c>
      <c r="E338" s="21">
        <f>D338-F338</f>
        <v/>
      </c>
      <c r="F338" s="21">
        <f>H338*C11/C13</f>
        <v/>
      </c>
      <c r="G338" s="22">
        <f>G337-E338</f>
        <v/>
      </c>
      <c r="H338">
        <f>G337</f>
        <v/>
      </c>
    </row>
    <row r="339">
      <c r="B339" s="19">
        <f>320</f>
        <v/>
      </c>
      <c r="C339" s="20">
        <f>EDATE(C14,320)</f>
        <v/>
      </c>
      <c r="D339" s="21">
        <f>F10</f>
        <v/>
      </c>
      <c r="E339" s="21">
        <f>D339-F339</f>
        <v/>
      </c>
      <c r="F339" s="21">
        <f>H339*C11/C13</f>
        <v/>
      </c>
      <c r="G339" s="22">
        <f>G338-E339</f>
        <v/>
      </c>
      <c r="H339">
        <f>G338</f>
        <v/>
      </c>
    </row>
    <row r="340">
      <c r="B340" s="19">
        <f>321</f>
        <v/>
      </c>
      <c r="C340" s="20">
        <f>EDATE(C14,321)</f>
        <v/>
      </c>
      <c r="D340" s="21">
        <f>F10</f>
        <v/>
      </c>
      <c r="E340" s="21">
        <f>D340-F340</f>
        <v/>
      </c>
      <c r="F340" s="21">
        <f>H340*C11/C13</f>
        <v/>
      </c>
      <c r="G340" s="22">
        <f>G339-E340</f>
        <v/>
      </c>
      <c r="H340">
        <f>G339</f>
        <v/>
      </c>
    </row>
    <row r="341">
      <c r="B341" s="19">
        <f>322</f>
        <v/>
      </c>
      <c r="C341" s="20">
        <f>EDATE(C14,322)</f>
        <v/>
      </c>
      <c r="D341" s="21">
        <f>F10</f>
        <v/>
      </c>
      <c r="E341" s="21">
        <f>D341-F341</f>
        <v/>
      </c>
      <c r="F341" s="21">
        <f>H341*C11/C13</f>
        <v/>
      </c>
      <c r="G341" s="22">
        <f>G340-E341</f>
        <v/>
      </c>
      <c r="H341">
        <f>G340</f>
        <v/>
      </c>
    </row>
    <row r="342">
      <c r="B342" s="19">
        <f>323</f>
        <v/>
      </c>
      <c r="C342" s="20">
        <f>EDATE(C14,323)</f>
        <v/>
      </c>
      <c r="D342" s="21">
        <f>F10</f>
        <v/>
      </c>
      <c r="E342" s="21">
        <f>D342-F342</f>
        <v/>
      </c>
      <c r="F342" s="21">
        <f>H342*C11/C13</f>
        <v/>
      </c>
      <c r="G342" s="22">
        <f>G341-E342</f>
        <v/>
      </c>
      <c r="H342">
        <f>G341</f>
        <v/>
      </c>
    </row>
    <row r="343">
      <c r="B343" s="19">
        <f>324</f>
        <v/>
      </c>
      <c r="C343" s="20">
        <f>EDATE(C14,324)</f>
        <v/>
      </c>
      <c r="D343" s="21">
        <f>F10</f>
        <v/>
      </c>
      <c r="E343" s="21">
        <f>D343-F343</f>
        <v/>
      </c>
      <c r="F343" s="21">
        <f>H343*C11/C13</f>
        <v/>
      </c>
      <c r="G343" s="22">
        <f>G342-E343</f>
        <v/>
      </c>
      <c r="H343">
        <f>G342</f>
        <v/>
      </c>
    </row>
    <row r="344">
      <c r="B344" s="19">
        <f>325</f>
        <v/>
      </c>
      <c r="C344" s="20">
        <f>EDATE(C14,325)</f>
        <v/>
      </c>
      <c r="D344" s="21">
        <f>F10</f>
        <v/>
      </c>
      <c r="E344" s="21">
        <f>D344-F344</f>
        <v/>
      </c>
      <c r="F344" s="21">
        <f>H344*C11/C13</f>
        <v/>
      </c>
      <c r="G344" s="22">
        <f>G343-E344</f>
        <v/>
      </c>
      <c r="H344">
        <f>G343</f>
        <v/>
      </c>
    </row>
    <row r="345">
      <c r="B345" s="19">
        <f>326</f>
        <v/>
      </c>
      <c r="C345" s="20">
        <f>EDATE(C14,326)</f>
        <v/>
      </c>
      <c r="D345" s="21">
        <f>F10</f>
        <v/>
      </c>
      <c r="E345" s="21">
        <f>D345-F345</f>
        <v/>
      </c>
      <c r="F345" s="21">
        <f>H345*C11/C13</f>
        <v/>
      </c>
      <c r="G345" s="22">
        <f>G344-E345</f>
        <v/>
      </c>
      <c r="H345">
        <f>G344</f>
        <v/>
      </c>
    </row>
    <row r="346">
      <c r="B346" s="19">
        <f>327</f>
        <v/>
      </c>
      <c r="C346" s="20">
        <f>EDATE(C14,327)</f>
        <v/>
      </c>
      <c r="D346" s="21">
        <f>F10</f>
        <v/>
      </c>
      <c r="E346" s="21">
        <f>D346-F346</f>
        <v/>
      </c>
      <c r="F346" s="21">
        <f>H346*C11/C13</f>
        <v/>
      </c>
      <c r="G346" s="22">
        <f>G345-E346</f>
        <v/>
      </c>
      <c r="H346">
        <f>G345</f>
        <v/>
      </c>
    </row>
    <row r="347">
      <c r="B347" s="19">
        <f>328</f>
        <v/>
      </c>
      <c r="C347" s="20">
        <f>EDATE(C14,328)</f>
        <v/>
      </c>
      <c r="D347" s="21">
        <f>F10</f>
        <v/>
      </c>
      <c r="E347" s="21">
        <f>D347-F347</f>
        <v/>
      </c>
      <c r="F347" s="21">
        <f>H347*C11/C13</f>
        <v/>
      </c>
      <c r="G347" s="22">
        <f>G346-E347</f>
        <v/>
      </c>
      <c r="H347">
        <f>G346</f>
        <v/>
      </c>
    </row>
    <row r="348">
      <c r="B348" s="19">
        <f>329</f>
        <v/>
      </c>
      <c r="C348" s="20">
        <f>EDATE(C14,329)</f>
        <v/>
      </c>
      <c r="D348" s="21">
        <f>F10</f>
        <v/>
      </c>
      <c r="E348" s="21">
        <f>D348-F348</f>
        <v/>
      </c>
      <c r="F348" s="21">
        <f>H348*C11/C13</f>
        <v/>
      </c>
      <c r="G348" s="22">
        <f>G347-E348</f>
        <v/>
      </c>
      <c r="H348">
        <f>G347</f>
        <v/>
      </c>
    </row>
    <row r="349">
      <c r="B349" s="19">
        <f>330</f>
        <v/>
      </c>
      <c r="C349" s="20">
        <f>EDATE(C14,330)</f>
        <v/>
      </c>
      <c r="D349" s="21">
        <f>F10</f>
        <v/>
      </c>
      <c r="E349" s="21">
        <f>D349-F349</f>
        <v/>
      </c>
      <c r="F349" s="21">
        <f>H349*C11/C13</f>
        <v/>
      </c>
      <c r="G349" s="22">
        <f>G348-E349</f>
        <v/>
      </c>
      <c r="H349">
        <f>G348</f>
        <v/>
      </c>
    </row>
    <row r="350">
      <c r="B350" s="19">
        <f>331</f>
        <v/>
      </c>
      <c r="C350" s="20">
        <f>EDATE(C14,331)</f>
        <v/>
      </c>
      <c r="D350" s="21">
        <f>F10</f>
        <v/>
      </c>
      <c r="E350" s="21">
        <f>D350-F350</f>
        <v/>
      </c>
      <c r="F350" s="21">
        <f>H350*C11/C13</f>
        <v/>
      </c>
      <c r="G350" s="22">
        <f>G349-E350</f>
        <v/>
      </c>
      <c r="H350">
        <f>G349</f>
        <v/>
      </c>
    </row>
    <row r="351">
      <c r="B351" s="19">
        <f>332</f>
        <v/>
      </c>
      <c r="C351" s="20">
        <f>EDATE(C14,332)</f>
        <v/>
      </c>
      <c r="D351" s="21">
        <f>F10</f>
        <v/>
      </c>
      <c r="E351" s="21">
        <f>D351-F351</f>
        <v/>
      </c>
      <c r="F351" s="21">
        <f>H351*C11/C13</f>
        <v/>
      </c>
      <c r="G351" s="22">
        <f>G350-E351</f>
        <v/>
      </c>
      <c r="H351">
        <f>G350</f>
        <v/>
      </c>
    </row>
    <row r="352">
      <c r="B352" s="19">
        <f>333</f>
        <v/>
      </c>
      <c r="C352" s="20">
        <f>EDATE(C14,333)</f>
        <v/>
      </c>
      <c r="D352" s="21">
        <f>F10</f>
        <v/>
      </c>
      <c r="E352" s="21">
        <f>D352-F352</f>
        <v/>
      </c>
      <c r="F352" s="21">
        <f>H352*C11/C13</f>
        <v/>
      </c>
      <c r="G352" s="22">
        <f>G351-E352</f>
        <v/>
      </c>
      <c r="H352">
        <f>G351</f>
        <v/>
      </c>
    </row>
    <row r="353">
      <c r="B353" s="19">
        <f>334</f>
        <v/>
      </c>
      <c r="C353" s="20">
        <f>EDATE(C14,334)</f>
        <v/>
      </c>
      <c r="D353" s="21">
        <f>F10</f>
        <v/>
      </c>
      <c r="E353" s="21">
        <f>D353-F353</f>
        <v/>
      </c>
      <c r="F353" s="21">
        <f>H353*C11/C13</f>
        <v/>
      </c>
      <c r="G353" s="22">
        <f>G352-E353</f>
        <v/>
      </c>
      <c r="H353">
        <f>G352</f>
        <v/>
      </c>
    </row>
    <row r="354">
      <c r="B354" s="19">
        <f>335</f>
        <v/>
      </c>
      <c r="C354" s="20">
        <f>EDATE(C14,335)</f>
        <v/>
      </c>
      <c r="D354" s="21">
        <f>F10</f>
        <v/>
      </c>
      <c r="E354" s="21">
        <f>D354-F354</f>
        <v/>
      </c>
      <c r="F354" s="21">
        <f>H354*C11/C13</f>
        <v/>
      </c>
      <c r="G354" s="22">
        <f>G353-E354</f>
        <v/>
      </c>
      <c r="H354">
        <f>G353</f>
        <v/>
      </c>
    </row>
    <row r="355">
      <c r="B355" s="19">
        <f>336</f>
        <v/>
      </c>
      <c r="C355" s="20">
        <f>EDATE(C14,336)</f>
        <v/>
      </c>
      <c r="D355" s="21">
        <f>F10</f>
        <v/>
      </c>
      <c r="E355" s="21">
        <f>D355-F355</f>
        <v/>
      </c>
      <c r="F355" s="21">
        <f>H355*C11/C13</f>
        <v/>
      </c>
      <c r="G355" s="22">
        <f>G354-E355</f>
        <v/>
      </c>
      <c r="H355">
        <f>G354</f>
        <v/>
      </c>
    </row>
    <row r="356">
      <c r="B356" s="19">
        <f>337</f>
        <v/>
      </c>
      <c r="C356" s="20">
        <f>EDATE(C14,337)</f>
        <v/>
      </c>
      <c r="D356" s="21">
        <f>F10</f>
        <v/>
      </c>
      <c r="E356" s="21">
        <f>D356-F356</f>
        <v/>
      </c>
      <c r="F356" s="21">
        <f>H356*C11/C13</f>
        <v/>
      </c>
      <c r="G356" s="22">
        <f>G355-E356</f>
        <v/>
      </c>
      <c r="H356">
        <f>G355</f>
        <v/>
      </c>
    </row>
    <row r="357">
      <c r="B357" s="19">
        <f>338</f>
        <v/>
      </c>
      <c r="C357" s="20">
        <f>EDATE(C14,338)</f>
        <v/>
      </c>
      <c r="D357" s="21">
        <f>F10</f>
        <v/>
      </c>
      <c r="E357" s="21">
        <f>D357-F357</f>
        <v/>
      </c>
      <c r="F357" s="21">
        <f>H357*C11/C13</f>
        <v/>
      </c>
      <c r="G357" s="22">
        <f>G356-E357</f>
        <v/>
      </c>
      <c r="H357">
        <f>G356</f>
        <v/>
      </c>
    </row>
    <row r="358">
      <c r="B358" s="19">
        <f>339</f>
        <v/>
      </c>
      <c r="C358" s="20">
        <f>EDATE(C14,339)</f>
        <v/>
      </c>
      <c r="D358" s="21">
        <f>F10</f>
        <v/>
      </c>
      <c r="E358" s="21">
        <f>D358-F358</f>
        <v/>
      </c>
      <c r="F358" s="21">
        <f>H358*C11/C13</f>
        <v/>
      </c>
      <c r="G358" s="22">
        <f>G357-E358</f>
        <v/>
      </c>
      <c r="H358">
        <f>G357</f>
        <v/>
      </c>
    </row>
    <row r="359">
      <c r="B359" s="19">
        <f>340</f>
        <v/>
      </c>
      <c r="C359" s="20">
        <f>EDATE(C14,340)</f>
        <v/>
      </c>
      <c r="D359" s="21">
        <f>F10</f>
        <v/>
      </c>
      <c r="E359" s="21">
        <f>D359-F359</f>
        <v/>
      </c>
      <c r="F359" s="21">
        <f>H359*C11/C13</f>
        <v/>
      </c>
      <c r="G359" s="22">
        <f>G358-E359</f>
        <v/>
      </c>
      <c r="H359">
        <f>G358</f>
        <v/>
      </c>
    </row>
    <row r="360">
      <c r="B360" s="19">
        <f>341</f>
        <v/>
      </c>
      <c r="C360" s="20">
        <f>EDATE(C14,341)</f>
        <v/>
      </c>
      <c r="D360" s="21">
        <f>F10</f>
        <v/>
      </c>
      <c r="E360" s="21">
        <f>D360-F360</f>
        <v/>
      </c>
      <c r="F360" s="21">
        <f>H360*C11/C13</f>
        <v/>
      </c>
      <c r="G360" s="22">
        <f>G359-E360</f>
        <v/>
      </c>
      <c r="H360">
        <f>G359</f>
        <v/>
      </c>
    </row>
    <row r="361">
      <c r="B361" s="19">
        <f>342</f>
        <v/>
      </c>
      <c r="C361" s="20">
        <f>EDATE(C14,342)</f>
        <v/>
      </c>
      <c r="D361" s="21">
        <f>F10</f>
        <v/>
      </c>
      <c r="E361" s="21">
        <f>D361-F361</f>
        <v/>
      </c>
      <c r="F361" s="21">
        <f>H361*C11/C13</f>
        <v/>
      </c>
      <c r="G361" s="22">
        <f>G360-E361</f>
        <v/>
      </c>
      <c r="H361">
        <f>G360</f>
        <v/>
      </c>
    </row>
    <row r="362">
      <c r="B362" s="19">
        <f>343</f>
        <v/>
      </c>
      <c r="C362" s="20">
        <f>EDATE(C14,343)</f>
        <v/>
      </c>
      <c r="D362" s="21">
        <f>F10</f>
        <v/>
      </c>
      <c r="E362" s="21">
        <f>D362-F362</f>
        <v/>
      </c>
      <c r="F362" s="21">
        <f>H362*C11/C13</f>
        <v/>
      </c>
      <c r="G362" s="22">
        <f>G361-E362</f>
        <v/>
      </c>
      <c r="H362">
        <f>G361</f>
        <v/>
      </c>
    </row>
    <row r="363">
      <c r="B363" s="19">
        <f>344</f>
        <v/>
      </c>
      <c r="C363" s="20">
        <f>EDATE(C14,344)</f>
        <v/>
      </c>
      <c r="D363" s="21">
        <f>F10</f>
        <v/>
      </c>
      <c r="E363" s="21">
        <f>D363-F363</f>
        <v/>
      </c>
      <c r="F363" s="21">
        <f>H363*C11/C13</f>
        <v/>
      </c>
      <c r="G363" s="22">
        <f>G362-E363</f>
        <v/>
      </c>
      <c r="H363">
        <f>G362</f>
        <v/>
      </c>
    </row>
    <row r="364">
      <c r="B364" s="19">
        <f>345</f>
        <v/>
      </c>
      <c r="C364" s="20">
        <f>EDATE(C14,345)</f>
        <v/>
      </c>
      <c r="D364" s="21">
        <f>F10</f>
        <v/>
      </c>
      <c r="E364" s="21">
        <f>D364-F364</f>
        <v/>
      </c>
      <c r="F364" s="21">
        <f>H364*C11/C13</f>
        <v/>
      </c>
      <c r="G364" s="22">
        <f>G363-E364</f>
        <v/>
      </c>
      <c r="H364">
        <f>G363</f>
        <v/>
      </c>
    </row>
    <row r="365">
      <c r="B365" s="19">
        <f>346</f>
        <v/>
      </c>
      <c r="C365" s="20">
        <f>EDATE(C14,346)</f>
        <v/>
      </c>
      <c r="D365" s="21">
        <f>F10</f>
        <v/>
      </c>
      <c r="E365" s="21">
        <f>D365-F365</f>
        <v/>
      </c>
      <c r="F365" s="21">
        <f>H365*C11/C13</f>
        <v/>
      </c>
      <c r="G365" s="22">
        <f>G364-E365</f>
        <v/>
      </c>
      <c r="H365">
        <f>G364</f>
        <v/>
      </c>
    </row>
    <row r="366">
      <c r="B366" s="19">
        <f>347</f>
        <v/>
      </c>
      <c r="C366" s="20">
        <f>EDATE(C14,347)</f>
        <v/>
      </c>
      <c r="D366" s="21">
        <f>F10</f>
        <v/>
      </c>
      <c r="E366" s="21">
        <f>D366-F366</f>
        <v/>
      </c>
      <c r="F366" s="21">
        <f>H366*C11/C13</f>
        <v/>
      </c>
      <c r="G366" s="22">
        <f>G365-E366</f>
        <v/>
      </c>
      <c r="H366">
        <f>G365</f>
        <v/>
      </c>
    </row>
    <row r="367">
      <c r="B367" s="19">
        <f>348</f>
        <v/>
      </c>
      <c r="C367" s="20">
        <f>EDATE(C14,348)</f>
        <v/>
      </c>
      <c r="D367" s="21">
        <f>F10</f>
        <v/>
      </c>
      <c r="E367" s="21">
        <f>D367-F367</f>
        <v/>
      </c>
      <c r="F367" s="21">
        <f>H367*C11/C13</f>
        <v/>
      </c>
      <c r="G367" s="22">
        <f>G366-E367</f>
        <v/>
      </c>
      <c r="H367">
        <f>G366</f>
        <v/>
      </c>
    </row>
    <row r="368">
      <c r="B368" s="19">
        <f>349</f>
        <v/>
      </c>
      <c r="C368" s="20">
        <f>EDATE(C14,349)</f>
        <v/>
      </c>
      <c r="D368" s="21">
        <f>F10</f>
        <v/>
      </c>
      <c r="E368" s="21">
        <f>D368-F368</f>
        <v/>
      </c>
      <c r="F368" s="21">
        <f>H368*C11/C13</f>
        <v/>
      </c>
      <c r="G368" s="22">
        <f>G367-E368</f>
        <v/>
      </c>
      <c r="H368">
        <f>G367</f>
        <v/>
      </c>
    </row>
    <row r="369">
      <c r="B369" s="19">
        <f>350</f>
        <v/>
      </c>
      <c r="C369" s="20">
        <f>EDATE(C14,350)</f>
        <v/>
      </c>
      <c r="D369" s="21">
        <f>F10</f>
        <v/>
      </c>
      <c r="E369" s="21">
        <f>D369-F369</f>
        <v/>
      </c>
      <c r="F369" s="21">
        <f>H369*C11/C13</f>
        <v/>
      </c>
      <c r="G369" s="22">
        <f>G368-E369</f>
        <v/>
      </c>
      <c r="H369">
        <f>G368</f>
        <v/>
      </c>
    </row>
    <row r="370">
      <c r="B370" s="19">
        <f>351</f>
        <v/>
      </c>
      <c r="C370" s="20">
        <f>EDATE(C14,351)</f>
        <v/>
      </c>
      <c r="D370" s="21">
        <f>F10</f>
        <v/>
      </c>
      <c r="E370" s="21">
        <f>D370-F370</f>
        <v/>
      </c>
      <c r="F370" s="21">
        <f>H370*C11/C13</f>
        <v/>
      </c>
      <c r="G370" s="22">
        <f>G369-E370</f>
        <v/>
      </c>
      <c r="H370">
        <f>G369</f>
        <v/>
      </c>
    </row>
    <row r="371">
      <c r="B371" s="19">
        <f>352</f>
        <v/>
      </c>
      <c r="C371" s="20">
        <f>EDATE(C14,352)</f>
        <v/>
      </c>
      <c r="D371" s="21">
        <f>F10</f>
        <v/>
      </c>
      <c r="E371" s="21">
        <f>D371-F371</f>
        <v/>
      </c>
      <c r="F371" s="21">
        <f>H371*C11/C13</f>
        <v/>
      </c>
      <c r="G371" s="22">
        <f>G370-E371</f>
        <v/>
      </c>
      <c r="H371">
        <f>G370</f>
        <v/>
      </c>
    </row>
    <row r="372">
      <c r="B372" s="19">
        <f>353</f>
        <v/>
      </c>
      <c r="C372" s="20">
        <f>EDATE(C14,353)</f>
        <v/>
      </c>
      <c r="D372" s="21">
        <f>F10</f>
        <v/>
      </c>
      <c r="E372" s="21">
        <f>D372-F372</f>
        <v/>
      </c>
      <c r="F372" s="21">
        <f>H372*C11/C13</f>
        <v/>
      </c>
      <c r="G372" s="22">
        <f>G371-E372</f>
        <v/>
      </c>
      <c r="H372">
        <f>G371</f>
        <v/>
      </c>
    </row>
    <row r="373">
      <c r="B373" s="19">
        <f>354</f>
        <v/>
      </c>
      <c r="C373" s="20">
        <f>EDATE(C14,354)</f>
        <v/>
      </c>
      <c r="D373" s="21">
        <f>F10</f>
        <v/>
      </c>
      <c r="E373" s="21">
        <f>D373-F373</f>
        <v/>
      </c>
      <c r="F373" s="21">
        <f>H373*C11/C13</f>
        <v/>
      </c>
      <c r="G373" s="22">
        <f>G372-E373</f>
        <v/>
      </c>
      <c r="H373">
        <f>G372</f>
        <v/>
      </c>
    </row>
    <row r="374">
      <c r="B374" s="19">
        <f>355</f>
        <v/>
      </c>
      <c r="C374" s="20">
        <f>EDATE(C14,355)</f>
        <v/>
      </c>
      <c r="D374" s="21">
        <f>F10</f>
        <v/>
      </c>
      <c r="E374" s="21">
        <f>D374-F374</f>
        <v/>
      </c>
      <c r="F374" s="21">
        <f>H374*C11/C13</f>
        <v/>
      </c>
      <c r="G374" s="22">
        <f>G373-E374</f>
        <v/>
      </c>
      <c r="H374">
        <f>G373</f>
        <v/>
      </c>
    </row>
    <row r="375">
      <c r="B375" s="19">
        <f>356</f>
        <v/>
      </c>
      <c r="C375" s="20">
        <f>EDATE(C14,356)</f>
        <v/>
      </c>
      <c r="D375" s="21">
        <f>F10</f>
        <v/>
      </c>
      <c r="E375" s="21">
        <f>D375-F375</f>
        <v/>
      </c>
      <c r="F375" s="21">
        <f>H375*C11/C13</f>
        <v/>
      </c>
      <c r="G375" s="22">
        <f>G374-E375</f>
        <v/>
      </c>
      <c r="H375">
        <f>G374</f>
        <v/>
      </c>
    </row>
    <row r="376">
      <c r="B376" s="19">
        <f>357</f>
        <v/>
      </c>
      <c r="C376" s="20">
        <f>EDATE(C14,357)</f>
        <v/>
      </c>
      <c r="D376" s="21">
        <f>F10</f>
        <v/>
      </c>
      <c r="E376" s="21">
        <f>D376-F376</f>
        <v/>
      </c>
      <c r="F376" s="21">
        <f>H376*C11/C13</f>
        <v/>
      </c>
      <c r="G376" s="22">
        <f>G375-E376</f>
        <v/>
      </c>
      <c r="H376">
        <f>G375</f>
        <v/>
      </c>
    </row>
    <row r="377">
      <c r="B377" s="19">
        <f>358</f>
        <v/>
      </c>
      <c r="C377" s="20">
        <f>EDATE(C14,358)</f>
        <v/>
      </c>
      <c r="D377" s="21">
        <f>F10</f>
        <v/>
      </c>
      <c r="E377" s="21">
        <f>D377-F377</f>
        <v/>
      </c>
      <c r="F377" s="21">
        <f>H377*C11/C13</f>
        <v/>
      </c>
      <c r="G377" s="22">
        <f>G376-E377</f>
        <v/>
      </c>
      <c r="H377">
        <f>G376</f>
        <v/>
      </c>
    </row>
    <row r="378">
      <c r="B378" s="19">
        <f>359</f>
        <v/>
      </c>
      <c r="C378" s="20">
        <f>EDATE(C14,359)</f>
        <v/>
      </c>
      <c r="D378" s="21">
        <f>F10</f>
        <v/>
      </c>
      <c r="E378" s="21">
        <f>D378-F378</f>
        <v/>
      </c>
      <c r="F378" s="21">
        <f>H378*C11/C13</f>
        <v/>
      </c>
      <c r="G378" s="22">
        <f>G377-E378</f>
        <v/>
      </c>
      <c r="H378">
        <f>G377</f>
        <v/>
      </c>
    </row>
    <row r="379">
      <c r="B379" s="19">
        <f>360</f>
        <v/>
      </c>
      <c r="C379" s="20">
        <f>EDATE(C14,360)</f>
        <v/>
      </c>
      <c r="D379" s="21">
        <f>F10</f>
        <v/>
      </c>
      <c r="E379" s="21">
        <f>D379-F379</f>
        <v/>
      </c>
      <c r="F379" s="21">
        <f>H379*C11/C13</f>
        <v/>
      </c>
      <c r="G379" s="22">
        <f>G378-E379</f>
        <v/>
      </c>
      <c r="H379">
        <f>G378</f>
        <v/>
      </c>
    </row>
    <row r="380">
      <c r="B380" s="19">
        <f>361</f>
        <v/>
      </c>
      <c r="C380" s="20">
        <f>EDATE(C14,361)</f>
        <v/>
      </c>
      <c r="D380" s="21">
        <f>F10</f>
        <v/>
      </c>
      <c r="E380" s="21">
        <f>D380-F380</f>
        <v/>
      </c>
      <c r="F380" s="21">
        <f>H380*C11/C13</f>
        <v/>
      </c>
      <c r="G380" s="22">
        <f>G379-E380</f>
        <v/>
      </c>
      <c r="H380">
        <f>G379</f>
        <v/>
      </c>
    </row>
    <row r="386">
      <c r="B386" s="4" t="inlineStr">
        <is>
          <t>Principal vs. Interest Over Time</t>
        </is>
      </c>
    </row>
    <row r="401">
      <c r="B401" s="9" t="inlineStr">
        <is>
          <t>Want to pay off your loan early? Try making extra payments or increasing your monthly payment amount.</t>
        </is>
      </c>
    </row>
  </sheetData>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B2:I31"/>
  <sheetViews>
    <sheetView workbookViewId="0">
      <selection activeCell="A1" sqref="A1"/>
    </sheetView>
  </sheetViews>
  <sheetFormatPr baseColWidth="8" defaultRowHeight="15"/>
  <cols>
    <col width="30" customWidth="1" min="2" max="2"/>
    <col width="20" customWidth="1" min="3" max="3"/>
    <col width="25" customWidth="1" min="4" max="4"/>
    <col width="20" customWidth="1" min="5" max="5"/>
    <col width="15" customWidth="1" min="6" max="6"/>
    <col width="15" customWidth="1" min="7" max="7"/>
    <col width="15" customWidth="1" min="8" max="8"/>
    <col width="15" customWidth="1" min="9" max="9"/>
  </cols>
  <sheetData>
    <row r="2">
      <c r="B2" s="7" t="inlineStr">
        <is>
          <t>Loan Affordability Analyzer</t>
        </is>
      </c>
    </row>
    <row r="3">
      <c r="B3" s="8" t="inlineStr">
        <is>
          <t>Determine how much financing you can afford based on your business income</t>
        </is>
      </c>
    </row>
    <row r="5">
      <c r="B5" s="6" t="inlineStr">
        <is>
          <t>Instructions:</t>
        </is>
      </c>
    </row>
    <row r="6">
      <c r="B6" s="5" t="inlineStr">
        <is>
          <t>1. Enter your business's financial information in the green cells
    2. The calculator will show how much loan you can afford based on CDFI lending standards
    3. Adjust your inputs to see how changes affect your borrowing capacity</t>
        </is>
      </c>
    </row>
    <row r="8">
      <c r="B8" s="4" t="inlineStr">
        <is>
          <t>Business Financial Information</t>
        </is>
      </c>
      <c r="E8" s="4" t="inlineStr">
        <is>
          <t>What If Analysis</t>
        </is>
      </c>
    </row>
    <row r="9">
      <c r="E9" s="5" t="inlineStr">
        <is>
          <t>Use this section to explore how changes to your business finances could increase your borrowing capacity.</t>
        </is>
      </c>
    </row>
    <row r="10">
      <c r="B10" t="inlineStr">
        <is>
          <t>Monthly Business Revenue ($)</t>
        </is>
      </c>
      <c r="C10" s="14" t="n">
        <v>20000</v>
      </c>
    </row>
    <row r="11">
      <c r="B11" t="inlineStr">
        <is>
          <t>Monthly Business Expenses ($)</t>
        </is>
      </c>
      <c r="C11" s="14" t="n">
        <v>15000</v>
      </c>
      <c r="D11" s="9" t="inlineStr">
        <is>
          <t>Exclude existing debt payments</t>
        </is>
      </c>
      <c r="E11" s="10" t="inlineStr">
        <is>
          <t>Scenario</t>
        </is>
      </c>
      <c r="F11" s="10" t="inlineStr">
        <is>
          <t>Current</t>
        </is>
      </c>
      <c r="G11" s="10" t="inlineStr">
        <is>
          <t>Revenue +10%</t>
        </is>
      </c>
      <c r="H11" s="10" t="inlineStr">
        <is>
          <t>Expenses -10%</t>
        </is>
      </c>
      <c r="I11" s="10" t="inlineStr">
        <is>
          <t>Longer Term</t>
        </is>
      </c>
    </row>
    <row r="12">
      <c r="B12" t="inlineStr">
        <is>
          <t>Existing Monthly Debt Payments ($)</t>
        </is>
      </c>
      <c r="C12" s="14" t="n">
        <v>1000</v>
      </c>
      <c r="E12" s="13" t="inlineStr">
        <is>
          <t>Monthly Revenue ($)</t>
        </is>
      </c>
      <c r="F12" s="23">
        <f>C10</f>
        <v/>
      </c>
      <c r="G12" s="23">
        <f>C10*1.1</f>
        <v/>
      </c>
      <c r="H12" s="23">
        <f>C10</f>
        <v/>
      </c>
      <c r="I12" s="23">
        <f>C10</f>
        <v/>
      </c>
    </row>
    <row r="13">
      <c r="B13" t="inlineStr">
        <is>
          <t>Expected Interest Rate (%)</t>
        </is>
      </c>
      <c r="C13" s="14" t="n">
        <v>6.5</v>
      </c>
      <c r="E13" s="13" t="inlineStr">
        <is>
          <t>Monthly Expenses ($)</t>
        </is>
      </c>
      <c r="F13" s="23">
        <f>C11</f>
        <v/>
      </c>
      <c r="G13" s="23">
        <f>C11</f>
        <v/>
      </c>
      <c r="H13" s="23">
        <f>C11*0.9</f>
        <v/>
      </c>
      <c r="I13" s="23">
        <f>C11</f>
        <v/>
      </c>
    </row>
    <row r="14">
      <c r="B14" t="inlineStr">
        <is>
          <t>Desired Loan Term (Years)</t>
        </is>
      </c>
      <c r="C14" s="14" t="n">
        <v>7</v>
      </c>
      <c r="E14" s="13" t="inlineStr">
        <is>
          <t>Net Operating Income ($)</t>
        </is>
      </c>
      <c r="F14" s="23">
        <f>F12-F13</f>
        <v/>
      </c>
      <c r="G14" s="23">
        <f>G12-G13</f>
        <v/>
      </c>
      <c r="H14" s="23">
        <f>H12-H13</f>
        <v/>
      </c>
      <c r="I14" s="23">
        <f>I12-I13</f>
        <v/>
      </c>
    </row>
    <row r="15">
      <c r="B15" t="inlineStr">
        <is>
          <t>Target Debt Service Coverage Ratio</t>
        </is>
      </c>
      <c r="C15" s="14" t="n">
        <v>1.25</v>
      </c>
      <c r="D15" s="9" t="inlineStr">
        <is>
          <t>Most CDFIs require 1.25 or higher</t>
        </is>
      </c>
      <c r="E15" s="13" t="inlineStr">
        <is>
          <t>Maximum Loan Amount ($)</t>
        </is>
      </c>
      <c r="F15" s="23">
        <f>PV(C13/12,C14*12,-(F14/C15-C12),0,0)</f>
        <v/>
      </c>
      <c r="G15" s="23">
        <f>PV(C13/12,C14*12,-(G14/C15-C12),0,0)</f>
        <v/>
      </c>
      <c r="H15" s="23">
        <f>PV(C13/12,C14*12,-(H14/C15-C12),0,0)</f>
        <v/>
      </c>
      <c r="I15" s="23">
        <f>PV(C13/12,(C14+3)*12,-(I14/C15-C12),0,0)</f>
        <v/>
      </c>
    </row>
    <row r="17">
      <c r="B17" s="4" t="inlineStr">
        <is>
          <t>Loan Affordability Analysis</t>
        </is>
      </c>
    </row>
    <row r="19">
      <c r="B19" t="inlineStr">
        <is>
          <t>Monthly Net Operating Income ($)</t>
        </is>
      </c>
      <c r="C19" s="24">
        <f>C10-C11</f>
        <v/>
      </c>
    </row>
    <row r="20">
      <c r="B20" t="inlineStr">
        <is>
          <t>Maximum Monthly Debt Payment ($)</t>
        </is>
      </c>
      <c r="C20" s="24">
        <f>C19/C15</f>
        <v/>
      </c>
    </row>
    <row r="21">
      <c r="B21" t="inlineStr">
        <is>
          <t>Available for New Loan Payment ($)</t>
        </is>
      </c>
      <c r="C21" s="24">
        <f>C20-C12</f>
        <v/>
      </c>
    </row>
    <row r="22">
      <c r="B22" t="inlineStr">
        <is>
          <t>Maximum Loan Amount ($)</t>
        </is>
      </c>
      <c r="C22" s="24">
        <f>PV(C13/12,C14*12,-C21,0,0)</f>
        <v/>
      </c>
    </row>
    <row r="24">
      <c r="B24" s="4" t="inlineStr">
        <is>
          <t>CDFI Lending Guidance</t>
        </is>
      </c>
    </row>
    <row r="26">
      <c r="B26" s="13" t="inlineStr">
        <is>
          <t>Debt Service Coverage Ratio (DSCR)</t>
        </is>
      </c>
      <c r="C26" s="5" t="inlineStr">
        <is>
          <t>Most CDFIs require a DSCR of 1.15-1.25 or higher for business loans.</t>
        </is>
      </c>
    </row>
    <row r="27">
      <c r="B27" s="13" t="inlineStr">
        <is>
          <t>Loan-to-Value (LTV) for Real Estate</t>
        </is>
      </c>
      <c r="C27" s="5" t="inlineStr">
        <is>
          <t>Typically 75-80% for commercial properties; up to 90% for some mission-focused CDFIs.</t>
        </is>
      </c>
    </row>
    <row r="28">
      <c r="B28" s="13" t="inlineStr">
        <is>
          <t>Borrower Contribution</t>
        </is>
      </c>
      <c r="C28" s="5" t="inlineStr">
        <is>
          <t>Usually 10-25% of project costs, though some CDFIs have lower requirements.</t>
        </is>
      </c>
    </row>
    <row r="29">
      <c r="B29" s="13" t="inlineStr">
        <is>
          <t>Technical Assistance</t>
        </is>
      </c>
      <c r="C29" s="5" t="inlineStr">
        <is>
          <t>Many CDFIs offer free financial counseling to help improve your financial position.</t>
        </is>
      </c>
    </row>
    <row r="31">
      <c r="B31" s="9" t="inlineStr">
        <is>
          <t>Note: Improving your Debt Service Coverage Ratio through increased revenue or decreased expenses is the most effective way to increase your borrowing capacity.</t>
        </is>
      </c>
    </row>
  </sheetData>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B2:F72"/>
  <sheetViews>
    <sheetView workbookViewId="0">
      <selection activeCell="A1" sqref="A1"/>
    </sheetView>
  </sheetViews>
  <sheetFormatPr baseColWidth="8" defaultRowHeight="15"/>
  <cols>
    <col width="5" customWidth="1" min="1" max="1"/>
    <col width="25" customWidth="1" min="2" max="2"/>
    <col width="15" customWidth="1" min="3" max="3"/>
    <col width="15" customWidth="1" min="4" max="4"/>
    <col width="15" customWidth="1" min="5" max="5"/>
    <col width="15" customWidth="1" min="6" max="6"/>
  </cols>
  <sheetData>
    <row r="2">
      <c r="B2" s="7" t="inlineStr">
        <is>
          <t>Business Budget Template</t>
        </is>
      </c>
    </row>
    <row r="3">
      <c r="B3" s="8" t="inlineStr">
        <is>
          <t>Track and manage your business income and expenses</t>
        </is>
      </c>
    </row>
    <row r="5">
      <c r="B5" s="6" t="inlineStr">
        <is>
          <t>Instructions:</t>
        </is>
      </c>
    </row>
    <row r="6">
      <c r="B6" s="5" t="inlineStr">
        <is>
          <t>1. Enter your projected income and expenses in the green cells
    2. Enter actual figures as they occur 
    3. Review variance to monitor your budget performance
    4. Use the charts to visualize your budget</t>
        </is>
      </c>
    </row>
    <row r="8">
      <c r="B8" s="4" t="inlineStr">
        <is>
          <t>Business Information</t>
        </is>
      </c>
    </row>
    <row r="9">
      <c r="B9" t="inlineStr">
        <is>
          <t>Business Name</t>
        </is>
      </c>
      <c r="C9" s="14" t="n"/>
    </row>
    <row r="10">
      <c r="B10" t="inlineStr">
        <is>
          <t>Budget Period</t>
        </is>
      </c>
      <c r="C10" s="14" t="inlineStr">
        <is>
          <t>YYYY-MM to YYYY-MM</t>
        </is>
      </c>
    </row>
    <row r="11">
      <c r="B11" t="inlineStr">
        <is>
          <t>Prepared By</t>
        </is>
      </c>
      <c r="C11" s="14" t="n"/>
    </row>
    <row r="12">
      <c r="B12" t="inlineStr">
        <is>
          <t>Last Updated</t>
        </is>
      </c>
      <c r="C12" s="14" t="n"/>
    </row>
    <row r="13">
      <c r="B13" s="4" t="inlineStr">
        <is>
          <t>Income</t>
        </is>
      </c>
    </row>
    <row r="14">
      <c r="B14" s="10" t="inlineStr">
        <is>
          <t>Category</t>
        </is>
      </c>
      <c r="C14" s="10" t="inlineStr">
        <is>
          <t>Projected</t>
        </is>
      </c>
      <c r="D14" s="10" t="inlineStr">
        <is>
          <t>Actual</t>
        </is>
      </c>
      <c r="E14" s="10" t="inlineStr">
        <is>
          <t>Variance</t>
        </is>
      </c>
      <c r="F14" s="10" t="inlineStr">
        <is>
          <t>% of Total Income</t>
        </is>
      </c>
    </row>
    <row r="15">
      <c r="B15" t="inlineStr">
        <is>
          <t>Product Sales</t>
        </is>
      </c>
      <c r="C15" s="14" t="n"/>
      <c r="D15" s="14" t="n"/>
      <c r="E15" s="24">
        <f>D15-C15</f>
        <v/>
      </c>
      <c r="F15" s="25">
        <f>IF(D15=0,0,D15/D24)</f>
        <v/>
      </c>
    </row>
    <row r="16">
      <c r="B16" t="inlineStr">
        <is>
          <t>Service Revenue</t>
        </is>
      </c>
      <c r="C16" s="14" t="n"/>
      <c r="D16" s="14" t="n"/>
      <c r="E16" s="24">
        <f>D16-C16</f>
        <v/>
      </c>
      <c r="F16" s="25">
        <f>IF(D16=0,0,D16/D25)</f>
        <v/>
      </c>
    </row>
    <row r="17">
      <c r="B17" t="inlineStr">
        <is>
          <t>Consulting Fees</t>
        </is>
      </c>
      <c r="C17" s="14" t="n"/>
      <c r="D17" s="14" t="n"/>
      <c r="E17" s="24">
        <f>D17-C17</f>
        <v/>
      </c>
      <c r="F17" s="25">
        <f>IF(D17=0,0,D17/D26)</f>
        <v/>
      </c>
    </row>
    <row r="18">
      <c r="B18" t="inlineStr">
        <is>
          <t>Contract Work</t>
        </is>
      </c>
      <c r="C18" s="14" t="n"/>
      <c r="D18" s="14" t="n"/>
      <c r="E18" s="24">
        <f>D18-C18</f>
        <v/>
      </c>
      <c r="F18" s="25">
        <f>IF(D18=0,0,D18/D27)</f>
        <v/>
      </c>
    </row>
    <row r="19">
      <c r="B19" t="inlineStr">
        <is>
          <t>Rental Income</t>
        </is>
      </c>
      <c r="C19" s="14" t="n"/>
      <c r="D19" s="14" t="n"/>
      <c r="E19" s="24">
        <f>D19-C19</f>
        <v/>
      </c>
      <c r="F19" s="25">
        <f>IF(D19=0,0,D19/D28)</f>
        <v/>
      </c>
    </row>
    <row r="20">
      <c r="B20" t="inlineStr">
        <is>
          <t>Investment Income</t>
        </is>
      </c>
      <c r="C20" s="14" t="n"/>
      <c r="D20" s="14" t="n"/>
      <c r="E20" s="24">
        <f>D20-C20</f>
        <v/>
      </c>
      <c r="F20" s="25">
        <f>IF(D20=0,0,D20/D29)</f>
        <v/>
      </c>
    </row>
    <row r="21">
      <c r="B21" t="inlineStr">
        <is>
          <t>Grants</t>
        </is>
      </c>
      <c r="C21" s="14" t="n"/>
      <c r="D21" s="14" t="n"/>
      <c r="E21" s="24">
        <f>D21-C21</f>
        <v/>
      </c>
      <c r="F21" s="25">
        <f>IF(D21=0,0,D21/D30)</f>
        <v/>
      </c>
    </row>
    <row r="22">
      <c r="B22" t="inlineStr">
        <is>
          <t>Other Income</t>
        </is>
      </c>
      <c r="C22" s="14" t="n"/>
      <c r="D22" s="14" t="n"/>
      <c r="E22" s="24">
        <f>D22-C22</f>
        <v/>
      </c>
      <c r="F22" s="25">
        <f>IF(D22=0,0,D22/D31)</f>
        <v/>
      </c>
    </row>
    <row r="23">
      <c r="B23" s="13" t="inlineStr">
        <is>
          <t>Total Income</t>
        </is>
      </c>
      <c r="C23" s="24">
        <f>SUM(C15:C22)</f>
        <v/>
      </c>
      <c r="D23" s="24">
        <f>SUM(D15:D22)</f>
        <v/>
      </c>
      <c r="E23" s="24">
        <f>D23-C23</f>
        <v/>
      </c>
      <c r="F23" s="24" t="inlineStr">
        <is>
          <t>100%</t>
        </is>
      </c>
    </row>
    <row r="25">
      <c r="B25" s="4" t="inlineStr">
        <is>
          <t>Expenses</t>
        </is>
      </c>
    </row>
    <row r="26">
      <c r="B26" s="10" t="inlineStr">
        <is>
          <t>Category</t>
        </is>
      </c>
      <c r="C26" s="10" t="inlineStr">
        <is>
          <t>Projected</t>
        </is>
      </c>
      <c r="D26" s="10" t="inlineStr">
        <is>
          <t>Actual</t>
        </is>
      </c>
      <c r="E26" s="10" t="inlineStr">
        <is>
          <t>Variance</t>
        </is>
      </c>
      <c r="F26" s="10" t="inlineStr">
        <is>
          <t>% of Total Expenses</t>
        </is>
      </c>
    </row>
    <row r="27">
      <c r="B27" t="inlineStr">
        <is>
          <t>Rent/Mortgage</t>
        </is>
      </c>
      <c r="C27" s="14" t="n"/>
      <c r="D27" s="14" t="n"/>
      <c r="E27" s="24">
        <f>D27-C27</f>
        <v/>
      </c>
      <c r="F27" s="25">
        <f>IF(D27=0,0,D27/D45)</f>
        <v/>
      </c>
    </row>
    <row r="28">
      <c r="B28" t="inlineStr">
        <is>
          <t>Utilities</t>
        </is>
      </c>
      <c r="C28" s="14" t="n"/>
      <c r="D28" s="14" t="n"/>
      <c r="E28" s="24">
        <f>D28-C28</f>
        <v/>
      </c>
      <c r="F28" s="25">
        <f>IF(D28=0,0,D28/D46)</f>
        <v/>
      </c>
    </row>
    <row r="29">
      <c r="B29" t="inlineStr">
        <is>
          <t>Insurance</t>
        </is>
      </c>
      <c r="C29" s="14" t="n"/>
      <c r="D29" s="14" t="n"/>
      <c r="E29" s="24">
        <f>D29-C29</f>
        <v/>
      </c>
      <c r="F29" s="25">
        <f>IF(D29=0,0,D29/D47)</f>
        <v/>
      </c>
    </row>
    <row r="30">
      <c r="B30" t="inlineStr">
        <is>
          <t>Payroll</t>
        </is>
      </c>
      <c r="C30" s="14" t="n"/>
      <c r="D30" s="14" t="n"/>
      <c r="E30" s="24">
        <f>D30-C30</f>
        <v/>
      </c>
      <c r="F30" s="25">
        <f>IF(D30=0,0,D30/D48)</f>
        <v/>
      </c>
    </row>
    <row r="31">
      <c r="B31" t="inlineStr">
        <is>
          <t>Taxes</t>
        </is>
      </c>
      <c r="C31" s="14" t="n"/>
      <c r="D31" s="14" t="n"/>
      <c r="E31" s="24">
        <f>D31-C31</f>
        <v/>
      </c>
      <c r="F31" s="25">
        <f>IF(D31=0,0,D31/D49)</f>
        <v/>
      </c>
    </row>
    <row r="32">
      <c r="B32" t="inlineStr">
        <is>
          <t>Office Supplies</t>
        </is>
      </c>
      <c r="C32" s="14" t="n"/>
      <c r="D32" s="14" t="n"/>
      <c r="E32" s="24">
        <f>D32-C32</f>
        <v/>
      </c>
      <c r="F32" s="25">
        <f>IF(D32=0,0,D32/D50)</f>
        <v/>
      </c>
    </row>
    <row r="33">
      <c r="B33" t="inlineStr">
        <is>
          <t>Marketing/Advertising</t>
        </is>
      </c>
      <c r="C33" s="14" t="n"/>
      <c r="D33" s="14" t="n"/>
      <c r="E33" s="24">
        <f>D33-C33</f>
        <v/>
      </c>
      <c r="F33" s="25">
        <f>IF(D33=0,0,D33/D51)</f>
        <v/>
      </c>
    </row>
    <row r="34">
      <c r="B34" t="inlineStr">
        <is>
          <t>Professional Services</t>
        </is>
      </c>
      <c r="C34" s="14" t="n"/>
      <c r="D34" s="14" t="n"/>
      <c r="E34" s="24">
        <f>D34-C34</f>
        <v/>
      </c>
      <c r="F34" s="25">
        <f>IF(D34=0,0,D34/D52)</f>
        <v/>
      </c>
    </row>
    <row r="35">
      <c r="B35" t="inlineStr">
        <is>
          <t>Loan Repayments</t>
        </is>
      </c>
      <c r="C35" s="14" t="n"/>
      <c r="D35" s="14" t="n"/>
      <c r="E35" s="24">
        <f>D35-C35</f>
        <v/>
      </c>
      <c r="F35" s="25">
        <f>IF(D35=0,0,D35/D53)</f>
        <v/>
      </c>
    </row>
    <row r="36">
      <c r="B36" t="inlineStr">
        <is>
          <t>Software/Subscriptions</t>
        </is>
      </c>
      <c r="C36" s="14" t="n"/>
      <c r="D36" s="14" t="n"/>
      <c r="E36" s="24">
        <f>D36-C36</f>
        <v/>
      </c>
      <c r="F36" s="25">
        <f>IF(D36=0,0,D36/D54)</f>
        <v/>
      </c>
    </row>
    <row r="37">
      <c r="B37" t="inlineStr">
        <is>
          <t>Travel</t>
        </is>
      </c>
      <c r="C37" s="14" t="n"/>
      <c r="D37" s="14" t="n"/>
      <c r="E37" s="24">
        <f>D37-C37</f>
        <v/>
      </c>
      <c r="F37" s="25">
        <f>IF(D37=0,0,D37/D55)</f>
        <v/>
      </c>
    </row>
    <row r="38">
      <c r="B38" t="inlineStr">
        <is>
          <t>Meals/Entertainment</t>
        </is>
      </c>
      <c r="C38" s="14" t="n"/>
      <c r="D38" s="14" t="n"/>
      <c r="E38" s="24">
        <f>D38-C38</f>
        <v/>
      </c>
      <c r="F38" s="25">
        <f>IF(D38=0,0,D38/D56)</f>
        <v/>
      </c>
    </row>
    <row r="39">
      <c r="B39" t="inlineStr">
        <is>
          <t>Vehicle Expenses</t>
        </is>
      </c>
      <c r="C39" s="14" t="n"/>
      <c r="D39" s="14" t="n"/>
      <c r="E39" s="24">
        <f>D39-C39</f>
        <v/>
      </c>
      <c r="F39" s="25">
        <f>IF(D39=0,0,D39/D57)</f>
        <v/>
      </c>
    </row>
    <row r="40">
      <c r="B40" t="inlineStr">
        <is>
          <t>Equipment Purchases</t>
        </is>
      </c>
      <c r="C40" s="14" t="n"/>
      <c r="D40" s="14" t="n"/>
      <c r="E40" s="24">
        <f>D40-C40</f>
        <v/>
      </c>
      <c r="F40" s="25">
        <f>IF(D40=0,0,D40/D58)</f>
        <v/>
      </c>
    </row>
    <row r="41">
      <c r="B41" t="inlineStr">
        <is>
          <t>Licenses/Permits</t>
        </is>
      </c>
      <c r="C41" s="14" t="n"/>
      <c r="D41" s="14" t="n"/>
      <c r="E41" s="24">
        <f>D41-C41</f>
        <v/>
      </c>
      <c r="F41" s="25">
        <f>IF(D41=0,0,D41/D59)</f>
        <v/>
      </c>
    </row>
    <row r="42">
      <c r="B42" t="inlineStr">
        <is>
          <t>Training/Education</t>
        </is>
      </c>
      <c r="C42" s="14" t="n"/>
      <c r="D42" s="14" t="n"/>
      <c r="E42" s="24">
        <f>D42-C42</f>
        <v/>
      </c>
      <c r="F42" s="25">
        <f>IF(D42=0,0,D42/D60)</f>
        <v/>
      </c>
    </row>
    <row r="43">
      <c r="B43" t="inlineStr">
        <is>
          <t>Miscellaneous</t>
        </is>
      </c>
      <c r="C43" s="14" t="n"/>
      <c r="D43" s="14" t="n"/>
      <c r="E43" s="24">
        <f>D43-C43</f>
        <v/>
      </c>
      <c r="F43" s="25">
        <f>IF(D43=0,0,D43/D61)</f>
        <v/>
      </c>
    </row>
    <row r="44">
      <c r="B44" s="13" t="inlineStr">
        <is>
          <t>Total Expenses</t>
        </is>
      </c>
      <c r="C44" s="24">
        <f>SUM(C27:C43)</f>
        <v/>
      </c>
      <c r="D44" s="24">
        <f>SUM(D27:D43)</f>
        <v/>
      </c>
      <c r="E44" s="24">
        <f>D44-C44</f>
        <v/>
      </c>
      <c r="F44" s="24" t="inlineStr">
        <is>
          <t>100%</t>
        </is>
      </c>
    </row>
    <row r="46">
      <c r="B46" s="4" t="inlineStr">
        <is>
          <t>Net Income (Income - Expenses)</t>
        </is>
      </c>
    </row>
    <row r="47">
      <c r="B47" s="10" t="inlineStr">
        <is>
          <t>Category</t>
        </is>
      </c>
      <c r="C47" s="10" t="inlineStr">
        <is>
          <t>Projected</t>
        </is>
      </c>
      <c r="D47" s="10" t="inlineStr">
        <is>
          <t>Actual</t>
        </is>
      </c>
      <c r="E47" s="10" t="inlineStr">
        <is>
          <t>Variance</t>
        </is>
      </c>
    </row>
    <row r="48">
      <c r="B48" s="13" t="inlineStr">
        <is>
          <t>Net Income</t>
        </is>
      </c>
      <c r="C48" s="24">
        <f>C23-C44</f>
        <v/>
      </c>
      <c r="D48" s="24">
        <f>D23-D44</f>
        <v/>
      </c>
      <c r="E48" s="24">
        <f>D48-C48</f>
        <v/>
      </c>
    </row>
    <row r="52">
      <c r="B52" s="4" t="inlineStr">
        <is>
          <t>Budget Visualization</t>
        </is>
      </c>
    </row>
    <row r="67">
      <c r="B67" s="4" t="inlineStr">
        <is>
          <t>Budget Management Tips for CDFI Borrowers</t>
        </is>
      </c>
    </row>
    <row r="68">
      <c r="B68" t="inlineStr">
        <is>
          <t>1. Review your budget monthly and adjust projections as needed</t>
        </is>
      </c>
    </row>
    <row r="69">
      <c r="B69" t="inlineStr">
        <is>
          <t>2. Keep a minimum 10% buffer for unexpected expenses</t>
        </is>
      </c>
    </row>
    <row r="70">
      <c r="B70" t="inlineStr">
        <is>
          <t>3. Track seasonal patterns to better predict future needs</t>
        </is>
      </c>
    </row>
    <row r="71">
      <c r="B71" t="inlineStr">
        <is>
          <t>4. Separate fixed costs from variable costs to identify potential savings</t>
        </is>
      </c>
    </row>
    <row r="72">
      <c r="B72" t="inlineStr">
        <is>
          <t>5. Consider creating separate budgets for specific projects or business lines</t>
        </is>
      </c>
    </row>
  </sheetData>
  <conditionalFormatting sqref="C48">
    <cfRule type="cellIs" priority="1" operator="lessThan" dxfId="0" stopIfTrue="1">
      <formula>0</formula>
    </cfRule>
  </conditionalFormatting>
  <conditionalFormatting sqref="D48">
    <cfRule type="cellIs" priority="2" operator="lessThan" dxfId="0" stopIfTrue="1">
      <formula>0</formula>
    </cfRule>
  </conditionalFormatting>
  <conditionalFormatting sqref="E48">
    <cfRule type="cellIs" priority="3" operator="lessThan" dxfId="0" stopIfTrue="1">
      <formula>0</formula>
    </cfRule>
  </conditionalFormatting>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B2:N75"/>
  <sheetViews>
    <sheetView workbookViewId="0">
      <selection activeCell="A1" sqref="A1"/>
    </sheetView>
  </sheetViews>
  <sheetFormatPr baseColWidth="8" defaultRowHeight="15"/>
  <cols>
    <col width="5" customWidth="1" min="1" max="1"/>
    <col width="25" customWidth="1" min="2" max="2"/>
    <col width="12" customWidth="1" min="3" max="3"/>
    <col width="12" customWidth="1" min="4" max="4"/>
    <col width="12" customWidth="1" min="5" max="5"/>
    <col width="12" customWidth="1" min="6" max="6"/>
    <col width="12" customWidth="1" min="7" max="7"/>
    <col width="12" customWidth="1" min="8" max="8"/>
    <col width="12" customWidth="1" min="9" max="9"/>
    <col width="12" customWidth="1" min="10" max="10"/>
    <col width="12" customWidth="1" min="11" max="11"/>
    <col width="12" customWidth="1" min="12" max="12"/>
    <col width="12" customWidth="1" min="13" max="13"/>
    <col width="12" customWidth="1" min="14" max="14"/>
  </cols>
  <sheetData>
    <row r="2">
      <c r="B2" s="7" t="inlineStr">
        <is>
          <t>Cash Flow Forecasting Tool</t>
        </is>
      </c>
    </row>
    <row r="3">
      <c r="B3" s="8" t="inlineStr">
        <is>
          <t>Project your business's cash flow for the next 12 months</t>
        </is>
      </c>
    </row>
    <row r="5">
      <c r="B5" s="6" t="inlineStr">
        <is>
          <t>Instructions:</t>
        </is>
      </c>
    </row>
    <row r="6">
      <c r="B6" s="5" t="inlineStr">
        <is>
          <t>1. Enter your starting cash balance
    2. Fill in projected cash inflows and outflows for each month
    3. The tool will calculate your monthly and cumulative cash flow
    4. Watch for negative balances that may indicate cash flow problems</t>
        </is>
      </c>
    </row>
    <row r="8">
      <c r="B8" s="4" t="inlineStr">
        <is>
          <t>Why Cash Flow Matters for CDFI Borrowers</t>
        </is>
      </c>
    </row>
    <row r="9">
      <c r="B9" s="5" t="inlineStr">
        <is>
          <t>Cash flow forecasting is critical for CDFI loan applicants because:
    • Lenders analyze cash flow to determine loan affordability
    • It helps identify months when you might need additional financing
    • It demonstrates financial management capability to lenders
    • It allows you to plan for debt repayment responsibilities</t>
        </is>
      </c>
    </row>
    <row r="12">
      <c r="B12" s="13" t="inlineStr">
        <is>
          <t>Starting Cash Balance ($)</t>
        </is>
      </c>
      <c r="C12" s="14" t="n">
        <v>10000</v>
      </c>
    </row>
    <row r="14">
      <c r="B14" s="10" t="inlineStr">
        <is>
          <t>Category</t>
        </is>
      </c>
      <c r="C14" s="10" t="inlineStr">
        <is>
          <t>January</t>
        </is>
      </c>
      <c r="D14" s="10" t="inlineStr">
        <is>
          <t>February</t>
        </is>
      </c>
      <c r="E14" s="10" t="inlineStr">
        <is>
          <t>March</t>
        </is>
      </c>
      <c r="F14" s="10" t="inlineStr">
        <is>
          <t>April</t>
        </is>
      </c>
      <c r="G14" s="10" t="inlineStr">
        <is>
          <t>May</t>
        </is>
      </c>
      <c r="H14" s="10" t="inlineStr">
        <is>
          <t>June</t>
        </is>
      </c>
      <c r="I14" s="10" t="inlineStr">
        <is>
          <t>July</t>
        </is>
      </c>
      <c r="J14" s="10" t="inlineStr">
        <is>
          <t>August</t>
        </is>
      </c>
      <c r="K14" s="10" t="inlineStr">
        <is>
          <t>September</t>
        </is>
      </c>
      <c r="L14" s="10" t="inlineStr">
        <is>
          <t>October</t>
        </is>
      </c>
      <c r="M14" s="10" t="inlineStr">
        <is>
          <t>November</t>
        </is>
      </c>
      <c r="N14" s="10" t="inlineStr">
        <is>
          <t>December</t>
        </is>
      </c>
    </row>
    <row r="15">
      <c r="B15" s="6" t="inlineStr">
        <is>
          <t>Cash Inflows</t>
        </is>
      </c>
    </row>
    <row r="16">
      <c r="B16" t="inlineStr">
        <is>
          <t>Sales Revenue</t>
        </is>
      </c>
      <c r="C16" s="26" t="n"/>
      <c r="D16" s="26" t="n"/>
      <c r="E16" s="26" t="n"/>
      <c r="F16" s="26" t="n"/>
      <c r="G16" s="26" t="n"/>
      <c r="H16" s="26" t="n"/>
      <c r="I16" s="26" t="n"/>
      <c r="J16" s="26" t="n"/>
      <c r="K16" s="26" t="n"/>
      <c r="L16" s="26" t="n"/>
      <c r="M16" s="26" t="n"/>
      <c r="N16" s="26" t="n"/>
    </row>
    <row r="17">
      <c r="B17" t="inlineStr">
        <is>
          <t>Accounts Receivable Collections</t>
        </is>
      </c>
      <c r="C17" s="26" t="n"/>
      <c r="D17" s="26" t="n"/>
      <c r="E17" s="26" t="n"/>
      <c r="F17" s="26" t="n"/>
      <c r="G17" s="26" t="n"/>
      <c r="H17" s="26" t="n"/>
      <c r="I17" s="26" t="n"/>
      <c r="J17" s="26" t="n"/>
      <c r="K17" s="26" t="n"/>
      <c r="L17" s="26" t="n"/>
      <c r="M17" s="26" t="n"/>
      <c r="N17" s="26" t="n"/>
    </row>
    <row r="18">
      <c r="B18" t="inlineStr">
        <is>
          <t>Loan Proceeds</t>
        </is>
      </c>
      <c r="C18" s="26" t="n"/>
      <c r="D18" s="26" t="n"/>
      <c r="E18" s="26" t="n"/>
      <c r="F18" s="26" t="n"/>
      <c r="G18" s="26" t="n"/>
      <c r="H18" s="26" t="n"/>
      <c r="I18" s="26" t="n"/>
      <c r="J18" s="26" t="n"/>
      <c r="K18" s="26" t="n"/>
      <c r="L18" s="26" t="n"/>
      <c r="M18" s="26" t="n"/>
      <c r="N18" s="26" t="n"/>
    </row>
    <row r="19">
      <c r="B19" t="inlineStr">
        <is>
          <t>Owner Investments</t>
        </is>
      </c>
      <c r="C19" s="26" t="n"/>
      <c r="D19" s="26" t="n"/>
      <c r="E19" s="26" t="n"/>
      <c r="F19" s="26" t="n"/>
      <c r="G19" s="26" t="n"/>
      <c r="H19" s="26" t="n"/>
      <c r="I19" s="26" t="n"/>
      <c r="J19" s="26" t="n"/>
      <c r="K19" s="26" t="n"/>
      <c r="L19" s="26" t="n"/>
      <c r="M19" s="26" t="n"/>
      <c r="N19" s="26" t="n"/>
    </row>
    <row r="20">
      <c r="B20" t="inlineStr">
        <is>
          <t>Asset Sales</t>
        </is>
      </c>
      <c r="C20" s="26" t="n"/>
      <c r="D20" s="26" t="n"/>
      <c r="E20" s="26" t="n"/>
      <c r="F20" s="26" t="n"/>
      <c r="G20" s="26" t="n"/>
      <c r="H20" s="26" t="n"/>
      <c r="I20" s="26" t="n"/>
      <c r="J20" s="26" t="n"/>
      <c r="K20" s="26" t="n"/>
      <c r="L20" s="26" t="n"/>
      <c r="M20" s="26" t="n"/>
      <c r="N20" s="26" t="n"/>
    </row>
    <row r="21">
      <c r="B21" t="inlineStr">
        <is>
          <t>Tax Refunds</t>
        </is>
      </c>
      <c r="C21" s="26" t="n"/>
      <c r="D21" s="26" t="n"/>
      <c r="E21" s="26" t="n"/>
      <c r="F21" s="26" t="n"/>
      <c r="G21" s="26" t="n"/>
      <c r="H21" s="26" t="n"/>
      <c r="I21" s="26" t="n"/>
      <c r="J21" s="26" t="n"/>
      <c r="K21" s="26" t="n"/>
      <c r="L21" s="26" t="n"/>
      <c r="M21" s="26" t="n"/>
      <c r="N21" s="26" t="n"/>
    </row>
    <row r="22">
      <c r="B22" t="inlineStr">
        <is>
          <t>Grants/Subsidies</t>
        </is>
      </c>
      <c r="C22" s="26" t="n"/>
      <c r="D22" s="26" t="n"/>
      <c r="E22" s="26" t="n"/>
      <c r="F22" s="26" t="n"/>
      <c r="G22" s="26" t="n"/>
      <c r="H22" s="26" t="n"/>
      <c r="I22" s="26" t="n"/>
      <c r="J22" s="26" t="n"/>
      <c r="K22" s="26" t="n"/>
      <c r="L22" s="26" t="n"/>
      <c r="M22" s="26" t="n"/>
      <c r="N22" s="26" t="n"/>
    </row>
    <row r="23">
      <c r="B23" t="inlineStr">
        <is>
          <t>Other Income</t>
        </is>
      </c>
      <c r="C23" s="26" t="n"/>
      <c r="D23" s="26" t="n"/>
      <c r="E23" s="26" t="n"/>
      <c r="F23" s="26" t="n"/>
      <c r="G23" s="26" t="n"/>
      <c r="H23" s="26" t="n"/>
      <c r="I23" s="26" t="n"/>
      <c r="J23" s="26" t="n"/>
      <c r="K23" s="26" t="n"/>
      <c r="L23" s="26" t="n"/>
      <c r="M23" s="26" t="n"/>
      <c r="N23" s="26" t="n"/>
    </row>
    <row r="24">
      <c r="B24" s="13" t="inlineStr">
        <is>
          <t>Total Inflows</t>
        </is>
      </c>
      <c r="C24" s="15">
        <f>SUM(C16:C23)</f>
        <v/>
      </c>
      <c r="D24" s="15">
        <f>SUM(D16:D23)</f>
        <v/>
      </c>
      <c r="E24" s="15">
        <f>SUM(E16:E23)</f>
        <v/>
      </c>
      <c r="F24" s="15">
        <f>SUM(F16:F23)</f>
        <v/>
      </c>
      <c r="G24" s="15">
        <f>SUM(G16:G23)</f>
        <v/>
      </c>
      <c r="H24" s="15">
        <f>SUM(H16:H23)</f>
        <v/>
      </c>
      <c r="I24" s="15">
        <f>SUM(I16:I23)</f>
        <v/>
      </c>
      <c r="J24" s="15">
        <f>SUM(J16:J23)</f>
        <v/>
      </c>
      <c r="K24" s="15">
        <f>SUM(K16:K23)</f>
        <v/>
      </c>
      <c r="L24" s="15">
        <f>SUM(L16:L23)</f>
        <v/>
      </c>
      <c r="M24" s="15">
        <f>SUM(M16:M23)</f>
        <v/>
      </c>
      <c r="N24" s="15">
        <f>SUM(N16:N23)</f>
        <v/>
      </c>
    </row>
    <row r="26">
      <c r="B26" s="6" t="inlineStr">
        <is>
          <t>Cash Outflows</t>
        </is>
      </c>
    </row>
    <row r="27">
      <c r="B27" t="inlineStr">
        <is>
          <t>Inventory Purchases</t>
        </is>
      </c>
      <c r="C27" s="26" t="n"/>
      <c r="D27" s="26" t="n"/>
      <c r="E27" s="26" t="n"/>
      <c r="F27" s="26" t="n"/>
      <c r="G27" s="26" t="n"/>
      <c r="H27" s="26" t="n"/>
      <c r="I27" s="26" t="n"/>
      <c r="J27" s="26" t="n"/>
      <c r="K27" s="26" t="n"/>
      <c r="L27" s="26" t="n"/>
      <c r="M27" s="26" t="n"/>
      <c r="N27" s="26" t="n"/>
    </row>
    <row r="28">
      <c r="B28" t="inlineStr">
        <is>
          <t>Payroll</t>
        </is>
      </c>
      <c r="C28" s="26" t="n"/>
      <c r="D28" s="26" t="n"/>
      <c r="E28" s="26" t="n"/>
      <c r="F28" s="26" t="n"/>
      <c r="G28" s="26" t="n"/>
      <c r="H28" s="26" t="n"/>
      <c r="I28" s="26" t="n"/>
      <c r="J28" s="26" t="n"/>
      <c r="K28" s="26" t="n"/>
      <c r="L28" s="26" t="n"/>
      <c r="M28" s="26" t="n"/>
      <c r="N28" s="26" t="n"/>
    </row>
    <row r="29">
      <c r="B29" t="inlineStr">
        <is>
          <t>Rent/Mortgage</t>
        </is>
      </c>
      <c r="C29" s="26" t="n"/>
      <c r="D29" s="26" t="n"/>
      <c r="E29" s="26" t="n"/>
      <c r="F29" s="26" t="n"/>
      <c r="G29" s="26" t="n"/>
      <c r="H29" s="26" t="n"/>
      <c r="I29" s="26" t="n"/>
      <c r="J29" s="26" t="n"/>
      <c r="K29" s="26" t="n"/>
      <c r="L29" s="26" t="n"/>
      <c r="M29" s="26" t="n"/>
      <c r="N29" s="26" t="n"/>
    </row>
    <row r="30">
      <c r="B30" t="inlineStr">
        <is>
          <t>Utilities</t>
        </is>
      </c>
      <c r="C30" s="26" t="n"/>
      <c r="D30" s="26" t="n"/>
      <c r="E30" s="26" t="n"/>
      <c r="F30" s="26" t="n"/>
      <c r="G30" s="26" t="n"/>
      <c r="H30" s="26" t="n"/>
      <c r="I30" s="26" t="n"/>
      <c r="J30" s="26" t="n"/>
      <c r="K30" s="26" t="n"/>
      <c r="L30" s="26" t="n"/>
      <c r="M30" s="26" t="n"/>
      <c r="N30" s="26" t="n"/>
    </row>
    <row r="31">
      <c r="B31" t="inlineStr">
        <is>
          <t>Equipment Purchases</t>
        </is>
      </c>
      <c r="C31" s="26" t="n"/>
      <c r="D31" s="26" t="n"/>
      <c r="E31" s="26" t="n"/>
      <c r="F31" s="26" t="n"/>
      <c r="G31" s="26" t="n"/>
      <c r="H31" s="26" t="n"/>
      <c r="I31" s="26" t="n"/>
      <c r="J31" s="26" t="n"/>
      <c r="K31" s="26" t="n"/>
      <c r="L31" s="26" t="n"/>
      <c r="M31" s="26" t="n"/>
      <c r="N31" s="26" t="n"/>
    </row>
    <row r="32">
      <c r="B32" t="inlineStr">
        <is>
          <t>Loan Payments</t>
        </is>
      </c>
      <c r="C32" s="26" t="n"/>
      <c r="D32" s="26" t="n"/>
      <c r="E32" s="26" t="n"/>
      <c r="F32" s="26" t="n"/>
      <c r="G32" s="26" t="n"/>
      <c r="H32" s="26" t="n"/>
      <c r="I32" s="26" t="n"/>
      <c r="J32" s="26" t="n"/>
      <c r="K32" s="26" t="n"/>
      <c r="L32" s="26" t="n"/>
      <c r="M32" s="26" t="n"/>
      <c r="N32" s="26" t="n"/>
    </row>
    <row r="33">
      <c r="B33" t="inlineStr">
        <is>
          <t>Insurance</t>
        </is>
      </c>
      <c r="C33" s="26" t="n"/>
      <c r="D33" s="26" t="n"/>
      <c r="E33" s="26" t="n"/>
      <c r="F33" s="26" t="n"/>
      <c r="G33" s="26" t="n"/>
      <c r="H33" s="26" t="n"/>
      <c r="I33" s="26" t="n"/>
      <c r="J33" s="26" t="n"/>
      <c r="K33" s="26" t="n"/>
      <c r="L33" s="26" t="n"/>
      <c r="M33" s="26" t="n"/>
      <c r="N33" s="26" t="n"/>
    </row>
    <row r="34">
      <c r="B34" t="inlineStr">
        <is>
          <t>Taxes</t>
        </is>
      </c>
      <c r="C34" s="26" t="n"/>
      <c r="D34" s="26" t="n"/>
      <c r="E34" s="26" t="n"/>
      <c r="F34" s="26" t="n"/>
      <c r="G34" s="26" t="n"/>
      <c r="H34" s="26" t="n"/>
      <c r="I34" s="26" t="n"/>
      <c r="J34" s="26" t="n"/>
      <c r="K34" s="26" t="n"/>
      <c r="L34" s="26" t="n"/>
      <c r="M34" s="26" t="n"/>
      <c r="N34" s="26" t="n"/>
    </row>
    <row r="35">
      <c r="B35" t="inlineStr">
        <is>
          <t>Marketing/Advertising</t>
        </is>
      </c>
      <c r="C35" s="26" t="n"/>
      <c r="D35" s="26" t="n"/>
      <c r="E35" s="26" t="n"/>
      <c r="F35" s="26" t="n"/>
      <c r="G35" s="26" t="n"/>
      <c r="H35" s="26" t="n"/>
      <c r="I35" s="26" t="n"/>
      <c r="J35" s="26" t="n"/>
      <c r="K35" s="26" t="n"/>
      <c r="L35" s="26" t="n"/>
      <c r="M35" s="26" t="n"/>
      <c r="N35" s="26" t="n"/>
    </row>
    <row r="36">
      <c r="B36" t="inlineStr">
        <is>
          <t>Professional Fees</t>
        </is>
      </c>
      <c r="C36" s="26" t="n"/>
      <c r="D36" s="26" t="n"/>
      <c r="E36" s="26" t="n"/>
      <c r="F36" s="26" t="n"/>
      <c r="G36" s="26" t="n"/>
      <c r="H36" s="26" t="n"/>
      <c r="I36" s="26" t="n"/>
      <c r="J36" s="26" t="n"/>
      <c r="K36" s="26" t="n"/>
      <c r="L36" s="26" t="n"/>
      <c r="M36" s="26" t="n"/>
      <c r="N36" s="26" t="n"/>
    </row>
    <row r="37">
      <c r="B37" t="inlineStr">
        <is>
          <t>Supplies</t>
        </is>
      </c>
      <c r="C37" s="26" t="n"/>
      <c r="D37" s="26" t="n"/>
      <c r="E37" s="26" t="n"/>
      <c r="F37" s="26" t="n"/>
      <c r="G37" s="26" t="n"/>
      <c r="H37" s="26" t="n"/>
      <c r="I37" s="26" t="n"/>
      <c r="J37" s="26" t="n"/>
      <c r="K37" s="26" t="n"/>
      <c r="L37" s="26" t="n"/>
      <c r="M37" s="26" t="n"/>
      <c r="N37" s="26" t="n"/>
    </row>
    <row r="38">
      <c r="B38" t="inlineStr">
        <is>
          <t>Repairs/Maintenance</t>
        </is>
      </c>
      <c r="C38" s="26" t="n"/>
      <c r="D38" s="26" t="n"/>
      <c r="E38" s="26" t="n"/>
      <c r="F38" s="26" t="n"/>
      <c r="G38" s="26" t="n"/>
      <c r="H38" s="26" t="n"/>
      <c r="I38" s="26" t="n"/>
      <c r="J38" s="26" t="n"/>
      <c r="K38" s="26" t="n"/>
      <c r="L38" s="26" t="n"/>
      <c r="M38" s="26" t="n"/>
      <c r="N38" s="26" t="n"/>
    </row>
    <row r="39">
      <c r="B39" t="inlineStr">
        <is>
          <t>Travel</t>
        </is>
      </c>
      <c r="C39" s="26" t="n"/>
      <c r="D39" s="26" t="n"/>
      <c r="E39" s="26" t="n"/>
      <c r="F39" s="26" t="n"/>
      <c r="G39" s="26" t="n"/>
      <c r="H39" s="26" t="n"/>
      <c r="I39" s="26" t="n"/>
      <c r="J39" s="26" t="n"/>
      <c r="K39" s="26" t="n"/>
      <c r="L39" s="26" t="n"/>
      <c r="M39" s="26" t="n"/>
      <c r="N39" s="26" t="n"/>
    </row>
    <row r="40">
      <c r="B40" t="inlineStr">
        <is>
          <t>Owner Draws</t>
        </is>
      </c>
      <c r="C40" s="26" t="n"/>
      <c r="D40" s="26" t="n"/>
      <c r="E40" s="26" t="n"/>
      <c r="F40" s="26" t="n"/>
      <c r="G40" s="26" t="n"/>
      <c r="H40" s="26" t="n"/>
      <c r="I40" s="26" t="n"/>
      <c r="J40" s="26" t="n"/>
      <c r="K40" s="26" t="n"/>
      <c r="L40" s="26" t="n"/>
      <c r="M40" s="26" t="n"/>
      <c r="N40" s="26" t="n"/>
    </row>
    <row r="41">
      <c r="B41" t="inlineStr">
        <is>
          <t>Other Expenses</t>
        </is>
      </c>
      <c r="C41" s="26" t="n"/>
      <c r="D41" s="26" t="n"/>
      <c r="E41" s="26" t="n"/>
      <c r="F41" s="26" t="n"/>
      <c r="G41" s="26" t="n"/>
      <c r="H41" s="26" t="n"/>
      <c r="I41" s="26" t="n"/>
      <c r="J41" s="26" t="n"/>
      <c r="K41" s="26" t="n"/>
      <c r="L41" s="26" t="n"/>
      <c r="M41" s="26" t="n"/>
      <c r="N41" s="26" t="n"/>
    </row>
    <row r="42">
      <c r="B42" s="13" t="inlineStr">
        <is>
          <t>Total Outflows</t>
        </is>
      </c>
      <c r="C42" s="15">
        <f>SUM(C27:C41)</f>
        <v/>
      </c>
      <c r="D42" s="15">
        <f>SUM(D27:D41)</f>
        <v/>
      </c>
      <c r="E42" s="15">
        <f>SUM(E27:E41)</f>
        <v/>
      </c>
      <c r="F42" s="15">
        <f>SUM(F27:F41)</f>
        <v/>
      </c>
      <c r="G42" s="15">
        <f>SUM(G27:G41)</f>
        <v/>
      </c>
      <c r="H42" s="15">
        <f>SUM(H27:H41)</f>
        <v/>
      </c>
      <c r="I42" s="15">
        <f>SUM(I27:I41)</f>
        <v/>
      </c>
      <c r="J42" s="15">
        <f>SUM(J27:J41)</f>
        <v/>
      </c>
      <c r="K42" s="15">
        <f>SUM(K27:K41)</f>
        <v/>
      </c>
      <c r="L42" s="15">
        <f>SUM(L27:L41)</f>
        <v/>
      </c>
      <c r="M42" s="15">
        <f>SUM(M27:M41)</f>
        <v/>
      </c>
      <c r="N42" s="15">
        <f>SUM(N27:N41)</f>
        <v/>
      </c>
    </row>
    <row r="44">
      <c r="B44" s="6" t="inlineStr">
        <is>
          <t>Net Cash Flow (Inflows - Outflows)</t>
        </is>
      </c>
    </row>
    <row r="45">
      <c r="B45" s="13" t="inlineStr">
        <is>
          <t>Net Monthly Cash Flow</t>
        </is>
      </c>
      <c r="C45" s="15">
        <f>C24-C42</f>
        <v/>
      </c>
      <c r="D45" s="15">
        <f>D24-D42</f>
        <v/>
      </c>
      <c r="E45" s="15">
        <f>E24-E42</f>
        <v/>
      </c>
      <c r="F45" s="15">
        <f>F24-F42</f>
        <v/>
      </c>
      <c r="G45" s="15">
        <f>G24-G42</f>
        <v/>
      </c>
      <c r="H45" s="15">
        <f>H24-H42</f>
        <v/>
      </c>
      <c r="I45" s="15">
        <f>I24-I42</f>
        <v/>
      </c>
      <c r="J45" s="15">
        <f>J24-J42</f>
        <v/>
      </c>
      <c r="K45" s="15">
        <f>K24-K42</f>
        <v/>
      </c>
      <c r="L45" s="15">
        <f>L24-L42</f>
        <v/>
      </c>
      <c r="M45" s="15">
        <f>M24-M42</f>
        <v/>
      </c>
      <c r="N45" s="15">
        <f>N24-N42</f>
        <v/>
      </c>
    </row>
    <row r="47">
      <c r="B47" s="6" t="inlineStr">
        <is>
          <t>Running Cash Balance</t>
        </is>
      </c>
    </row>
    <row r="48">
      <c r="B48" s="13" t="inlineStr">
        <is>
          <t>End of Month Cash Balance</t>
        </is>
      </c>
      <c r="C48" s="15">
        <f>$C$12+C45</f>
        <v/>
      </c>
      <c r="D48" s="15">
        <f>C48+D45</f>
        <v/>
      </c>
      <c r="E48" s="15">
        <f>D48+E45</f>
        <v/>
      </c>
      <c r="F48" s="15">
        <f>E48+F45</f>
        <v/>
      </c>
      <c r="G48" s="15">
        <f>F48+G45</f>
        <v/>
      </c>
      <c r="H48" s="15">
        <f>G48+H45</f>
        <v/>
      </c>
      <c r="I48" s="15">
        <f>H48+I45</f>
        <v/>
      </c>
      <c r="J48" s="15">
        <f>I48+J45</f>
        <v/>
      </c>
      <c r="K48" s="15">
        <f>J48+K45</f>
        <v/>
      </c>
      <c r="L48" s="15">
        <f>K48+L45</f>
        <v/>
      </c>
      <c r="M48" s="15">
        <f>L48+M45</f>
        <v/>
      </c>
      <c r="N48" s="15">
        <f>M48+N45</f>
        <v/>
      </c>
    </row>
    <row r="51">
      <c r="B51" s="4" t="inlineStr">
        <is>
          <t>Cash Flow Visualization</t>
        </is>
      </c>
    </row>
    <row r="66">
      <c r="B66" s="4" t="inlineStr">
        <is>
          <t>Cash Flow Management Tips for CDFI Borrowers</t>
        </is>
      </c>
    </row>
    <row r="67">
      <c r="B67" t="inlineStr">
        <is>
          <t>1. Identify cash flow gaps early to arrange financing before it becomes an emergency</t>
        </is>
      </c>
    </row>
    <row r="68">
      <c r="B68" t="inlineStr">
        <is>
          <t>2. Negotiate longer payment terms with suppliers and shorter terms with customers</t>
        </is>
      </c>
    </row>
    <row r="69">
      <c r="B69" t="inlineStr">
        <is>
          <t>3. Consider offering early payment discounts to accelerate cash inflows</t>
        </is>
      </c>
    </row>
    <row r="70">
      <c r="B70" t="inlineStr">
        <is>
          <t>4. Build a cash reserve of 3-6 months' operating expenses for unexpected events</t>
        </is>
      </c>
    </row>
    <row r="71">
      <c r="B71" t="inlineStr">
        <is>
          <t>5. Update your cash flow forecast regularly as conditions change</t>
        </is>
      </c>
    </row>
    <row r="72">
      <c r="B72" t="inlineStr">
        <is>
          <t>6. For seasonal businesses, secure lines of credit during strong cash flow periods</t>
        </is>
      </c>
    </row>
    <row r="74">
      <c r="B74" s="6" t="inlineStr">
        <is>
          <t>Important Note: Cash Flow vs. Profit</t>
        </is>
      </c>
    </row>
    <row r="75">
      <c r="B75" s="5" t="inlineStr">
        <is>
          <t>Remember that cash flow is different from profit. A business can be profitable on paper but still face cash shortages if:
    • Customers are slow to pay
    • Inventory ties up cash before it can be sold
    • Growth requires investment before generating returns
    • Loan payments exceed net profit
    CDFIs assess both profitability and cash flow when evaluating loan applications.</t>
        </is>
      </c>
    </row>
  </sheetData>
  <conditionalFormatting sqref="C45">
    <cfRule type="cellIs" priority="1" operator="lessThan" dxfId="0" stopIfTrue="1">
      <formula>0</formula>
    </cfRule>
  </conditionalFormatting>
  <conditionalFormatting sqref="D45">
    <cfRule type="cellIs" priority="2" operator="lessThan" dxfId="0" stopIfTrue="1">
      <formula>0</formula>
    </cfRule>
  </conditionalFormatting>
  <conditionalFormatting sqref="E45">
    <cfRule type="cellIs" priority="3" operator="lessThan" dxfId="0" stopIfTrue="1">
      <formula>0</formula>
    </cfRule>
  </conditionalFormatting>
  <conditionalFormatting sqref="F45">
    <cfRule type="cellIs" priority="4" operator="lessThan" dxfId="0" stopIfTrue="1">
      <formula>0</formula>
    </cfRule>
  </conditionalFormatting>
  <conditionalFormatting sqref="G45">
    <cfRule type="cellIs" priority="5" operator="lessThan" dxfId="0" stopIfTrue="1">
      <formula>0</formula>
    </cfRule>
  </conditionalFormatting>
  <conditionalFormatting sqref="H45">
    <cfRule type="cellIs" priority="6" operator="lessThan" dxfId="0" stopIfTrue="1">
      <formula>0</formula>
    </cfRule>
  </conditionalFormatting>
  <conditionalFormatting sqref="I45">
    <cfRule type="cellIs" priority="7" operator="lessThan" dxfId="0" stopIfTrue="1">
      <formula>0</formula>
    </cfRule>
  </conditionalFormatting>
  <conditionalFormatting sqref="J45">
    <cfRule type="cellIs" priority="8" operator="lessThan" dxfId="0" stopIfTrue="1">
      <formula>0</formula>
    </cfRule>
  </conditionalFormatting>
  <conditionalFormatting sqref="K45">
    <cfRule type="cellIs" priority="9" operator="lessThan" dxfId="0" stopIfTrue="1">
      <formula>0</formula>
    </cfRule>
  </conditionalFormatting>
  <conditionalFormatting sqref="L45">
    <cfRule type="cellIs" priority="10" operator="lessThan" dxfId="0" stopIfTrue="1">
      <formula>0</formula>
    </cfRule>
  </conditionalFormatting>
  <conditionalFormatting sqref="M45">
    <cfRule type="cellIs" priority="11" operator="lessThan" dxfId="0" stopIfTrue="1">
      <formula>0</formula>
    </cfRule>
  </conditionalFormatting>
  <conditionalFormatting sqref="N45">
    <cfRule type="cellIs" priority="12" operator="lessThan" dxfId="0" stopIfTrue="1">
      <formula>0</formula>
    </cfRule>
  </conditionalFormatting>
  <conditionalFormatting sqref="C48">
    <cfRule type="cellIs" priority="13" operator="lessThan" dxfId="0" stopIfTrue="1">
      <formula>0</formula>
    </cfRule>
  </conditionalFormatting>
  <conditionalFormatting sqref="D48">
    <cfRule type="cellIs" priority="14" operator="lessThan" dxfId="0" stopIfTrue="1">
      <formula>0</formula>
    </cfRule>
  </conditionalFormatting>
  <conditionalFormatting sqref="E48">
    <cfRule type="cellIs" priority="15" operator="lessThan" dxfId="0" stopIfTrue="1">
      <formula>0</formula>
    </cfRule>
  </conditionalFormatting>
  <conditionalFormatting sqref="F48">
    <cfRule type="cellIs" priority="16" operator="lessThan" dxfId="0" stopIfTrue="1">
      <formula>0</formula>
    </cfRule>
  </conditionalFormatting>
  <conditionalFormatting sqref="G48">
    <cfRule type="cellIs" priority="17" operator="lessThan" dxfId="0" stopIfTrue="1">
      <formula>0</formula>
    </cfRule>
  </conditionalFormatting>
  <conditionalFormatting sqref="H48">
    <cfRule type="cellIs" priority="18" operator="lessThan" dxfId="0" stopIfTrue="1">
      <formula>0</formula>
    </cfRule>
  </conditionalFormatting>
  <conditionalFormatting sqref="I48">
    <cfRule type="cellIs" priority="19" operator="lessThan" dxfId="0" stopIfTrue="1">
      <formula>0</formula>
    </cfRule>
  </conditionalFormatting>
  <conditionalFormatting sqref="J48">
    <cfRule type="cellIs" priority="20" operator="lessThan" dxfId="0" stopIfTrue="1">
      <formula>0</formula>
    </cfRule>
  </conditionalFormatting>
  <conditionalFormatting sqref="K48">
    <cfRule type="cellIs" priority="21" operator="lessThan" dxfId="0" stopIfTrue="1">
      <formula>0</formula>
    </cfRule>
  </conditionalFormatting>
  <conditionalFormatting sqref="L48">
    <cfRule type="cellIs" priority="22" operator="lessThan" dxfId="0" stopIfTrue="1">
      <formula>0</formula>
    </cfRule>
  </conditionalFormatting>
  <conditionalFormatting sqref="M48">
    <cfRule type="cellIs" priority="23" operator="lessThan" dxfId="0" stopIfTrue="1">
      <formula>0</formula>
    </cfRule>
  </conditionalFormatting>
  <conditionalFormatting sqref="N48">
    <cfRule type="cellIs" priority="24" operator="lessThan" dxfId="0" stopIfTrue="1">
      <formula>0</formula>
    </cfRule>
  </conditionalFormatting>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B2:F85"/>
  <sheetViews>
    <sheetView workbookViewId="0">
      <selection activeCell="A1" sqref="A1"/>
    </sheetView>
  </sheetViews>
  <sheetFormatPr baseColWidth="8" defaultRowHeight="15"/>
  <cols>
    <col width="5" customWidth="1" min="1" max="1"/>
    <col width="30" customWidth="1" min="2" max="2"/>
    <col width="15" customWidth="1" min="3" max="3"/>
    <col width="15" customWidth="1" min="4" max="4"/>
    <col width="15" customWidth="1" min="5" max="5"/>
    <col width="20" customWidth="1" min="6" max="6"/>
  </cols>
  <sheetData>
    <row r="2">
      <c r="B2" s="7" t="inlineStr">
        <is>
          <t>CDFI Financing Comparison Tool</t>
        </is>
      </c>
    </row>
    <row r="3">
      <c r="B3" s="8" t="inlineStr">
        <is>
          <t>Compare financing options from different CDFIs</t>
        </is>
      </c>
    </row>
    <row r="5">
      <c r="B5" s="6" t="inlineStr">
        <is>
          <t>Instructions:</t>
        </is>
      </c>
    </row>
    <row r="6">
      <c r="B6" s="5" t="inlineStr">
        <is>
          <t>1. Enter the details of each CDFI loan offer in the green cells
    2. The tool will calculate key metrics for each offer
    3. Compare the total cost, monthly payments, and other factors to make an informed decision
    4. Consider non-financial factors in the qualitative comparison section</t>
        </is>
      </c>
    </row>
    <row r="8">
      <c r="B8" s="4" t="inlineStr">
        <is>
          <t>About Community Development Financial Institutions (CDFIs)</t>
        </is>
      </c>
    </row>
    <row r="9">
      <c r="B9" s="5" t="inlineStr">
        <is>
          <t>CDFIs are specialized financial institutions that work in markets underserved by traditional financial institutions. They provide:
    • Responsible, affordable lending to help low-income, low-wealth, and disadvantaged people and communities
    • Financial products and services that may not be available from traditional lenders
    • Technical assistance and financial education to borrowers
    Different CDFIs may offer varying terms, rates, and support services, so it's important to compare options.</t>
        </is>
      </c>
    </row>
    <row r="12">
      <c r="B12" s="4" t="inlineStr">
        <is>
          <t>Loan Offer Comparison</t>
        </is>
      </c>
    </row>
    <row r="13">
      <c r="B13" s="10" t="inlineStr">
        <is>
          <t>Loan Features</t>
        </is>
      </c>
      <c r="C13" s="10" t="inlineStr">
        <is>
          <t>CDFI Option 1</t>
        </is>
      </c>
      <c r="D13" s="10" t="inlineStr">
        <is>
          <t>CDFI Option 2</t>
        </is>
      </c>
      <c r="E13" s="10" t="inlineStr">
        <is>
          <t>CDFI Option 3</t>
        </is>
      </c>
      <c r="F13" s="10" t="inlineStr">
        <is>
          <t>Best Option</t>
        </is>
      </c>
    </row>
    <row r="14">
      <c r="B14" s="6" t="inlineStr">
        <is>
          <t>Basic Loan Information</t>
        </is>
      </c>
    </row>
    <row r="15">
      <c r="B15" t="inlineStr">
        <is>
          <t>CDFI Name</t>
        </is>
      </c>
      <c r="C15" s="14" t="n"/>
      <c r="D15" s="14" t="n"/>
      <c r="E15" s="14" t="n"/>
    </row>
    <row r="16">
      <c r="B16" t="inlineStr">
        <is>
          <t>Loan Amount ($)</t>
        </is>
      </c>
      <c r="C16" s="26" t="n"/>
      <c r="D16" s="26" t="n"/>
      <c r="E16" s="26" t="n"/>
    </row>
    <row r="17">
      <c r="B17" t="inlineStr">
        <is>
          <t>Loan Term (Years)</t>
        </is>
      </c>
      <c r="C17" s="27" t="n"/>
      <c r="D17" s="27" t="n"/>
      <c r="E17" s="27" t="n"/>
    </row>
    <row r="18">
      <c r="B18" t="inlineStr">
        <is>
          <t>Annual Interest Rate (%)</t>
        </is>
      </c>
      <c r="C18" s="28" t="n"/>
      <c r="D18" s="28" t="n"/>
      <c r="E18" s="28" t="n"/>
    </row>
    <row r="19">
      <c r="B19" t="inlineStr">
        <is>
          <t>Origination Fee (%)</t>
        </is>
      </c>
      <c r="C19" s="28" t="n"/>
      <c r="D19" s="28" t="n"/>
      <c r="E19" s="28" t="n"/>
    </row>
    <row r="20">
      <c r="B20" t="inlineStr">
        <is>
          <t>Other Fees ($)</t>
        </is>
      </c>
      <c r="C20" s="26" t="n"/>
      <c r="D20" s="26" t="n"/>
      <c r="E20" s="26" t="n"/>
    </row>
    <row r="21">
      <c r="B21" t="inlineStr">
        <is>
          <t>Closing Costs ($)</t>
        </is>
      </c>
      <c r="C21" s="26" t="n"/>
      <c r="D21" s="26" t="n"/>
      <c r="E21" s="26" t="n"/>
    </row>
    <row r="22">
      <c r="B22" t="inlineStr">
        <is>
          <t>Monthly Payment ($)</t>
        </is>
      </c>
      <c r="C22" s="15">
        <f>IF(AND(C19&gt;0,C20&gt;0,C21&gt;0),PMT(C21/12,C20*12,C19),"")</f>
        <v/>
      </c>
      <c r="D22" s="15">
        <f>IF(AND(D19&gt;0,D20&gt;0,D21&gt;0),PMT(D21/12,D20*12,D19),"")</f>
        <v/>
      </c>
      <c r="E22" s="15">
        <f>IF(AND(E19&gt;0,E20&gt;0,E21&gt;0),PMT(E21/12,E20*12,E19),"")</f>
        <v/>
      </c>
      <c r="F22" s="24">
        <f>IF(OR(COUNTBLANK(C22:E22)=3,COUNTIF(C22:E22,"&gt;0")=0),"",INDEX({"CDFI Option 1","CDFI Option 2","CDFI Option 3"},MATCH(MIN(IF(C22&gt;0,C22,99999999),IF(D22&gt;0,D22,99999999),IF(E22&gt;0,E22,99999999)),IF(C22&gt;0,C22,99999999),IF(D22&gt;0,D22,99999999),IF(E22&gt;0,E22,99999999)),0)))</f>
        <v/>
      </c>
    </row>
    <row r="23">
      <c r="B23" s="6" t="inlineStr">
        <is>
          <t>Additional Terms</t>
        </is>
      </c>
    </row>
    <row r="24">
      <c r="B24" t="inlineStr">
        <is>
          <t>Prepayment Penalty</t>
        </is>
      </c>
      <c r="C24" s="14" t="n"/>
      <c r="D24" s="14" t="n"/>
      <c r="E24" s="14" t="n"/>
    </row>
    <row r="25">
      <c r="B25" t="inlineStr">
        <is>
          <t>Collateral Required</t>
        </is>
      </c>
      <c r="C25" s="14" t="n"/>
      <c r="D25" s="14" t="n"/>
      <c r="E25" s="14" t="n"/>
    </row>
    <row r="26">
      <c r="B26" t="inlineStr">
        <is>
          <t>Down Payment Required (%)</t>
        </is>
      </c>
      <c r="C26" s="28" t="n"/>
      <c r="D26" s="28" t="n"/>
      <c r="E26" s="28" t="n"/>
    </row>
    <row r="27">
      <c r="B27" t="inlineStr">
        <is>
          <t>Minimum Credit Score</t>
        </is>
      </c>
      <c r="C27" s="14" t="n"/>
      <c r="D27" s="14" t="n"/>
      <c r="E27" s="14" t="n"/>
    </row>
    <row r="28">
      <c r="B28" t="inlineStr">
        <is>
          <t>Min. Debt Service Coverage Ratio</t>
        </is>
      </c>
      <c r="C28" s="14" t="n"/>
      <c r="D28" s="14" t="n"/>
      <c r="E28" s="14" t="n"/>
    </row>
    <row r="29">
      <c r="B29" s="6" t="inlineStr">
        <is>
          <t>Cost Analysis</t>
        </is>
      </c>
    </row>
    <row r="30">
      <c r="B30" t="inlineStr">
        <is>
          <t>Total Principal ($)</t>
        </is>
      </c>
      <c r="C30" s="15">
        <f>C16</f>
        <v/>
      </c>
      <c r="D30" s="15">
        <f>D16</f>
        <v/>
      </c>
      <c r="E30" s="15">
        <f>E16</f>
        <v/>
      </c>
    </row>
    <row r="31">
      <c r="B31" t="inlineStr">
        <is>
          <t>Total Interest ($)</t>
        </is>
      </c>
      <c r="C31" s="15">
        <f>IF(C24&gt;0,C24*C18*12-C17,"")</f>
        <v/>
      </c>
      <c r="D31" s="15">
        <f>IF(D24&gt;0,D24*D18*12-D17,"")</f>
        <v/>
      </c>
      <c r="E31" s="15">
        <f>IF(E24&gt;0,E24*E18*12-E17,"")</f>
        <v/>
      </c>
      <c r="F31" s="24">
        <f>IF(OR(COUNTBLANK(C31:E31)=3,COUNTIF(C31:E31,"&gt;0")=0),"",INDEX({"CDFI Option 1","CDFI Option 2","CDFI Option 3"},MATCH(MIN(IF(C31&gt;0,C31,99999999),IF(D31&gt;0,D31,99999999),IF(E31&gt;0,E31,99999999)),IF(C31&gt;0,C31,99999999),IF(D31&gt;0,D31,99999999),IF(E31&gt;0,E31,99999999)),0)))</f>
        <v/>
      </c>
    </row>
    <row r="32">
      <c r="B32" t="inlineStr">
        <is>
          <t>Total Fees and Costs ($)</t>
        </is>
      </c>
      <c r="C32" s="15">
        <f>C18*C21/100+C22+C23</f>
        <v/>
      </c>
      <c r="D32" s="15">
        <f>D18*D21/100+D22+D23</f>
        <v/>
      </c>
      <c r="E32" s="15">
        <f>E18*E21/100+E22+E23</f>
        <v/>
      </c>
      <c r="F32" s="24">
        <f>IF(OR(COUNTBLANK(C32:E32)=3,COUNTIF(C32:E32,"&gt;0")=0),"",INDEX({"CDFI Option 1","CDFI Option 2","CDFI Option 3"},MATCH(MIN(IF(C32&gt;0,C32,99999999),IF(D32&gt;0,D32,99999999),IF(E32&gt;0,E32,99999999)),IF(C32&gt;0,C32,99999999),IF(D32&gt;0,D32,99999999),IF(E32&gt;0,E32,99999999)),0)))</f>
        <v/>
      </c>
    </row>
    <row r="33">
      <c r="B33" t="inlineStr">
        <is>
          <t>Total Cost of Borrowing ($)</t>
        </is>
      </c>
      <c r="C33" s="15">
        <f>C31+C32+C32</f>
        <v/>
      </c>
      <c r="D33" s="15">
        <f>D31+D32+D32</f>
        <v/>
      </c>
      <c r="E33" s="15">
        <f>E31+E32+E32</f>
        <v/>
      </c>
      <c r="F33" s="24">
        <f>IF(OR(COUNTBLANK(C33:E33)=3,COUNTIF(C33:E33,"&gt;0")=0),"",INDEX({"CDFI Option 1","CDFI Option 2","CDFI Option 3"},MATCH(MIN(IF(C33&gt;0,C33,99999999),IF(D33&gt;0,D33,99999999),IF(E33&gt;0,E33,99999999)),IF(C33&gt;0,C33,99999999),IF(D33&gt;0,D33,99999999),IF(E33&gt;0,E33,99999999)),0)))</f>
        <v/>
      </c>
    </row>
    <row r="34">
      <c r="B34" t="inlineStr">
        <is>
          <t>Annual Percentage Rate (APR) (%)</t>
        </is>
      </c>
      <c r="C34" s="29">
        <f>C31+C22/(C16)</f>
        <v/>
      </c>
      <c r="D34" s="29">
        <f>D31+D22/(D16)</f>
        <v/>
      </c>
      <c r="E34" s="29">
        <f>E31+E22/(E16)</f>
        <v/>
      </c>
      <c r="F34" s="24">
        <f>IF(OR(COUNTBLANK(C34:E34)=3,COUNTIF(C34:E34,"&gt;0")=0),"",INDEX({"CDFI Option 1","CDFI Option 2","CDFI Option 3"},MATCH(MIN(IF(C34&gt;0,C34,99999999),IF(D34&gt;0,D34,99999999),IF(E34&gt;0,E34,99999999)),IF(C34&gt;0,C34,99999999),IF(D34&gt;0,D34,99999999),IF(E34&gt;0,E34,99999999)),0)))</f>
        <v/>
      </c>
    </row>
    <row r="37">
      <c r="B37" s="4" t="inlineStr">
        <is>
          <t>Qualitative Comparison</t>
        </is>
      </c>
    </row>
    <row r="38">
      <c r="B38" t="inlineStr">
        <is>
          <t>Consider these non-financial factors when comparing CDFI options:</t>
        </is>
      </c>
    </row>
    <row r="40">
      <c r="B40" s="10" t="inlineStr">
        <is>
          <t>Factor</t>
        </is>
      </c>
      <c r="C40" s="10" t="inlineStr">
        <is>
          <t>CDFI Option 1</t>
        </is>
      </c>
      <c r="D40" s="10" t="inlineStr">
        <is>
          <t>CDFI Option 2</t>
        </is>
      </c>
      <c r="E40" s="10" t="inlineStr">
        <is>
          <t>CDFI Option 3</t>
        </is>
      </c>
      <c r="F40" s="10" t="inlineStr">
        <is>
          <t>Notes</t>
        </is>
      </c>
    </row>
    <row r="41">
      <c r="B41" t="inlineStr">
        <is>
          <t>Technical Assistance Available</t>
        </is>
      </c>
      <c r="C41" s="14" t="n"/>
      <c r="D41" s="14" t="n"/>
      <c r="E41" s="14" t="n"/>
      <c r="F41" s="14" t="n"/>
    </row>
    <row r="42">
      <c r="B42" t="inlineStr">
        <is>
          <t>Industry Expertise</t>
        </is>
      </c>
      <c r="C42" s="14" t="n"/>
      <c r="D42" s="14" t="n"/>
      <c r="E42" s="14" t="n"/>
      <c r="F42" s="14" t="n"/>
    </row>
    <row r="43">
      <c r="B43" t="inlineStr">
        <is>
          <t>Flexibility of Terms</t>
        </is>
      </c>
      <c r="C43" s="14" t="n"/>
      <c r="D43" s="14" t="n"/>
      <c r="E43" s="14" t="n"/>
      <c r="F43" s="14" t="n"/>
    </row>
    <row r="44">
      <c r="B44" t="inlineStr">
        <is>
          <t>Speed of Approval Process</t>
        </is>
      </c>
      <c r="C44" s="14" t="n"/>
      <c r="D44" s="14" t="n"/>
      <c r="E44" s="14" t="n"/>
      <c r="F44" s="14" t="n"/>
    </row>
    <row r="45">
      <c r="B45" t="inlineStr">
        <is>
          <t>Additional Services Offered</t>
        </is>
      </c>
      <c r="C45" s="14" t="n"/>
      <c r="D45" s="14" t="n"/>
      <c r="E45" s="14" t="n"/>
      <c r="F45" s="14" t="n"/>
    </row>
    <row r="46">
      <c r="B46" t="inlineStr">
        <is>
          <t>Reputation/Reviews</t>
        </is>
      </c>
      <c r="C46" s="14" t="n"/>
      <c r="D46" s="14" t="n"/>
      <c r="E46" s="14" t="n"/>
      <c r="F46" s="14" t="n"/>
    </row>
    <row r="47">
      <c r="B47" t="inlineStr">
        <is>
          <t>Location/Accessibility</t>
        </is>
      </c>
      <c r="C47" s="14" t="n"/>
      <c r="D47" s="14" t="n"/>
      <c r="E47" s="14" t="n"/>
      <c r="F47" s="14" t="n"/>
    </row>
    <row r="50">
      <c r="B50" s="4" t="inlineStr">
        <is>
          <t>Decision Support</t>
        </is>
      </c>
    </row>
    <row r="51">
      <c r="B51" s="5" t="inlineStr">
        <is>
          <t>Before making your final decision, consider:
    • Total cost is important, but also consider the CDFI's mission alignment with your business
    • Technical assistance and ongoing support may be worth a slightly higher cost
    • Flexibility in repayment terms may be valuable during business downturns
    • Building a relationship with a CDFI can lead to future financing opportunities
    Your final decision should balance quantitative factors (cost, terms) with qualitative factors (support, flexibility, mission).</t>
        </is>
      </c>
    </row>
    <row r="60">
      <c r="B60" s="4" t="inlineStr">
        <is>
          <t>Final Recommendation</t>
        </is>
      </c>
    </row>
    <row r="61">
      <c r="B61" t="inlineStr">
        <is>
          <t>Based on my analysis, I recommend:</t>
        </is>
      </c>
    </row>
    <row r="62" ht="60" customHeight="1">
      <c r="B62" s="30" t="n"/>
    </row>
    <row r="65">
      <c r="B65" s="4" t="inlineStr">
        <is>
          <t>Cost Comparison Chart</t>
        </is>
      </c>
    </row>
    <row r="80">
      <c r="B80" s="4" t="inlineStr">
        <is>
          <t>Tips for Negotiating with CDFIs</t>
        </is>
      </c>
    </row>
    <row r="81">
      <c r="B81" t="inlineStr">
        <is>
          <t>1. Ask about rate discounts for automatic payments or maintaining deposits with the CDFI</t>
        </is>
      </c>
    </row>
    <row r="82">
      <c r="B82" t="inlineStr">
        <is>
          <t>2. Inquire about different term options to find the right balance between monthly payment and total cost</t>
        </is>
      </c>
    </row>
    <row r="83">
      <c r="B83" t="inlineStr">
        <is>
          <t>3. Request fee waivers, especially if you're participating in their technical assistance programs</t>
        </is>
      </c>
    </row>
    <row r="84">
      <c r="B84" t="inlineStr">
        <is>
          <t>4. Ask about special programs for your industry, location, or business type</t>
        </is>
      </c>
    </row>
    <row r="85">
      <c r="B85" t="inlineStr">
        <is>
          <t>5. If you have multiple offers, respectfully let the CDFI know you're comparing options</t>
        </is>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Clarity Impact Finance</dc:creator>
  <dc:title xmlns:dc="http://purl.org/dc/elements/1.1/">CDFI Financial Literacy Toolkit</dc:title>
  <dcterms:created xmlns:dcterms="http://purl.org/dc/terms/" xmlns:xsi="http://www.w3.org/2001/XMLSchema-instance" xsi:type="dcterms:W3CDTF">2025-03-17T21:28:18Z</dcterms:created>
  <dcterms:modified xmlns:dcterms="http://purl.org/dc/terms/" xmlns:xsi="http://www.w3.org/2001/XMLSchema-instance" xsi:type="dcterms:W3CDTF">2025-03-18T01:28:18Z</dcterms:modified>
</cp:coreProperties>
</file>