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amirali/Downloads/clarity-impact-finance/src/resources/excel_tools_output/"/>
    </mc:Choice>
  </mc:AlternateContent>
  <xr:revisionPtr revIDLastSave="0" documentId="8_{7362F1BE-BA04-BF4B-82CD-46C41571B79D}" xr6:coauthVersionLast="47" xr6:coauthVersionMax="47" xr10:uidLastSave="{00000000-0000-0000-0000-000000000000}"/>
  <bookViews>
    <workbookView xWindow="0" yWindow="760" windowWidth="30240" windowHeight="17700" activeTab="1" xr2:uid="{00000000-000D-0000-FFFF-FFFF00000000}"/>
  </bookViews>
  <sheets>
    <sheet name="Introduction" sheetId="1" r:id="rId1"/>
    <sheet name="Loan Terminology" sheetId="2" r:id="rId2"/>
    <sheet name="Loan Amortization" sheetId="3" r:id="rId3"/>
    <sheet name="Loan Affordability" sheetId="4" r:id="rId4"/>
    <sheet name="Business Budget" sheetId="5" r:id="rId5"/>
    <sheet name="Cash Flow Forecast" sheetId="6" r:id="rId6"/>
    <sheet name="CDFI Comparison" sheetId="7" r:id="rId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4" l="1"/>
  <c r="F12" i="3"/>
  <c r="C14" i="3"/>
  <c r="C376" i="3" s="1"/>
  <c r="E31" i="7"/>
  <c r="E34" i="7" s="1"/>
  <c r="D31" i="7"/>
  <c r="D34" i="7" s="1"/>
  <c r="C31" i="7"/>
  <c r="C34" i="7" s="1"/>
  <c r="E30" i="7"/>
  <c r="D30" i="7"/>
  <c r="C30" i="7"/>
  <c r="E22" i="7"/>
  <c r="E32" i="7" s="1"/>
  <c r="D22" i="7"/>
  <c r="D32" i="7" s="1"/>
  <c r="C22" i="7"/>
  <c r="C32" i="7" s="1"/>
  <c r="N42" i="6"/>
  <c r="M42" i="6"/>
  <c r="L42" i="6"/>
  <c r="K42" i="6"/>
  <c r="J42" i="6"/>
  <c r="I42" i="6"/>
  <c r="H42" i="6"/>
  <c r="G42" i="6"/>
  <c r="F42" i="6"/>
  <c r="E42" i="6"/>
  <c r="D42" i="6"/>
  <c r="C42" i="6"/>
  <c r="N24" i="6"/>
  <c r="N45" i="6" s="1"/>
  <c r="M24" i="6"/>
  <c r="M45" i="6" s="1"/>
  <c r="L24" i="6"/>
  <c r="L45" i="6" s="1"/>
  <c r="K24" i="6"/>
  <c r="K45" i="6" s="1"/>
  <c r="J24" i="6"/>
  <c r="J45" i="6" s="1"/>
  <c r="I24" i="6"/>
  <c r="I45" i="6" s="1"/>
  <c r="H24" i="6"/>
  <c r="H45" i="6" s="1"/>
  <c r="G24" i="6"/>
  <c r="G45" i="6" s="1"/>
  <c r="F24" i="6"/>
  <c r="F45" i="6" s="1"/>
  <c r="E24" i="6"/>
  <c r="E45" i="6" s="1"/>
  <c r="D24" i="6"/>
  <c r="D45" i="6" s="1"/>
  <c r="C24" i="6"/>
  <c r="C45" i="6" s="1"/>
  <c r="C48" i="6" s="1"/>
  <c r="D48" i="6" s="1"/>
  <c r="E48" i="6" s="1"/>
  <c r="F48" i="6" s="1"/>
  <c r="G48" i="6" s="1"/>
  <c r="H48" i="6" s="1"/>
  <c r="I48" i="6" s="1"/>
  <c r="J48" i="6" s="1"/>
  <c r="K48" i="6" s="1"/>
  <c r="L48" i="6" s="1"/>
  <c r="D44" i="5"/>
  <c r="E44" i="5" s="1"/>
  <c r="C44" i="5"/>
  <c r="F43" i="5"/>
  <c r="E43" i="5"/>
  <c r="F42" i="5"/>
  <c r="E42" i="5"/>
  <c r="F41" i="5"/>
  <c r="E41" i="5"/>
  <c r="F40" i="5"/>
  <c r="E40" i="5"/>
  <c r="F39" i="5"/>
  <c r="E39" i="5"/>
  <c r="F38" i="5"/>
  <c r="E38" i="5"/>
  <c r="F37" i="5"/>
  <c r="E37" i="5"/>
  <c r="F36" i="5"/>
  <c r="E36" i="5"/>
  <c r="F35" i="5"/>
  <c r="E35" i="5"/>
  <c r="F34" i="5"/>
  <c r="E34" i="5"/>
  <c r="F33" i="5"/>
  <c r="E33" i="5"/>
  <c r="F32" i="5"/>
  <c r="E32" i="5"/>
  <c r="F31" i="5"/>
  <c r="E31" i="5"/>
  <c r="F30" i="5"/>
  <c r="E30" i="5"/>
  <c r="F29" i="5"/>
  <c r="E29" i="5"/>
  <c r="F28" i="5"/>
  <c r="E28" i="5"/>
  <c r="F27" i="5"/>
  <c r="E27" i="5"/>
  <c r="D23" i="5"/>
  <c r="D48" i="5" s="1"/>
  <c r="C23" i="5"/>
  <c r="C48" i="5" s="1"/>
  <c r="F22" i="5"/>
  <c r="E22" i="5"/>
  <c r="F21" i="5"/>
  <c r="E21" i="5"/>
  <c r="F20" i="5"/>
  <c r="E20" i="5"/>
  <c r="F19" i="5"/>
  <c r="E19" i="5"/>
  <c r="F18" i="5"/>
  <c r="E18" i="5"/>
  <c r="F17" i="5"/>
  <c r="E17" i="5"/>
  <c r="F16" i="5"/>
  <c r="E16" i="5"/>
  <c r="F15" i="5"/>
  <c r="E15" i="5"/>
  <c r="C22" i="4"/>
  <c r="C21" i="4"/>
  <c r="C20" i="4"/>
  <c r="H14" i="4"/>
  <c r="H15" i="4" s="1"/>
  <c r="I13" i="4"/>
  <c r="H13" i="4"/>
  <c r="G13" i="4"/>
  <c r="F13" i="4"/>
  <c r="I12" i="4"/>
  <c r="I14" i="4" s="1"/>
  <c r="I15" i="4" s="1"/>
  <c r="H12" i="4"/>
  <c r="G12" i="4"/>
  <c r="G14" i="4" s="1"/>
  <c r="G15" i="4" s="1"/>
  <c r="F12" i="4"/>
  <c r="F14" i="4" s="1"/>
  <c r="F15" i="4" s="1"/>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H20" i="3"/>
  <c r="F20" i="3"/>
  <c r="F13" i="3"/>
  <c r="F10" i="3"/>
  <c r="D359" i="3" s="1"/>
  <c r="D44" i="3" l="1"/>
  <c r="D53" i="3"/>
  <c r="D80" i="3"/>
  <c r="D27" i="3"/>
  <c r="D63" i="3"/>
  <c r="D103" i="3"/>
  <c r="D113" i="3"/>
  <c r="D130" i="3"/>
  <c r="D161" i="3"/>
  <c r="D70" i="3"/>
  <c r="D120" i="3"/>
  <c r="D123" i="3"/>
  <c r="D56" i="3"/>
  <c r="D115" i="3"/>
  <c r="D164" i="3"/>
  <c r="D125" i="3"/>
  <c r="D101" i="3"/>
  <c r="D34" i="3"/>
  <c r="D137" i="3"/>
  <c r="D20" i="3"/>
  <c r="E20" i="3" s="1"/>
  <c r="G20" i="3" s="1"/>
  <c r="H21" i="3" s="1"/>
  <c r="F21" i="3" s="1"/>
  <c r="D72" i="3"/>
  <c r="D140" i="3"/>
  <c r="D65" i="3"/>
  <c r="D132" i="3"/>
  <c r="D39" i="3"/>
  <c r="D22" i="3"/>
  <c r="D58" i="3"/>
  <c r="D76" i="3"/>
  <c r="D108" i="3"/>
  <c r="D46" i="3"/>
  <c r="D29" i="3"/>
  <c r="D32" i="3"/>
  <c r="D41" i="3"/>
  <c r="D68" i="3"/>
  <c r="D118" i="3"/>
  <c r="D135" i="3"/>
  <c r="D51" i="3"/>
  <c r="D127" i="3"/>
  <c r="C52" i="3"/>
  <c r="C32" i="3"/>
  <c r="C102" i="3"/>
  <c r="C123" i="3"/>
  <c r="C143" i="3"/>
  <c r="C28" i="3"/>
  <c r="C33" i="3"/>
  <c r="C64" i="3"/>
  <c r="C69" i="3"/>
  <c r="C74" i="3"/>
  <c r="C85" i="3"/>
  <c r="C91" i="3"/>
  <c r="C97" i="3"/>
  <c r="C108" i="3"/>
  <c r="C128" i="3"/>
  <c r="C133" i="3"/>
  <c r="C138" i="3"/>
  <c r="C23" i="3"/>
  <c r="C39" i="3"/>
  <c r="C44" i="3"/>
  <c r="C49" i="3"/>
  <c r="C54" i="3"/>
  <c r="C59" i="3"/>
  <c r="C80" i="3"/>
  <c r="C103" i="3"/>
  <c r="C144" i="3"/>
  <c r="C150" i="3"/>
  <c r="C156" i="3"/>
  <c r="C167" i="3"/>
  <c r="C173" i="3"/>
  <c r="C179" i="3"/>
  <c r="C185" i="3"/>
  <c r="C191" i="3"/>
  <c r="C197" i="3"/>
  <c r="C203" i="3"/>
  <c r="C209" i="3"/>
  <c r="C215" i="3"/>
  <c r="C221" i="3"/>
  <c r="C227" i="3"/>
  <c r="C233" i="3"/>
  <c r="C239" i="3"/>
  <c r="C245" i="3"/>
  <c r="C251" i="3"/>
  <c r="C257" i="3"/>
  <c r="C263" i="3"/>
  <c r="C269" i="3"/>
  <c r="C275" i="3"/>
  <c r="C281" i="3"/>
  <c r="C287" i="3"/>
  <c r="C293" i="3"/>
  <c r="C299" i="3"/>
  <c r="C305" i="3"/>
  <c r="C311" i="3"/>
  <c r="C317" i="3"/>
  <c r="C323" i="3"/>
  <c r="C329" i="3"/>
  <c r="C335" i="3"/>
  <c r="C341" i="3"/>
  <c r="C347" i="3"/>
  <c r="C353" i="3"/>
  <c r="C359" i="3"/>
  <c r="C365" i="3"/>
  <c r="C371" i="3"/>
  <c r="C377" i="3"/>
  <c r="C162" i="3"/>
  <c r="C27" i="3"/>
  <c r="C68" i="3"/>
  <c r="C48" i="3"/>
  <c r="C34" i="3"/>
  <c r="C86" i="3"/>
  <c r="C129" i="3"/>
  <c r="C60" i="3"/>
  <c r="C168" i="3"/>
  <c r="C204" i="3"/>
  <c r="C240" i="3"/>
  <c r="C282" i="3"/>
  <c r="C324" i="3"/>
  <c r="C378" i="3"/>
  <c r="C83" i="3"/>
  <c r="C63" i="3"/>
  <c r="C43" i="3"/>
  <c r="C65" i="3"/>
  <c r="C139" i="3"/>
  <c r="C151" i="3"/>
  <c r="C186" i="3"/>
  <c r="C210" i="3"/>
  <c r="C228" i="3"/>
  <c r="C252" i="3"/>
  <c r="C270" i="3"/>
  <c r="C294" i="3"/>
  <c r="C312" i="3"/>
  <c r="C360" i="3"/>
  <c r="C40" i="3"/>
  <c r="C81" i="3"/>
  <c r="C99" i="3"/>
  <c r="C115" i="3"/>
  <c r="C125" i="3"/>
  <c r="C130" i="3"/>
  <c r="C140" i="3"/>
  <c r="C163" i="3"/>
  <c r="C95" i="3"/>
  <c r="C37" i="3"/>
  <c r="C113" i="3"/>
  <c r="C29" i="3"/>
  <c r="C75" i="3"/>
  <c r="C114" i="3"/>
  <c r="C124" i="3"/>
  <c r="C20" i="3"/>
  <c r="C50" i="3"/>
  <c r="C174" i="3"/>
  <c r="C192" i="3"/>
  <c r="C222" i="3"/>
  <c r="C246" i="3"/>
  <c r="C264" i="3"/>
  <c r="C288" i="3"/>
  <c r="C306" i="3"/>
  <c r="C318" i="3"/>
  <c r="C336" i="3"/>
  <c r="C342" i="3"/>
  <c r="C348" i="3"/>
  <c r="C354" i="3"/>
  <c r="C372" i="3"/>
  <c r="C61" i="3"/>
  <c r="C66" i="3"/>
  <c r="C71" i="3"/>
  <c r="C110" i="3"/>
  <c r="C146" i="3"/>
  <c r="C152" i="3"/>
  <c r="C158" i="3"/>
  <c r="C169" i="3"/>
  <c r="C175" i="3"/>
  <c r="C181" i="3"/>
  <c r="C187" i="3"/>
  <c r="C193" i="3"/>
  <c r="C199" i="3"/>
  <c r="C205" i="3"/>
  <c r="C211" i="3"/>
  <c r="C217" i="3"/>
  <c r="C223" i="3"/>
  <c r="C229" i="3"/>
  <c r="C235" i="3"/>
  <c r="C241" i="3"/>
  <c r="C247" i="3"/>
  <c r="C253" i="3"/>
  <c r="C259" i="3"/>
  <c r="C265" i="3"/>
  <c r="C271" i="3"/>
  <c r="C277" i="3"/>
  <c r="C283" i="3"/>
  <c r="C289" i="3"/>
  <c r="C295" i="3"/>
  <c r="C301" i="3"/>
  <c r="C307" i="3"/>
  <c r="C313" i="3"/>
  <c r="C319" i="3"/>
  <c r="C325" i="3"/>
  <c r="C331" i="3"/>
  <c r="C337" i="3"/>
  <c r="C343" i="3"/>
  <c r="C349" i="3"/>
  <c r="C355" i="3"/>
  <c r="C361" i="3"/>
  <c r="C367" i="3"/>
  <c r="C373" i="3"/>
  <c r="C379" i="3"/>
  <c r="C89" i="3"/>
  <c r="C47" i="3"/>
  <c r="C79" i="3"/>
  <c r="C118" i="3"/>
  <c r="C70" i="3"/>
  <c r="C98" i="3"/>
  <c r="C134" i="3"/>
  <c r="C109" i="3"/>
  <c r="C157" i="3"/>
  <c r="C180" i="3"/>
  <c r="C198" i="3"/>
  <c r="C216" i="3"/>
  <c r="C234" i="3"/>
  <c r="C258" i="3"/>
  <c r="C276" i="3"/>
  <c r="C300" i="3"/>
  <c r="C330" i="3"/>
  <c r="C366" i="3"/>
  <c r="C45" i="3"/>
  <c r="C76" i="3"/>
  <c r="C87" i="3"/>
  <c r="C93" i="3"/>
  <c r="C104" i="3"/>
  <c r="C120" i="3"/>
  <c r="C135" i="3"/>
  <c r="C25" i="3"/>
  <c r="C30" i="3"/>
  <c r="C35" i="3"/>
  <c r="C51" i="3"/>
  <c r="C56" i="3"/>
  <c r="C41" i="3"/>
  <c r="C46" i="3"/>
  <c r="C82" i="3"/>
  <c r="C88" i="3"/>
  <c r="C94" i="3"/>
  <c r="C100" i="3"/>
  <c r="C105" i="3"/>
  <c r="C164" i="3"/>
  <c r="C21" i="3"/>
  <c r="C101" i="3"/>
  <c r="C78" i="3"/>
  <c r="C38" i="3"/>
  <c r="F14" i="3"/>
  <c r="C92" i="3"/>
  <c r="C119" i="3"/>
  <c r="C24" i="3"/>
  <c r="C55" i="3"/>
  <c r="C145" i="3"/>
  <c r="C26" i="3"/>
  <c r="C31" i="3"/>
  <c r="C36" i="3"/>
  <c r="C62" i="3"/>
  <c r="C67" i="3"/>
  <c r="C72" i="3"/>
  <c r="C77" i="3"/>
  <c r="C111" i="3"/>
  <c r="C116" i="3"/>
  <c r="C121" i="3"/>
  <c r="C126" i="3"/>
  <c r="C131" i="3"/>
  <c r="C136" i="3"/>
  <c r="C141" i="3"/>
  <c r="C147" i="3"/>
  <c r="C153" i="3"/>
  <c r="C159" i="3"/>
  <c r="C170" i="3"/>
  <c r="C176" i="3"/>
  <c r="C182" i="3"/>
  <c r="C188" i="3"/>
  <c r="C194" i="3"/>
  <c r="C200" i="3"/>
  <c r="C206" i="3"/>
  <c r="C212" i="3"/>
  <c r="C218" i="3"/>
  <c r="C224" i="3"/>
  <c r="C230" i="3"/>
  <c r="C236" i="3"/>
  <c r="C242" i="3"/>
  <c r="C248" i="3"/>
  <c r="C254" i="3"/>
  <c r="C260" i="3"/>
  <c r="C266" i="3"/>
  <c r="C272" i="3"/>
  <c r="C278" i="3"/>
  <c r="C284" i="3"/>
  <c r="C290" i="3"/>
  <c r="C296" i="3"/>
  <c r="C302" i="3"/>
  <c r="C308" i="3"/>
  <c r="C314" i="3"/>
  <c r="C320" i="3"/>
  <c r="C326" i="3"/>
  <c r="C332" i="3"/>
  <c r="C338" i="3"/>
  <c r="C344" i="3"/>
  <c r="C350" i="3"/>
  <c r="C356" i="3"/>
  <c r="C362" i="3"/>
  <c r="C368" i="3"/>
  <c r="C374" i="3"/>
  <c r="C380" i="3"/>
  <c r="C106" i="3"/>
  <c r="C375" i="3"/>
  <c r="C57" i="3"/>
  <c r="C42" i="3"/>
  <c r="C112" i="3"/>
  <c r="C117" i="3"/>
  <c r="C122" i="3"/>
  <c r="C127" i="3"/>
  <c r="C132" i="3"/>
  <c r="C137" i="3"/>
  <c r="C142" i="3"/>
  <c r="C148" i="3"/>
  <c r="C154" i="3"/>
  <c r="C160" i="3"/>
  <c r="C165" i="3"/>
  <c r="C171" i="3"/>
  <c r="C177" i="3"/>
  <c r="C183" i="3"/>
  <c r="C189" i="3"/>
  <c r="C195" i="3"/>
  <c r="C201" i="3"/>
  <c r="C207" i="3"/>
  <c r="C213" i="3"/>
  <c r="C219" i="3"/>
  <c r="C225" i="3"/>
  <c r="C231" i="3"/>
  <c r="C237" i="3"/>
  <c r="C243" i="3"/>
  <c r="C249" i="3"/>
  <c r="C255" i="3"/>
  <c r="C261" i="3"/>
  <c r="C267" i="3"/>
  <c r="C273" i="3"/>
  <c r="C279" i="3"/>
  <c r="C285" i="3"/>
  <c r="C291" i="3"/>
  <c r="C297" i="3"/>
  <c r="C303" i="3"/>
  <c r="C309" i="3"/>
  <c r="C315" i="3"/>
  <c r="C321" i="3"/>
  <c r="C327" i="3"/>
  <c r="C333" i="3"/>
  <c r="C339" i="3"/>
  <c r="C345" i="3"/>
  <c r="C351" i="3"/>
  <c r="C357" i="3"/>
  <c r="C363" i="3"/>
  <c r="C369" i="3"/>
  <c r="C22" i="3"/>
  <c r="C53" i="3"/>
  <c r="C58" i="3"/>
  <c r="C73" i="3"/>
  <c r="C84" i="3"/>
  <c r="C90" i="3"/>
  <c r="C96" i="3"/>
  <c r="C107" i="3"/>
  <c r="C149" i="3"/>
  <c r="C155" i="3"/>
  <c r="C161" i="3"/>
  <c r="C166" i="3"/>
  <c r="C172" i="3"/>
  <c r="C178" i="3"/>
  <c r="C184" i="3"/>
  <c r="C190" i="3"/>
  <c r="C196" i="3"/>
  <c r="C202" i="3"/>
  <c r="C208" i="3"/>
  <c r="C214" i="3"/>
  <c r="C220" i="3"/>
  <c r="C226" i="3"/>
  <c r="C232" i="3"/>
  <c r="C238" i="3"/>
  <c r="C244" i="3"/>
  <c r="C250" i="3"/>
  <c r="C256" i="3"/>
  <c r="C262" i="3"/>
  <c r="C268" i="3"/>
  <c r="C274" i="3"/>
  <c r="C280" i="3"/>
  <c r="C286" i="3"/>
  <c r="C292" i="3"/>
  <c r="C298" i="3"/>
  <c r="C304" i="3"/>
  <c r="C310" i="3"/>
  <c r="C316" i="3"/>
  <c r="C322" i="3"/>
  <c r="C328" i="3"/>
  <c r="C334" i="3"/>
  <c r="C340" i="3"/>
  <c r="C346" i="3"/>
  <c r="C352" i="3"/>
  <c r="C358" i="3"/>
  <c r="C364" i="3"/>
  <c r="C370" i="3"/>
  <c r="D159" i="3"/>
  <c r="D36" i="3"/>
  <c r="D82" i="3"/>
  <c r="D94" i="3"/>
  <c r="D43" i="3"/>
  <c r="D55" i="3"/>
  <c r="D25" i="3"/>
  <c r="D37" i="3"/>
  <c r="D49" i="3"/>
  <c r="D61" i="3"/>
  <c r="D89" i="3"/>
  <c r="D91" i="3"/>
  <c r="D93" i="3"/>
  <c r="D139" i="3"/>
  <c r="D142" i="3"/>
  <c r="D163" i="3"/>
  <c r="D166" i="3"/>
  <c r="D194" i="3"/>
  <c r="D230" i="3"/>
  <c r="D191" i="3"/>
  <c r="D201" i="3"/>
  <c r="D258" i="3"/>
  <c r="D266" i="3"/>
  <c r="D284" i="3"/>
  <c r="D185" i="3"/>
  <c r="D292" i="3"/>
  <c r="D352" i="3"/>
  <c r="E48" i="5"/>
  <c r="D208" i="3"/>
  <c r="D218" i="3"/>
  <c r="D263" i="3"/>
  <c r="M48" i="6"/>
  <c r="N48" i="6" s="1"/>
  <c r="D285" i="3"/>
  <c r="D304" i="3"/>
  <c r="D96" i="3"/>
  <c r="D111" i="3"/>
  <c r="D183" i="3"/>
  <c r="D84" i="3"/>
  <c r="D92" i="3"/>
  <c r="D116" i="3"/>
  <c r="D133" i="3"/>
  <c r="D121" i="3"/>
  <c r="D151" i="3"/>
  <c r="D345" i="3"/>
  <c r="D26" i="3"/>
  <c r="D38" i="3"/>
  <c r="D50" i="3"/>
  <c r="D62" i="3"/>
  <c r="D109" i="3"/>
  <c r="D196" i="3"/>
  <c r="D206" i="3"/>
  <c r="D260" i="3"/>
  <c r="D282" i="3"/>
  <c r="D290" i="3"/>
  <c r="D316" i="3"/>
  <c r="D328" i="3"/>
  <c r="D156" i="3"/>
  <c r="D24" i="3"/>
  <c r="D60" i="3"/>
  <c r="D99" i="3"/>
  <c r="D178" i="3"/>
  <c r="D189" i="3"/>
  <c r="D225" i="3"/>
  <c r="F11" i="3"/>
  <c r="D21" i="3"/>
  <c r="D33" i="3"/>
  <c r="D45" i="3"/>
  <c r="D57" i="3"/>
  <c r="D69" i="3"/>
  <c r="D97" i="3"/>
  <c r="D149" i="3"/>
  <c r="D173" i="3"/>
  <c r="D268" i="3"/>
  <c r="D333" i="3"/>
  <c r="D379" i="3"/>
  <c r="D367" i="3"/>
  <c r="D355" i="3"/>
  <c r="D343" i="3"/>
  <c r="D331" i="3"/>
  <c r="D319" i="3"/>
  <c r="D307" i="3"/>
  <c r="D295" i="3"/>
  <c r="D283" i="3"/>
  <c r="D271" i="3"/>
  <c r="D259" i="3"/>
  <c r="D247" i="3"/>
  <c r="D235" i="3"/>
  <c r="D223" i="3"/>
  <c r="D211" i="3"/>
  <c r="D199" i="3"/>
  <c r="D187" i="3"/>
  <c r="D372" i="3"/>
  <c r="D360" i="3"/>
  <c r="D348" i="3"/>
  <c r="D336" i="3"/>
  <c r="D324" i="3"/>
  <c r="D312" i="3"/>
  <c r="D300" i="3"/>
  <c r="D288" i="3"/>
  <c r="D276" i="3"/>
  <c r="D264" i="3"/>
  <c r="D252" i="3"/>
  <c r="D240" i="3"/>
  <c r="D228" i="3"/>
  <c r="D216" i="3"/>
  <c r="D204" i="3"/>
  <c r="D192" i="3"/>
  <c r="D377" i="3"/>
  <c r="D365" i="3"/>
  <c r="D353" i="3"/>
  <c r="D341" i="3"/>
  <c r="D329" i="3"/>
  <c r="D317" i="3"/>
  <c r="D305" i="3"/>
  <c r="D293" i="3"/>
  <c r="D281" i="3"/>
  <c r="D269" i="3"/>
  <c r="D257" i="3"/>
  <c r="D245" i="3"/>
  <c r="D233" i="3"/>
  <c r="D221" i="3"/>
  <c r="D209" i="3"/>
  <c r="D197" i="3"/>
  <c r="D370" i="3"/>
  <c r="D358" i="3"/>
  <c r="D346" i="3"/>
  <c r="D334" i="3"/>
  <c r="D322" i="3"/>
  <c r="D310" i="3"/>
  <c r="D298" i="3"/>
  <c r="D286" i="3"/>
  <c r="D274" i="3"/>
  <c r="D262" i="3"/>
  <c r="D250" i="3"/>
  <c r="D238" i="3"/>
  <c r="D226" i="3"/>
  <c r="D214" i="3"/>
  <c r="D202" i="3"/>
  <c r="D190" i="3"/>
  <c r="D375" i="3"/>
  <c r="D363" i="3"/>
  <c r="D351" i="3"/>
  <c r="D339" i="3"/>
  <c r="D327" i="3"/>
  <c r="D315" i="3"/>
  <c r="D303" i="3"/>
  <c r="D291" i="3"/>
  <c r="D279" i="3"/>
  <c r="D267" i="3"/>
  <c r="D255" i="3"/>
  <c r="D380" i="3"/>
  <c r="D368" i="3"/>
  <c r="D356" i="3"/>
  <c r="D344" i="3"/>
  <c r="D373" i="3"/>
  <c r="D361" i="3"/>
  <c r="D349" i="3"/>
  <c r="D337" i="3"/>
  <c r="D325" i="3"/>
  <c r="D313" i="3"/>
  <c r="D301" i="3"/>
  <c r="D289" i="3"/>
  <c r="D277" i="3"/>
  <c r="D265" i="3"/>
  <c r="D253" i="3"/>
  <c r="D241" i="3"/>
  <c r="D229" i="3"/>
  <c r="D217" i="3"/>
  <c r="D205" i="3"/>
  <c r="D193" i="3"/>
  <c r="D378" i="3"/>
  <c r="D366" i="3"/>
  <c r="D354" i="3"/>
  <c r="D342" i="3"/>
  <c r="D330" i="3"/>
  <c r="D318" i="3"/>
  <c r="D306" i="3"/>
  <c r="D376" i="3"/>
  <c r="D364" i="3"/>
  <c r="D369" i="3"/>
  <c r="D357" i="3"/>
  <c r="D374" i="3"/>
  <c r="D371" i="3"/>
  <c r="D338" i="3"/>
  <c r="D335" i="3"/>
  <c r="D320" i="3"/>
  <c r="D294" i="3"/>
  <c r="D270" i="3"/>
  <c r="D249" i="3"/>
  <c r="D232" i="3"/>
  <c r="D215" i="3"/>
  <c r="D210" i="3"/>
  <c r="D200" i="3"/>
  <c r="D195" i="3"/>
  <c r="D186" i="3"/>
  <c r="D174" i="3"/>
  <c r="D162" i="3"/>
  <c r="D150" i="3"/>
  <c r="D138" i="3"/>
  <c r="D126" i="3"/>
  <c r="D114" i="3"/>
  <c r="D102" i="3"/>
  <c r="D90" i="3"/>
  <c r="D78" i="3"/>
  <c r="D362" i="3"/>
  <c r="D326" i="3"/>
  <c r="D323" i="3"/>
  <c r="D308" i="3"/>
  <c r="D278" i="3"/>
  <c r="D254" i="3"/>
  <c r="D244" i="3"/>
  <c r="D227" i="3"/>
  <c r="D222" i="3"/>
  <c r="D212" i="3"/>
  <c r="D207" i="3"/>
  <c r="D179" i="3"/>
  <c r="D167" i="3"/>
  <c r="D155" i="3"/>
  <c r="D143" i="3"/>
  <c r="D131" i="3"/>
  <c r="D119" i="3"/>
  <c r="D107" i="3"/>
  <c r="D95" i="3"/>
  <c r="D347" i="3"/>
  <c r="D314" i="3"/>
  <c r="D311" i="3"/>
  <c r="D296" i="3"/>
  <c r="D275" i="3"/>
  <c r="D272" i="3"/>
  <c r="D239" i="3"/>
  <c r="D234" i="3"/>
  <c r="D224" i="3"/>
  <c r="D219" i="3"/>
  <c r="D184" i="3"/>
  <c r="D172" i="3"/>
  <c r="D160" i="3"/>
  <c r="D148" i="3"/>
  <c r="D136" i="3"/>
  <c r="D124" i="3"/>
  <c r="D112" i="3"/>
  <c r="D100" i="3"/>
  <c r="D302" i="3"/>
  <c r="D299" i="3"/>
  <c r="D251" i="3"/>
  <c r="D246" i="3"/>
  <c r="D236" i="3"/>
  <c r="D231" i="3"/>
  <c r="D177" i="3"/>
  <c r="D165" i="3"/>
  <c r="D153" i="3"/>
  <c r="D141" i="3"/>
  <c r="D129" i="3"/>
  <c r="D117" i="3"/>
  <c r="D105" i="3"/>
  <c r="D350" i="3"/>
  <c r="D340" i="3"/>
  <c r="D280" i="3"/>
  <c r="D256" i="3"/>
  <c r="D248" i="3"/>
  <c r="D243" i="3"/>
  <c r="D182" i="3"/>
  <c r="D170" i="3"/>
  <c r="D158" i="3"/>
  <c r="D146" i="3"/>
  <c r="D134" i="3"/>
  <c r="D122" i="3"/>
  <c r="D110" i="3"/>
  <c r="D98" i="3"/>
  <c r="D86" i="3"/>
  <c r="D74" i="3"/>
  <c r="D332" i="3"/>
  <c r="D297" i="3"/>
  <c r="D273" i="3"/>
  <c r="D242" i="3"/>
  <c r="D237" i="3"/>
  <c r="D220" i="3"/>
  <c r="D203" i="3"/>
  <c r="D198" i="3"/>
  <c r="D188" i="3"/>
  <c r="D181" i="3"/>
  <c r="D169" i="3"/>
  <c r="D157" i="3"/>
  <c r="D145" i="3"/>
  <c r="D28" i="3"/>
  <c r="D40" i="3"/>
  <c r="D52" i="3"/>
  <c r="D64" i="3"/>
  <c r="D71" i="3"/>
  <c r="D73" i="3"/>
  <c r="D75" i="3"/>
  <c r="D152" i="3"/>
  <c r="D176" i="3"/>
  <c r="D213" i="3"/>
  <c r="D287" i="3"/>
  <c r="D309" i="3"/>
  <c r="D106" i="3"/>
  <c r="D48" i="3"/>
  <c r="D31" i="3"/>
  <c r="D67" i="3"/>
  <c r="D104" i="3"/>
  <c r="D154" i="3"/>
  <c r="D23" i="3"/>
  <c r="D35" i="3"/>
  <c r="D47" i="3"/>
  <c r="D59" i="3"/>
  <c r="D77" i="3"/>
  <c r="D79" i="3"/>
  <c r="D144" i="3"/>
  <c r="D147" i="3"/>
  <c r="D168" i="3"/>
  <c r="D171" i="3"/>
  <c r="D261" i="3"/>
  <c r="D321" i="3"/>
  <c r="D128" i="3"/>
  <c r="D180" i="3"/>
  <c r="D88" i="3"/>
  <c r="D175" i="3"/>
  <c r="D30" i="3"/>
  <c r="D42" i="3"/>
  <c r="D54" i="3"/>
  <c r="D66" i="3"/>
  <c r="D81" i="3"/>
  <c r="D83" i="3"/>
  <c r="D85" i="3"/>
  <c r="D87" i="3"/>
  <c r="E23" i="5"/>
  <c r="C33" i="7"/>
  <c r="D33" i="7"/>
  <c r="E33" i="7"/>
  <c r="E21" i="3" l="1"/>
  <c r="G21" i="3" s="1"/>
  <c r="H22" i="3" s="1"/>
  <c r="F22" i="3" s="1"/>
  <c r="E22" i="3" s="1"/>
  <c r="G22" i="3" s="1"/>
  <c r="H23" i="3" l="1"/>
  <c r="F23" i="3" s="1"/>
  <c r="E23" i="3" s="1"/>
  <c r="G23" i="3"/>
  <c r="H24" i="3" l="1"/>
  <c r="F24" i="3" s="1"/>
  <c r="E24" i="3" s="1"/>
  <c r="G24" i="3"/>
  <c r="H25" i="3" l="1"/>
  <c r="F25" i="3" s="1"/>
  <c r="E25" i="3" s="1"/>
  <c r="G25" i="3" s="1"/>
  <c r="H26" i="3" l="1"/>
  <c r="F26" i="3" s="1"/>
  <c r="E26" i="3" s="1"/>
  <c r="G26" i="3" s="1"/>
  <c r="H27" i="3" l="1"/>
  <c r="F27" i="3" s="1"/>
  <c r="E27" i="3" s="1"/>
  <c r="G27" i="3" s="1"/>
  <c r="H28" i="3" l="1"/>
  <c r="F28" i="3" s="1"/>
  <c r="E28" i="3" s="1"/>
  <c r="G28" i="3" s="1"/>
  <c r="H29" i="3" l="1"/>
  <c r="F29" i="3" s="1"/>
  <c r="E29" i="3" s="1"/>
  <c r="G29" i="3"/>
  <c r="H30" i="3" l="1"/>
  <c r="F30" i="3" s="1"/>
  <c r="E30" i="3" s="1"/>
  <c r="G30" i="3" s="1"/>
  <c r="H31" i="3" l="1"/>
  <c r="F31" i="3" s="1"/>
  <c r="E31" i="3" s="1"/>
  <c r="G31" i="3" s="1"/>
  <c r="H32" i="3" l="1"/>
  <c r="F32" i="3" s="1"/>
  <c r="E32" i="3" s="1"/>
  <c r="G32" i="3" s="1"/>
  <c r="H33" i="3" l="1"/>
  <c r="F33" i="3" s="1"/>
  <c r="E33" i="3" s="1"/>
  <c r="G33" i="3" s="1"/>
  <c r="H34" i="3" l="1"/>
  <c r="F34" i="3" s="1"/>
  <c r="E34" i="3" s="1"/>
  <c r="G34" i="3"/>
  <c r="H35" i="3" l="1"/>
  <c r="F35" i="3" s="1"/>
  <c r="E35" i="3" s="1"/>
  <c r="G35" i="3" s="1"/>
  <c r="H36" i="3" l="1"/>
  <c r="F36" i="3" s="1"/>
  <c r="E36" i="3" s="1"/>
  <c r="G36" i="3"/>
  <c r="H37" i="3" l="1"/>
  <c r="F37" i="3" s="1"/>
  <c r="E37" i="3" s="1"/>
  <c r="G37" i="3" s="1"/>
  <c r="H38" i="3" l="1"/>
  <c r="F38" i="3" s="1"/>
  <c r="E38" i="3" s="1"/>
  <c r="G38" i="3"/>
  <c r="H39" i="3" l="1"/>
  <c r="F39" i="3" s="1"/>
  <c r="E39" i="3" s="1"/>
  <c r="G39" i="3" s="1"/>
  <c r="H40" i="3" l="1"/>
  <c r="F40" i="3" s="1"/>
  <c r="E40" i="3" s="1"/>
  <c r="G40" i="3" s="1"/>
  <c r="H41" i="3" l="1"/>
  <c r="F41" i="3" s="1"/>
  <c r="E41" i="3" s="1"/>
  <c r="G41" i="3" s="1"/>
  <c r="H42" i="3" l="1"/>
  <c r="F42" i="3" s="1"/>
  <c r="E42" i="3" s="1"/>
  <c r="G42" i="3" s="1"/>
  <c r="H43" i="3" l="1"/>
  <c r="F43" i="3" s="1"/>
  <c r="E43" i="3" s="1"/>
  <c r="G43" i="3" s="1"/>
  <c r="H44" i="3" l="1"/>
  <c r="F44" i="3" s="1"/>
  <c r="E44" i="3" s="1"/>
  <c r="G44" i="3" s="1"/>
  <c r="H45" i="3" l="1"/>
  <c r="F45" i="3" s="1"/>
  <c r="E45" i="3" s="1"/>
  <c r="G45" i="3" s="1"/>
  <c r="H46" i="3" l="1"/>
  <c r="F46" i="3" s="1"/>
  <c r="E46" i="3" s="1"/>
  <c r="G46" i="3" s="1"/>
  <c r="H47" i="3" l="1"/>
  <c r="F47" i="3" s="1"/>
  <c r="E47" i="3" s="1"/>
  <c r="G47" i="3"/>
  <c r="H48" i="3" l="1"/>
  <c r="F48" i="3" s="1"/>
  <c r="E48" i="3" s="1"/>
  <c r="G48" i="3" s="1"/>
  <c r="H49" i="3" l="1"/>
  <c r="F49" i="3" s="1"/>
  <c r="E49" i="3" s="1"/>
  <c r="G49" i="3"/>
  <c r="H50" i="3" l="1"/>
  <c r="F50" i="3" s="1"/>
  <c r="E50" i="3" s="1"/>
  <c r="G50" i="3"/>
  <c r="H51" i="3" l="1"/>
  <c r="F51" i="3" s="1"/>
  <c r="E51" i="3" s="1"/>
  <c r="G51" i="3"/>
  <c r="H52" i="3" l="1"/>
  <c r="F52" i="3" s="1"/>
  <c r="E52" i="3" s="1"/>
  <c r="G52" i="3" s="1"/>
  <c r="H53" i="3" l="1"/>
  <c r="F53" i="3" s="1"/>
  <c r="E53" i="3" s="1"/>
  <c r="G53" i="3"/>
  <c r="H54" i="3" l="1"/>
  <c r="F54" i="3" s="1"/>
  <c r="E54" i="3" s="1"/>
  <c r="G54" i="3" s="1"/>
  <c r="H55" i="3" l="1"/>
  <c r="F55" i="3" s="1"/>
  <c r="E55" i="3" s="1"/>
  <c r="G55" i="3"/>
  <c r="H56" i="3" l="1"/>
  <c r="F56" i="3" s="1"/>
  <c r="E56" i="3" s="1"/>
  <c r="G56" i="3"/>
  <c r="H57" i="3" l="1"/>
  <c r="F57" i="3" s="1"/>
  <c r="E57" i="3" s="1"/>
  <c r="G57" i="3" s="1"/>
  <c r="H58" i="3" l="1"/>
  <c r="F58" i="3" s="1"/>
  <c r="E58" i="3" s="1"/>
  <c r="G58" i="3"/>
  <c r="H59" i="3" l="1"/>
  <c r="F59" i="3" s="1"/>
  <c r="E59" i="3" s="1"/>
  <c r="G59" i="3"/>
  <c r="H60" i="3" l="1"/>
  <c r="F60" i="3" s="1"/>
  <c r="E60" i="3" s="1"/>
  <c r="G60" i="3"/>
  <c r="H61" i="3" l="1"/>
  <c r="F61" i="3" s="1"/>
  <c r="E61" i="3" s="1"/>
  <c r="G61" i="3" s="1"/>
  <c r="H62" i="3" l="1"/>
  <c r="F62" i="3" s="1"/>
  <c r="E62" i="3" s="1"/>
  <c r="G62" i="3"/>
  <c r="H63" i="3" l="1"/>
  <c r="F63" i="3" s="1"/>
  <c r="E63" i="3" s="1"/>
  <c r="G63" i="3" s="1"/>
  <c r="H64" i="3" l="1"/>
  <c r="F64" i="3" s="1"/>
  <c r="E64" i="3" s="1"/>
  <c r="G64" i="3" s="1"/>
  <c r="H65" i="3" l="1"/>
  <c r="F65" i="3" s="1"/>
  <c r="E65" i="3" s="1"/>
  <c r="G65" i="3"/>
  <c r="H66" i="3" l="1"/>
  <c r="F66" i="3" s="1"/>
  <c r="E66" i="3" s="1"/>
  <c r="G66" i="3"/>
  <c r="H67" i="3" l="1"/>
  <c r="F67" i="3" s="1"/>
  <c r="E67" i="3" s="1"/>
  <c r="G67" i="3"/>
  <c r="H68" i="3" l="1"/>
  <c r="F68" i="3" s="1"/>
  <c r="E68" i="3" s="1"/>
  <c r="G68" i="3" s="1"/>
  <c r="H69" i="3" l="1"/>
  <c r="F69" i="3" s="1"/>
  <c r="E69" i="3" s="1"/>
  <c r="G69" i="3" s="1"/>
  <c r="H70" i="3" l="1"/>
  <c r="F70" i="3" s="1"/>
  <c r="E70" i="3" s="1"/>
  <c r="G70" i="3" s="1"/>
  <c r="H71" i="3" l="1"/>
  <c r="F71" i="3" s="1"/>
  <c r="E71" i="3" s="1"/>
  <c r="G71" i="3" s="1"/>
  <c r="H72" i="3" l="1"/>
  <c r="F72" i="3" s="1"/>
  <c r="E72" i="3" s="1"/>
  <c r="G72" i="3" s="1"/>
  <c r="H73" i="3" l="1"/>
  <c r="F73" i="3" s="1"/>
  <c r="E73" i="3" s="1"/>
  <c r="G73" i="3" s="1"/>
  <c r="H74" i="3" l="1"/>
  <c r="F74" i="3" s="1"/>
  <c r="E74" i="3" s="1"/>
  <c r="G74" i="3" s="1"/>
  <c r="H75" i="3" l="1"/>
  <c r="F75" i="3" s="1"/>
  <c r="E75" i="3" s="1"/>
  <c r="G75" i="3" s="1"/>
  <c r="H76" i="3" l="1"/>
  <c r="F76" i="3" s="1"/>
  <c r="E76" i="3" s="1"/>
  <c r="G76" i="3" s="1"/>
  <c r="H77" i="3" l="1"/>
  <c r="F77" i="3" s="1"/>
  <c r="E77" i="3" s="1"/>
  <c r="G77" i="3" s="1"/>
  <c r="H78" i="3" l="1"/>
  <c r="F78" i="3" s="1"/>
  <c r="E78" i="3" s="1"/>
  <c r="G78" i="3"/>
  <c r="H79" i="3" l="1"/>
  <c r="F79" i="3" s="1"/>
  <c r="E79" i="3" s="1"/>
  <c r="G79" i="3" s="1"/>
  <c r="H80" i="3" l="1"/>
  <c r="F80" i="3" s="1"/>
  <c r="E80" i="3" s="1"/>
  <c r="G80" i="3" s="1"/>
  <c r="H81" i="3" l="1"/>
  <c r="F81" i="3" s="1"/>
  <c r="E81" i="3" s="1"/>
  <c r="G81" i="3" s="1"/>
  <c r="H82" i="3" l="1"/>
  <c r="F82" i="3" s="1"/>
  <c r="E82" i="3" s="1"/>
  <c r="G82" i="3"/>
  <c r="H83" i="3" l="1"/>
  <c r="F83" i="3" s="1"/>
  <c r="E83" i="3" s="1"/>
  <c r="G83" i="3"/>
  <c r="H84" i="3" l="1"/>
  <c r="F84" i="3" s="1"/>
  <c r="E84" i="3" s="1"/>
  <c r="G84" i="3" s="1"/>
  <c r="H85" i="3" l="1"/>
  <c r="F85" i="3" s="1"/>
  <c r="E85" i="3" s="1"/>
  <c r="G85" i="3"/>
  <c r="H86" i="3" l="1"/>
  <c r="F86" i="3" s="1"/>
  <c r="E86" i="3" s="1"/>
  <c r="G86" i="3"/>
  <c r="H87" i="3" l="1"/>
  <c r="F87" i="3" s="1"/>
  <c r="E87" i="3" s="1"/>
  <c r="G87" i="3"/>
  <c r="H88" i="3" l="1"/>
  <c r="F88" i="3" s="1"/>
  <c r="E88" i="3" s="1"/>
  <c r="G88" i="3" s="1"/>
  <c r="H89" i="3" l="1"/>
  <c r="F89" i="3" s="1"/>
  <c r="E89" i="3" s="1"/>
  <c r="G89" i="3" s="1"/>
  <c r="H90" i="3" l="1"/>
  <c r="F90" i="3" s="1"/>
  <c r="E90" i="3" s="1"/>
  <c r="G90" i="3"/>
  <c r="H91" i="3" l="1"/>
  <c r="F91" i="3" s="1"/>
  <c r="E91" i="3" s="1"/>
  <c r="G91" i="3" s="1"/>
  <c r="H92" i="3" l="1"/>
  <c r="F92" i="3" s="1"/>
  <c r="E92" i="3" s="1"/>
  <c r="G92" i="3"/>
  <c r="H93" i="3" l="1"/>
  <c r="F93" i="3" s="1"/>
  <c r="E93" i="3" s="1"/>
  <c r="G93" i="3" s="1"/>
  <c r="H94" i="3" l="1"/>
  <c r="F94" i="3" s="1"/>
  <c r="E94" i="3" s="1"/>
  <c r="G94" i="3"/>
  <c r="H95" i="3" l="1"/>
  <c r="F95" i="3" s="1"/>
  <c r="E95" i="3" s="1"/>
  <c r="G95" i="3" s="1"/>
  <c r="H96" i="3" l="1"/>
  <c r="F96" i="3" s="1"/>
  <c r="E96" i="3" s="1"/>
  <c r="G96" i="3" s="1"/>
  <c r="H97" i="3" l="1"/>
  <c r="F97" i="3" s="1"/>
  <c r="E97" i="3" s="1"/>
  <c r="G97" i="3" s="1"/>
  <c r="H98" i="3" l="1"/>
  <c r="F98" i="3" s="1"/>
  <c r="E98" i="3" s="1"/>
  <c r="G98" i="3" s="1"/>
  <c r="H99" i="3" l="1"/>
  <c r="F99" i="3" s="1"/>
  <c r="E99" i="3" s="1"/>
  <c r="G99" i="3"/>
  <c r="H100" i="3" l="1"/>
  <c r="F100" i="3" s="1"/>
  <c r="E100" i="3" s="1"/>
  <c r="G100" i="3" s="1"/>
  <c r="H101" i="3" l="1"/>
  <c r="F101" i="3" s="1"/>
  <c r="E101" i="3" s="1"/>
  <c r="G101" i="3"/>
  <c r="H102" i="3" l="1"/>
  <c r="F102" i="3" s="1"/>
  <c r="E102" i="3" s="1"/>
  <c r="G102" i="3" s="1"/>
  <c r="H103" i="3" l="1"/>
  <c r="F103" i="3" s="1"/>
  <c r="E103" i="3" s="1"/>
  <c r="G103" i="3" s="1"/>
  <c r="H104" i="3" l="1"/>
  <c r="F104" i="3" s="1"/>
  <c r="E104" i="3" s="1"/>
  <c r="G104" i="3"/>
  <c r="H105" i="3" l="1"/>
  <c r="F105" i="3" s="1"/>
  <c r="E105" i="3" s="1"/>
  <c r="G105" i="3" s="1"/>
  <c r="H106" i="3" l="1"/>
  <c r="F106" i="3" s="1"/>
  <c r="E106" i="3" s="1"/>
  <c r="G106" i="3"/>
  <c r="H107" i="3" l="1"/>
  <c r="F107" i="3" s="1"/>
  <c r="E107" i="3" s="1"/>
  <c r="G107" i="3" s="1"/>
  <c r="H108" i="3" l="1"/>
  <c r="F108" i="3" s="1"/>
  <c r="E108" i="3" s="1"/>
  <c r="G108" i="3" s="1"/>
  <c r="H109" i="3" l="1"/>
  <c r="F109" i="3" s="1"/>
  <c r="E109" i="3" s="1"/>
  <c r="G109" i="3"/>
  <c r="H110" i="3" l="1"/>
  <c r="F110" i="3" s="1"/>
  <c r="E110" i="3" s="1"/>
  <c r="G110" i="3" s="1"/>
  <c r="H111" i="3" l="1"/>
  <c r="F111" i="3" s="1"/>
  <c r="E111" i="3" s="1"/>
  <c r="G111" i="3" s="1"/>
  <c r="H112" i="3" l="1"/>
  <c r="F112" i="3" s="1"/>
  <c r="E112" i="3" s="1"/>
  <c r="G112" i="3" s="1"/>
  <c r="H113" i="3" l="1"/>
  <c r="F113" i="3" s="1"/>
  <c r="E113" i="3" s="1"/>
  <c r="G113" i="3" s="1"/>
  <c r="H114" i="3" l="1"/>
  <c r="F114" i="3" s="1"/>
  <c r="E114" i="3" s="1"/>
  <c r="G114" i="3"/>
  <c r="H115" i="3" l="1"/>
  <c r="F115" i="3" s="1"/>
  <c r="E115" i="3" s="1"/>
  <c r="G115" i="3" s="1"/>
  <c r="H116" i="3" l="1"/>
  <c r="F116" i="3" s="1"/>
  <c r="E116" i="3" s="1"/>
  <c r="G116" i="3" s="1"/>
  <c r="H117" i="3" l="1"/>
  <c r="F117" i="3" s="1"/>
  <c r="E117" i="3" s="1"/>
  <c r="G117" i="3" s="1"/>
  <c r="H118" i="3" l="1"/>
  <c r="F118" i="3" s="1"/>
  <c r="E118" i="3" s="1"/>
  <c r="G118" i="3"/>
  <c r="H119" i="3" l="1"/>
  <c r="F119" i="3" s="1"/>
  <c r="E119" i="3" s="1"/>
  <c r="G119" i="3"/>
  <c r="H120" i="3" l="1"/>
  <c r="F120" i="3" s="1"/>
  <c r="E120" i="3" s="1"/>
  <c r="G120" i="3"/>
  <c r="H121" i="3" l="1"/>
  <c r="F121" i="3" s="1"/>
  <c r="E121" i="3" s="1"/>
  <c r="G121" i="3"/>
  <c r="H122" i="3" l="1"/>
  <c r="F122" i="3" s="1"/>
  <c r="E122" i="3" s="1"/>
  <c r="G122" i="3" s="1"/>
  <c r="H123" i="3" l="1"/>
  <c r="F123" i="3" s="1"/>
  <c r="E123" i="3" s="1"/>
  <c r="G123" i="3" s="1"/>
  <c r="H124" i="3" l="1"/>
  <c r="F124" i="3" s="1"/>
  <c r="E124" i="3" s="1"/>
  <c r="G124" i="3"/>
  <c r="H125" i="3" l="1"/>
  <c r="F125" i="3" s="1"/>
  <c r="E125" i="3" s="1"/>
  <c r="G125" i="3"/>
  <c r="H126" i="3" l="1"/>
  <c r="F126" i="3" s="1"/>
  <c r="E126" i="3" s="1"/>
  <c r="G126" i="3" s="1"/>
  <c r="H127" i="3" l="1"/>
  <c r="F127" i="3" s="1"/>
  <c r="E127" i="3" s="1"/>
  <c r="G127" i="3"/>
  <c r="H128" i="3" l="1"/>
  <c r="F128" i="3" s="1"/>
  <c r="E128" i="3" s="1"/>
  <c r="G128" i="3"/>
  <c r="H129" i="3" l="1"/>
  <c r="F129" i="3" s="1"/>
  <c r="E129" i="3" s="1"/>
  <c r="G129" i="3" s="1"/>
  <c r="H130" i="3" l="1"/>
  <c r="F130" i="3" s="1"/>
  <c r="E130" i="3" s="1"/>
  <c r="G130" i="3" s="1"/>
  <c r="H131" i="3" l="1"/>
  <c r="F131" i="3" s="1"/>
  <c r="E131" i="3" s="1"/>
  <c r="G131" i="3"/>
  <c r="H132" i="3" l="1"/>
  <c r="F132" i="3" s="1"/>
  <c r="E132" i="3" s="1"/>
  <c r="G132" i="3"/>
  <c r="H133" i="3" l="1"/>
  <c r="F133" i="3" s="1"/>
  <c r="E133" i="3" s="1"/>
  <c r="G133" i="3"/>
  <c r="H134" i="3" l="1"/>
  <c r="F134" i="3" s="1"/>
  <c r="E134" i="3" s="1"/>
  <c r="G134" i="3"/>
  <c r="H135" i="3" l="1"/>
  <c r="F135" i="3" s="1"/>
  <c r="E135" i="3" s="1"/>
  <c r="G135" i="3" s="1"/>
  <c r="H136" i="3" l="1"/>
  <c r="F136" i="3" s="1"/>
  <c r="E136" i="3" s="1"/>
  <c r="G136" i="3"/>
  <c r="H137" i="3" l="1"/>
  <c r="F137" i="3" s="1"/>
  <c r="E137" i="3" s="1"/>
  <c r="G137" i="3" s="1"/>
  <c r="H138" i="3" l="1"/>
  <c r="F138" i="3" s="1"/>
  <c r="E138" i="3" s="1"/>
  <c r="G138" i="3" s="1"/>
  <c r="H139" i="3" l="1"/>
  <c r="F139" i="3" s="1"/>
  <c r="E139" i="3" s="1"/>
  <c r="G139" i="3"/>
  <c r="H140" i="3" l="1"/>
  <c r="F140" i="3" s="1"/>
  <c r="E140" i="3" s="1"/>
  <c r="G140" i="3" s="1"/>
  <c r="H141" i="3" l="1"/>
  <c r="F141" i="3" s="1"/>
  <c r="E141" i="3" s="1"/>
  <c r="G141" i="3" s="1"/>
  <c r="H142" i="3" l="1"/>
  <c r="F142" i="3" s="1"/>
  <c r="E142" i="3" s="1"/>
  <c r="G142" i="3"/>
  <c r="H143" i="3" l="1"/>
  <c r="F143" i="3" s="1"/>
  <c r="E143" i="3" s="1"/>
  <c r="G143" i="3" s="1"/>
  <c r="H144" i="3" l="1"/>
  <c r="F144" i="3" s="1"/>
  <c r="E144" i="3" s="1"/>
  <c r="G144" i="3" s="1"/>
  <c r="H145" i="3" l="1"/>
  <c r="F145" i="3" s="1"/>
  <c r="E145" i="3" s="1"/>
  <c r="G145" i="3" s="1"/>
  <c r="H146" i="3" l="1"/>
  <c r="F146" i="3" s="1"/>
  <c r="E146" i="3" s="1"/>
  <c r="G146" i="3"/>
  <c r="H147" i="3" l="1"/>
  <c r="F147" i="3" s="1"/>
  <c r="E147" i="3" s="1"/>
  <c r="G147" i="3" s="1"/>
  <c r="H148" i="3" l="1"/>
  <c r="F148" i="3" s="1"/>
  <c r="E148" i="3" s="1"/>
  <c r="G148" i="3" s="1"/>
  <c r="H149" i="3" l="1"/>
  <c r="F149" i="3" s="1"/>
  <c r="E149" i="3" s="1"/>
  <c r="G149" i="3" s="1"/>
  <c r="H150" i="3" l="1"/>
  <c r="F150" i="3" s="1"/>
  <c r="E150" i="3" s="1"/>
  <c r="G150" i="3"/>
  <c r="H151" i="3" l="1"/>
  <c r="F151" i="3" s="1"/>
  <c r="E151" i="3" s="1"/>
  <c r="G151" i="3"/>
  <c r="H152" i="3" l="1"/>
  <c r="F152" i="3" s="1"/>
  <c r="E152" i="3" s="1"/>
  <c r="G152" i="3" s="1"/>
  <c r="H153" i="3" l="1"/>
  <c r="F153" i="3" s="1"/>
  <c r="E153" i="3" s="1"/>
  <c r="G153" i="3" s="1"/>
  <c r="H154" i="3" l="1"/>
  <c r="F154" i="3" s="1"/>
  <c r="E154" i="3" s="1"/>
  <c r="G154" i="3"/>
  <c r="H155" i="3" l="1"/>
  <c r="F155" i="3" s="1"/>
  <c r="E155" i="3" s="1"/>
  <c r="G155" i="3" s="1"/>
  <c r="H156" i="3" l="1"/>
  <c r="F156" i="3" s="1"/>
  <c r="E156" i="3" s="1"/>
  <c r="G156" i="3"/>
  <c r="H157" i="3" l="1"/>
  <c r="F157" i="3" s="1"/>
  <c r="E157" i="3" s="1"/>
  <c r="G157" i="3" s="1"/>
  <c r="H158" i="3" l="1"/>
  <c r="F158" i="3" s="1"/>
  <c r="E158" i="3" s="1"/>
  <c r="G158" i="3" s="1"/>
  <c r="H159" i="3" l="1"/>
  <c r="F159" i="3" s="1"/>
  <c r="E159" i="3" s="1"/>
  <c r="G159" i="3" s="1"/>
  <c r="H160" i="3" l="1"/>
  <c r="F160" i="3" s="1"/>
  <c r="E160" i="3" s="1"/>
  <c r="G160" i="3" s="1"/>
  <c r="H161" i="3" l="1"/>
  <c r="F161" i="3" s="1"/>
  <c r="E161" i="3" s="1"/>
  <c r="G161" i="3"/>
  <c r="H162" i="3" l="1"/>
  <c r="F162" i="3" s="1"/>
  <c r="E162" i="3" s="1"/>
  <c r="G162" i="3" s="1"/>
  <c r="H163" i="3" l="1"/>
  <c r="F163" i="3" s="1"/>
  <c r="E163" i="3" s="1"/>
  <c r="G163" i="3" s="1"/>
  <c r="H164" i="3" l="1"/>
  <c r="F164" i="3" s="1"/>
  <c r="E164" i="3" s="1"/>
  <c r="G164" i="3" s="1"/>
  <c r="H165" i="3" l="1"/>
  <c r="F165" i="3" s="1"/>
  <c r="E165" i="3" s="1"/>
  <c r="G165" i="3" s="1"/>
  <c r="H166" i="3" l="1"/>
  <c r="F166" i="3" s="1"/>
  <c r="E166" i="3" s="1"/>
  <c r="G166" i="3"/>
  <c r="H167" i="3" l="1"/>
  <c r="F167" i="3" s="1"/>
  <c r="E167" i="3" s="1"/>
  <c r="G167" i="3" s="1"/>
  <c r="H168" i="3" l="1"/>
  <c r="F168" i="3" s="1"/>
  <c r="E168" i="3" s="1"/>
  <c r="G168" i="3" s="1"/>
  <c r="H169" i="3" l="1"/>
  <c r="F169" i="3" s="1"/>
  <c r="E169" i="3" s="1"/>
  <c r="G169" i="3"/>
  <c r="H170" i="3" l="1"/>
  <c r="F170" i="3" s="1"/>
  <c r="E170" i="3" s="1"/>
  <c r="G170" i="3" s="1"/>
  <c r="H171" i="3" l="1"/>
  <c r="F171" i="3" s="1"/>
  <c r="E171" i="3" s="1"/>
  <c r="G171" i="3" s="1"/>
  <c r="H172" i="3" l="1"/>
  <c r="F172" i="3" s="1"/>
  <c r="E172" i="3" s="1"/>
  <c r="G172" i="3" s="1"/>
  <c r="H173" i="3" l="1"/>
  <c r="F173" i="3" s="1"/>
  <c r="E173" i="3" s="1"/>
  <c r="G173" i="3" s="1"/>
  <c r="H174" i="3" l="1"/>
  <c r="F174" i="3" s="1"/>
  <c r="E174" i="3" s="1"/>
  <c r="G174" i="3" s="1"/>
  <c r="H175" i="3" l="1"/>
  <c r="F175" i="3" s="1"/>
  <c r="E175" i="3" s="1"/>
  <c r="G175" i="3" s="1"/>
  <c r="H176" i="3" l="1"/>
  <c r="F176" i="3" s="1"/>
  <c r="E176" i="3" s="1"/>
  <c r="G176" i="3" s="1"/>
  <c r="H177" i="3" l="1"/>
  <c r="F177" i="3" s="1"/>
  <c r="E177" i="3" s="1"/>
  <c r="G177" i="3" s="1"/>
  <c r="H178" i="3" l="1"/>
  <c r="F178" i="3" s="1"/>
  <c r="E178" i="3" s="1"/>
  <c r="G178" i="3" s="1"/>
  <c r="H179" i="3" l="1"/>
  <c r="F179" i="3" s="1"/>
  <c r="E179" i="3" s="1"/>
  <c r="G179" i="3" s="1"/>
  <c r="H180" i="3" l="1"/>
  <c r="F180" i="3" s="1"/>
  <c r="E180" i="3" s="1"/>
  <c r="G180" i="3" s="1"/>
  <c r="H181" i="3" l="1"/>
  <c r="F181" i="3" s="1"/>
  <c r="E181" i="3" s="1"/>
  <c r="G181" i="3" s="1"/>
  <c r="H182" i="3" l="1"/>
  <c r="F182" i="3" s="1"/>
  <c r="E182" i="3" s="1"/>
  <c r="G182" i="3"/>
  <c r="H183" i="3" l="1"/>
  <c r="F183" i="3" s="1"/>
  <c r="E183" i="3" s="1"/>
  <c r="G183" i="3"/>
  <c r="H184" i="3" l="1"/>
  <c r="F184" i="3" s="1"/>
  <c r="E184" i="3" s="1"/>
  <c r="G184" i="3" s="1"/>
  <c r="H185" i="3" l="1"/>
  <c r="F185" i="3" s="1"/>
  <c r="E185" i="3" s="1"/>
  <c r="G185" i="3"/>
  <c r="H186" i="3" l="1"/>
  <c r="F186" i="3" s="1"/>
  <c r="E186" i="3" s="1"/>
  <c r="G186" i="3"/>
  <c r="H187" i="3" l="1"/>
  <c r="F187" i="3" s="1"/>
  <c r="E187" i="3" s="1"/>
  <c r="G187" i="3"/>
  <c r="H188" i="3" l="1"/>
  <c r="F188" i="3" s="1"/>
  <c r="E188" i="3" s="1"/>
  <c r="G188" i="3" s="1"/>
  <c r="H189" i="3" l="1"/>
  <c r="F189" i="3" s="1"/>
  <c r="E189" i="3" s="1"/>
  <c r="G189" i="3"/>
  <c r="H190" i="3" l="1"/>
  <c r="F190" i="3" s="1"/>
  <c r="E190" i="3" s="1"/>
  <c r="G190" i="3" s="1"/>
  <c r="H191" i="3" l="1"/>
  <c r="F191" i="3" s="1"/>
  <c r="E191" i="3" s="1"/>
  <c r="G191" i="3" s="1"/>
  <c r="H192" i="3" l="1"/>
  <c r="F192" i="3" s="1"/>
  <c r="E192" i="3" s="1"/>
  <c r="G192" i="3" s="1"/>
  <c r="H193" i="3" l="1"/>
  <c r="F193" i="3" s="1"/>
  <c r="E193" i="3" s="1"/>
  <c r="G193" i="3" s="1"/>
  <c r="H194" i="3" l="1"/>
  <c r="F194" i="3" s="1"/>
  <c r="E194" i="3" s="1"/>
  <c r="G194" i="3"/>
  <c r="H195" i="3" l="1"/>
  <c r="F195" i="3" s="1"/>
  <c r="E195" i="3" s="1"/>
  <c r="G195" i="3" s="1"/>
  <c r="H196" i="3" l="1"/>
  <c r="F196" i="3" s="1"/>
  <c r="E196" i="3" s="1"/>
  <c r="G196" i="3" s="1"/>
  <c r="H197" i="3" l="1"/>
  <c r="F197" i="3" s="1"/>
  <c r="E197" i="3" s="1"/>
  <c r="G197" i="3" s="1"/>
  <c r="H198" i="3" l="1"/>
  <c r="F198" i="3" s="1"/>
  <c r="E198" i="3" s="1"/>
  <c r="G198" i="3" s="1"/>
  <c r="H199" i="3" l="1"/>
  <c r="F199" i="3" s="1"/>
  <c r="E199" i="3" s="1"/>
  <c r="G199" i="3" s="1"/>
  <c r="H200" i="3" l="1"/>
  <c r="F200" i="3" s="1"/>
  <c r="E200" i="3" s="1"/>
  <c r="G200" i="3" s="1"/>
  <c r="H201" i="3" l="1"/>
  <c r="F201" i="3" s="1"/>
  <c r="E201" i="3" s="1"/>
  <c r="G201" i="3" s="1"/>
  <c r="H202" i="3" l="1"/>
  <c r="F202" i="3" s="1"/>
  <c r="E202" i="3" s="1"/>
  <c r="G202" i="3" s="1"/>
  <c r="H203" i="3" l="1"/>
  <c r="F203" i="3" s="1"/>
  <c r="E203" i="3" s="1"/>
  <c r="G203" i="3" s="1"/>
  <c r="H204" i="3" l="1"/>
  <c r="F204" i="3" s="1"/>
  <c r="E204" i="3" s="1"/>
  <c r="G204" i="3" s="1"/>
  <c r="H205" i="3" l="1"/>
  <c r="F205" i="3" s="1"/>
  <c r="E205" i="3" s="1"/>
  <c r="G205" i="3"/>
  <c r="H206" i="3" l="1"/>
  <c r="F206" i="3" s="1"/>
  <c r="E206" i="3" s="1"/>
  <c r="G206" i="3" s="1"/>
  <c r="H207" i="3" l="1"/>
  <c r="F207" i="3" s="1"/>
  <c r="E207" i="3" s="1"/>
  <c r="G207" i="3" s="1"/>
  <c r="H208" i="3" l="1"/>
  <c r="F208" i="3" s="1"/>
  <c r="E208" i="3" s="1"/>
  <c r="G208" i="3" s="1"/>
  <c r="H209" i="3" l="1"/>
  <c r="F209" i="3" s="1"/>
  <c r="E209" i="3" s="1"/>
  <c r="G209" i="3" s="1"/>
  <c r="H210" i="3" l="1"/>
  <c r="F210" i="3" s="1"/>
  <c r="E210" i="3" s="1"/>
  <c r="G210" i="3" s="1"/>
  <c r="H211" i="3" l="1"/>
  <c r="F211" i="3" s="1"/>
  <c r="E211" i="3" s="1"/>
  <c r="G211" i="3" s="1"/>
  <c r="H212" i="3" l="1"/>
  <c r="F212" i="3" s="1"/>
  <c r="E212" i="3" s="1"/>
  <c r="G212" i="3" s="1"/>
  <c r="H213" i="3" l="1"/>
  <c r="F213" i="3" s="1"/>
  <c r="E213" i="3" s="1"/>
  <c r="G213" i="3"/>
  <c r="H214" i="3" l="1"/>
  <c r="F214" i="3" s="1"/>
  <c r="E214" i="3" s="1"/>
  <c r="G214" i="3" s="1"/>
  <c r="H215" i="3" l="1"/>
  <c r="F215" i="3" s="1"/>
  <c r="E215" i="3" s="1"/>
  <c r="G215" i="3" s="1"/>
  <c r="H216" i="3" l="1"/>
  <c r="F216" i="3" s="1"/>
  <c r="E216" i="3" s="1"/>
  <c r="G216" i="3"/>
  <c r="H217" i="3" l="1"/>
  <c r="F217" i="3" s="1"/>
  <c r="E217" i="3" s="1"/>
  <c r="G217" i="3" s="1"/>
  <c r="H218" i="3" l="1"/>
  <c r="F218" i="3" s="1"/>
  <c r="E218" i="3" s="1"/>
  <c r="G218" i="3" s="1"/>
  <c r="H219" i="3" l="1"/>
  <c r="F219" i="3" s="1"/>
  <c r="E219" i="3" s="1"/>
  <c r="G219" i="3" s="1"/>
  <c r="H220" i="3" l="1"/>
  <c r="F220" i="3" s="1"/>
  <c r="E220" i="3" s="1"/>
  <c r="G220" i="3" s="1"/>
  <c r="H221" i="3" l="1"/>
  <c r="F221" i="3" s="1"/>
  <c r="E221" i="3" s="1"/>
  <c r="G221" i="3" s="1"/>
  <c r="H222" i="3" l="1"/>
  <c r="F222" i="3" s="1"/>
  <c r="E222" i="3" s="1"/>
  <c r="G222" i="3" s="1"/>
  <c r="H223" i="3" l="1"/>
  <c r="F223" i="3" s="1"/>
  <c r="E223" i="3" s="1"/>
  <c r="G223" i="3" s="1"/>
  <c r="H224" i="3" l="1"/>
  <c r="F224" i="3" s="1"/>
  <c r="E224" i="3" s="1"/>
  <c r="G224" i="3" s="1"/>
  <c r="H225" i="3" l="1"/>
  <c r="F225" i="3" s="1"/>
  <c r="E225" i="3" s="1"/>
  <c r="G225" i="3" s="1"/>
  <c r="H226" i="3" l="1"/>
  <c r="F226" i="3" s="1"/>
  <c r="E226" i="3" s="1"/>
  <c r="G226" i="3" s="1"/>
  <c r="H227" i="3" l="1"/>
  <c r="F227" i="3" s="1"/>
  <c r="E227" i="3" s="1"/>
  <c r="G227" i="3" s="1"/>
  <c r="H228" i="3" l="1"/>
  <c r="F228" i="3" s="1"/>
  <c r="E228" i="3" s="1"/>
  <c r="G228" i="3" s="1"/>
  <c r="H229" i="3" l="1"/>
  <c r="F229" i="3" s="1"/>
  <c r="E229" i="3" s="1"/>
  <c r="G229" i="3" s="1"/>
  <c r="H230" i="3" l="1"/>
  <c r="F230" i="3" s="1"/>
  <c r="E230" i="3" s="1"/>
  <c r="G230" i="3" s="1"/>
  <c r="H231" i="3" l="1"/>
  <c r="F231" i="3" s="1"/>
  <c r="E231" i="3" s="1"/>
  <c r="G231" i="3" s="1"/>
  <c r="H232" i="3" l="1"/>
  <c r="F232" i="3" s="1"/>
  <c r="E232" i="3" s="1"/>
  <c r="G232" i="3" s="1"/>
  <c r="H233" i="3" l="1"/>
  <c r="F233" i="3" s="1"/>
  <c r="E233" i="3" s="1"/>
  <c r="G233" i="3" s="1"/>
  <c r="H234" i="3" l="1"/>
  <c r="F234" i="3" s="1"/>
  <c r="E234" i="3" s="1"/>
  <c r="G234" i="3"/>
  <c r="H235" i="3" l="1"/>
  <c r="F235" i="3" s="1"/>
  <c r="E235" i="3" s="1"/>
  <c r="G235" i="3"/>
  <c r="H236" i="3" l="1"/>
  <c r="F236" i="3" s="1"/>
  <c r="E236" i="3" s="1"/>
  <c r="G236" i="3"/>
  <c r="H237" i="3" l="1"/>
  <c r="F237" i="3" s="1"/>
  <c r="E237" i="3" s="1"/>
  <c r="G237" i="3"/>
  <c r="H238" i="3" l="1"/>
  <c r="F238" i="3" s="1"/>
  <c r="E238" i="3" s="1"/>
  <c r="G238" i="3" s="1"/>
  <c r="H239" i="3" l="1"/>
  <c r="F239" i="3" s="1"/>
  <c r="E239" i="3" s="1"/>
  <c r="G239" i="3" s="1"/>
  <c r="H240" i="3" l="1"/>
  <c r="F240" i="3" s="1"/>
  <c r="E240" i="3" s="1"/>
  <c r="G240" i="3"/>
  <c r="H241" i="3" l="1"/>
  <c r="F241" i="3" s="1"/>
  <c r="E241" i="3" s="1"/>
  <c r="G241" i="3"/>
  <c r="H242" i="3" l="1"/>
  <c r="F242" i="3" s="1"/>
  <c r="E242" i="3" s="1"/>
  <c r="G242" i="3"/>
  <c r="H243" i="3" l="1"/>
  <c r="F243" i="3" s="1"/>
  <c r="E243" i="3" s="1"/>
  <c r="G243" i="3"/>
  <c r="H244" i="3" l="1"/>
  <c r="F244" i="3" s="1"/>
  <c r="E244" i="3" s="1"/>
  <c r="G244" i="3" s="1"/>
  <c r="H245" i="3" l="1"/>
  <c r="F245" i="3" s="1"/>
  <c r="E245" i="3" s="1"/>
  <c r="G245" i="3"/>
  <c r="H246" i="3" l="1"/>
  <c r="F246" i="3" s="1"/>
  <c r="E246" i="3" s="1"/>
  <c r="G246" i="3"/>
  <c r="H247" i="3" l="1"/>
  <c r="F247" i="3" s="1"/>
  <c r="E247" i="3" s="1"/>
  <c r="G247" i="3"/>
  <c r="H248" i="3" l="1"/>
  <c r="F248" i="3" s="1"/>
  <c r="E248" i="3" s="1"/>
  <c r="G248" i="3"/>
  <c r="H249" i="3" l="1"/>
  <c r="F249" i="3" s="1"/>
  <c r="E249" i="3" s="1"/>
  <c r="G249" i="3"/>
  <c r="H250" i="3" l="1"/>
  <c r="F250" i="3" s="1"/>
  <c r="E250" i="3" s="1"/>
  <c r="G250" i="3" s="1"/>
  <c r="H251" i="3" l="1"/>
  <c r="F251" i="3" s="1"/>
  <c r="E251" i="3" s="1"/>
  <c r="G251" i="3"/>
  <c r="H252" i="3" l="1"/>
  <c r="F252" i="3" s="1"/>
  <c r="E252" i="3" s="1"/>
  <c r="G252" i="3"/>
  <c r="H253" i="3" l="1"/>
  <c r="F253" i="3" s="1"/>
  <c r="E253" i="3" s="1"/>
  <c r="G253" i="3"/>
  <c r="H254" i="3" l="1"/>
  <c r="F254" i="3" s="1"/>
  <c r="E254" i="3" s="1"/>
  <c r="G254" i="3"/>
  <c r="H255" i="3" l="1"/>
  <c r="F255" i="3" s="1"/>
  <c r="E255" i="3" s="1"/>
  <c r="G255" i="3"/>
  <c r="H256" i="3" l="1"/>
  <c r="F256" i="3" s="1"/>
  <c r="E256" i="3" s="1"/>
  <c r="G256" i="3" s="1"/>
  <c r="H257" i="3" l="1"/>
  <c r="F257" i="3" s="1"/>
  <c r="E257" i="3" s="1"/>
  <c r="G257" i="3"/>
  <c r="H258" i="3" l="1"/>
  <c r="F258" i="3" s="1"/>
  <c r="E258" i="3" s="1"/>
  <c r="G258" i="3"/>
  <c r="H259" i="3" l="1"/>
  <c r="F259" i="3" s="1"/>
  <c r="E259" i="3" s="1"/>
  <c r="G259" i="3" s="1"/>
  <c r="H260" i="3" l="1"/>
  <c r="F260" i="3" s="1"/>
  <c r="E260" i="3" s="1"/>
  <c r="G260" i="3"/>
  <c r="H261" i="3" l="1"/>
  <c r="F261" i="3" s="1"/>
  <c r="E261" i="3" s="1"/>
  <c r="G261" i="3"/>
  <c r="H262" i="3" l="1"/>
  <c r="F262" i="3" s="1"/>
  <c r="E262" i="3" s="1"/>
  <c r="G262" i="3" s="1"/>
  <c r="H263" i="3" l="1"/>
  <c r="F263" i="3" s="1"/>
  <c r="E263" i="3" s="1"/>
  <c r="G263" i="3"/>
  <c r="H264" i="3" l="1"/>
  <c r="F264" i="3" s="1"/>
  <c r="E264" i="3" s="1"/>
  <c r="G264" i="3"/>
  <c r="H265" i="3" l="1"/>
  <c r="F265" i="3" s="1"/>
  <c r="E265" i="3" s="1"/>
  <c r="G265" i="3" s="1"/>
  <c r="H266" i="3" l="1"/>
  <c r="F266" i="3" s="1"/>
  <c r="E266" i="3" s="1"/>
  <c r="G266" i="3"/>
  <c r="H267" i="3" l="1"/>
  <c r="F267" i="3" s="1"/>
  <c r="E267" i="3" s="1"/>
  <c r="G267" i="3"/>
  <c r="H268" i="3" l="1"/>
  <c r="F268" i="3" s="1"/>
  <c r="E268" i="3" s="1"/>
  <c r="G268" i="3" s="1"/>
  <c r="H269" i="3" l="1"/>
  <c r="F269" i="3" s="1"/>
  <c r="E269" i="3" s="1"/>
  <c r="G269" i="3"/>
  <c r="H270" i="3" l="1"/>
  <c r="F270" i="3" s="1"/>
  <c r="E270" i="3" s="1"/>
  <c r="G270" i="3"/>
  <c r="H271" i="3" l="1"/>
  <c r="F271" i="3" s="1"/>
  <c r="E271" i="3" s="1"/>
  <c r="G271" i="3"/>
  <c r="H272" i="3" l="1"/>
  <c r="F272" i="3" s="1"/>
  <c r="E272" i="3" s="1"/>
  <c r="G272" i="3"/>
  <c r="H273" i="3" l="1"/>
  <c r="F273" i="3" s="1"/>
  <c r="E273" i="3" s="1"/>
  <c r="G273" i="3"/>
  <c r="H274" i="3" l="1"/>
  <c r="F274" i="3" s="1"/>
  <c r="E274" i="3" s="1"/>
  <c r="G274" i="3" s="1"/>
  <c r="H275" i="3" l="1"/>
  <c r="F275" i="3" s="1"/>
  <c r="E275" i="3" s="1"/>
  <c r="G275" i="3"/>
  <c r="H276" i="3" l="1"/>
  <c r="F276" i="3" s="1"/>
  <c r="E276" i="3" s="1"/>
  <c r="G276" i="3"/>
  <c r="H277" i="3" l="1"/>
  <c r="F277" i="3" s="1"/>
  <c r="E277" i="3" s="1"/>
  <c r="G277" i="3"/>
  <c r="H278" i="3" l="1"/>
  <c r="F278" i="3" s="1"/>
  <c r="E278" i="3" s="1"/>
  <c r="G278" i="3"/>
  <c r="H279" i="3" l="1"/>
  <c r="F279" i="3" s="1"/>
  <c r="E279" i="3" s="1"/>
  <c r="G279" i="3"/>
  <c r="H280" i="3" l="1"/>
  <c r="F280" i="3" s="1"/>
  <c r="E280" i="3" s="1"/>
  <c r="G280" i="3" s="1"/>
  <c r="H281" i="3" l="1"/>
  <c r="F281" i="3" s="1"/>
  <c r="E281" i="3" s="1"/>
  <c r="G281" i="3"/>
  <c r="H282" i="3" l="1"/>
  <c r="F282" i="3" s="1"/>
  <c r="E282" i="3" s="1"/>
  <c r="G282" i="3"/>
  <c r="H283" i="3" l="1"/>
  <c r="F283" i="3" s="1"/>
  <c r="E283" i="3" s="1"/>
  <c r="G283" i="3" s="1"/>
  <c r="H284" i="3" l="1"/>
  <c r="F284" i="3" s="1"/>
  <c r="E284" i="3" s="1"/>
  <c r="G284" i="3"/>
  <c r="H285" i="3" l="1"/>
  <c r="F285" i="3" s="1"/>
  <c r="E285" i="3" s="1"/>
  <c r="G285" i="3"/>
  <c r="H286" i="3" l="1"/>
  <c r="F286" i="3" s="1"/>
  <c r="E286" i="3" s="1"/>
  <c r="G286" i="3" s="1"/>
  <c r="H287" i="3" l="1"/>
  <c r="F287" i="3" s="1"/>
  <c r="E287" i="3" s="1"/>
  <c r="G287" i="3"/>
  <c r="H288" i="3" l="1"/>
  <c r="F288" i="3" s="1"/>
  <c r="E288" i="3" s="1"/>
  <c r="G288" i="3" s="1"/>
  <c r="H289" i="3" l="1"/>
  <c r="F289" i="3" s="1"/>
  <c r="E289" i="3" s="1"/>
  <c r="G289" i="3"/>
  <c r="H290" i="3" l="1"/>
  <c r="F290" i="3" s="1"/>
  <c r="E290" i="3" s="1"/>
  <c r="G290" i="3"/>
  <c r="H291" i="3" l="1"/>
  <c r="F291" i="3" s="1"/>
  <c r="E291" i="3" s="1"/>
  <c r="G291" i="3"/>
  <c r="H292" i="3" l="1"/>
  <c r="F292" i="3" s="1"/>
  <c r="E292" i="3" s="1"/>
  <c r="G292" i="3" s="1"/>
  <c r="H293" i="3" l="1"/>
  <c r="F293" i="3" s="1"/>
  <c r="E293" i="3" s="1"/>
  <c r="G293" i="3" s="1"/>
  <c r="H294" i="3" l="1"/>
  <c r="F294" i="3" s="1"/>
  <c r="E294" i="3" s="1"/>
  <c r="G294" i="3"/>
  <c r="H295" i="3" l="1"/>
  <c r="F295" i="3" s="1"/>
  <c r="E295" i="3" s="1"/>
  <c r="G295" i="3"/>
  <c r="H296" i="3" l="1"/>
  <c r="F296" i="3" s="1"/>
  <c r="E296" i="3" s="1"/>
  <c r="G296" i="3" s="1"/>
  <c r="H297" i="3" l="1"/>
  <c r="F297" i="3" s="1"/>
  <c r="E297" i="3" s="1"/>
  <c r="G297" i="3"/>
  <c r="H298" i="3" l="1"/>
  <c r="F298" i="3" s="1"/>
  <c r="E298" i="3" s="1"/>
  <c r="G298" i="3" s="1"/>
  <c r="H299" i="3" l="1"/>
  <c r="F299" i="3" s="1"/>
  <c r="E299" i="3" s="1"/>
  <c r="G299" i="3"/>
  <c r="H300" i="3" l="1"/>
  <c r="F300" i="3" s="1"/>
  <c r="E300" i="3" s="1"/>
  <c r="G300" i="3" s="1"/>
  <c r="H301" i="3" l="1"/>
  <c r="F301" i="3" s="1"/>
  <c r="E301" i="3" s="1"/>
  <c r="G301" i="3"/>
  <c r="H302" i="3" l="1"/>
  <c r="F302" i="3" s="1"/>
  <c r="E302" i="3" s="1"/>
  <c r="G302" i="3"/>
  <c r="H303" i="3" l="1"/>
  <c r="F303" i="3" s="1"/>
  <c r="E303" i="3" s="1"/>
  <c r="G303" i="3"/>
  <c r="H304" i="3" l="1"/>
  <c r="F304" i="3" s="1"/>
  <c r="E304" i="3" s="1"/>
  <c r="G304" i="3" s="1"/>
  <c r="H305" i="3" l="1"/>
  <c r="F305" i="3" s="1"/>
  <c r="E305" i="3" s="1"/>
  <c r="G305" i="3"/>
  <c r="H306" i="3" l="1"/>
  <c r="F306" i="3" s="1"/>
  <c r="E306" i="3" s="1"/>
  <c r="G306" i="3"/>
  <c r="H307" i="3" l="1"/>
  <c r="F307" i="3" s="1"/>
  <c r="E307" i="3" s="1"/>
  <c r="G307" i="3" s="1"/>
  <c r="H308" i="3" l="1"/>
  <c r="F308" i="3" s="1"/>
  <c r="E308" i="3" s="1"/>
  <c r="G308" i="3"/>
  <c r="H309" i="3" l="1"/>
  <c r="F309" i="3" s="1"/>
  <c r="E309" i="3" s="1"/>
  <c r="G309" i="3"/>
  <c r="H310" i="3" l="1"/>
  <c r="F310" i="3" s="1"/>
  <c r="E310" i="3" s="1"/>
  <c r="G310" i="3" s="1"/>
  <c r="H311" i="3" l="1"/>
  <c r="F311" i="3" s="1"/>
  <c r="E311" i="3" s="1"/>
  <c r="G311" i="3"/>
  <c r="H312" i="3" l="1"/>
  <c r="F312" i="3" s="1"/>
  <c r="E312" i="3" s="1"/>
  <c r="G312" i="3"/>
  <c r="H313" i="3" l="1"/>
  <c r="F313" i="3" s="1"/>
  <c r="E313" i="3" s="1"/>
  <c r="G313" i="3" s="1"/>
  <c r="H314" i="3" l="1"/>
  <c r="F314" i="3" s="1"/>
  <c r="E314" i="3" s="1"/>
  <c r="G314" i="3" s="1"/>
  <c r="H315" i="3" l="1"/>
  <c r="F315" i="3" s="1"/>
  <c r="E315" i="3" s="1"/>
  <c r="G315" i="3" s="1"/>
  <c r="H316" i="3" l="1"/>
  <c r="F316" i="3" s="1"/>
  <c r="E316" i="3" s="1"/>
  <c r="G316" i="3" s="1"/>
  <c r="H317" i="3" l="1"/>
  <c r="F317" i="3" s="1"/>
  <c r="E317" i="3" s="1"/>
  <c r="G317" i="3"/>
  <c r="H318" i="3" l="1"/>
  <c r="F318" i="3" s="1"/>
  <c r="E318" i="3" s="1"/>
  <c r="G318" i="3" s="1"/>
  <c r="H319" i="3" l="1"/>
  <c r="F319" i="3" s="1"/>
  <c r="E319" i="3" s="1"/>
  <c r="G319" i="3"/>
  <c r="H320" i="3" l="1"/>
  <c r="F320" i="3" s="1"/>
  <c r="E320" i="3" s="1"/>
  <c r="G320" i="3" s="1"/>
  <c r="H321" i="3" l="1"/>
  <c r="F321" i="3" s="1"/>
  <c r="E321" i="3" s="1"/>
  <c r="G321" i="3"/>
  <c r="H322" i="3" l="1"/>
  <c r="F322" i="3" s="1"/>
  <c r="E322" i="3" s="1"/>
  <c r="G322" i="3" s="1"/>
  <c r="H323" i="3" l="1"/>
  <c r="F323" i="3" s="1"/>
  <c r="E323" i="3" s="1"/>
  <c r="G323" i="3" s="1"/>
  <c r="H324" i="3" l="1"/>
  <c r="F324" i="3" s="1"/>
  <c r="E324" i="3" s="1"/>
  <c r="G324" i="3"/>
  <c r="H325" i="3" l="1"/>
  <c r="F325" i="3" s="1"/>
  <c r="E325" i="3" s="1"/>
  <c r="G325" i="3"/>
  <c r="H326" i="3" l="1"/>
  <c r="F326" i="3" s="1"/>
  <c r="E326" i="3" s="1"/>
  <c r="G326" i="3"/>
  <c r="H327" i="3" l="1"/>
  <c r="F327" i="3" s="1"/>
  <c r="E327" i="3" s="1"/>
  <c r="G327" i="3"/>
  <c r="H328" i="3" l="1"/>
  <c r="F328" i="3" s="1"/>
  <c r="E328" i="3" s="1"/>
  <c r="G328" i="3" s="1"/>
  <c r="H329" i="3" l="1"/>
  <c r="F329" i="3" s="1"/>
  <c r="E329" i="3" s="1"/>
  <c r="G329" i="3" s="1"/>
  <c r="H330" i="3" l="1"/>
  <c r="F330" i="3" s="1"/>
  <c r="E330" i="3" s="1"/>
  <c r="G330" i="3" s="1"/>
  <c r="H331" i="3" l="1"/>
  <c r="F331" i="3" s="1"/>
  <c r="E331" i="3" s="1"/>
  <c r="G331" i="3" s="1"/>
  <c r="H332" i="3" l="1"/>
  <c r="F332" i="3" s="1"/>
  <c r="E332" i="3" s="1"/>
  <c r="G332" i="3" s="1"/>
  <c r="H333" i="3" l="1"/>
  <c r="F333" i="3" s="1"/>
  <c r="E333" i="3" s="1"/>
  <c r="G333" i="3"/>
  <c r="H334" i="3" l="1"/>
  <c r="F334" i="3" s="1"/>
  <c r="E334" i="3" s="1"/>
  <c r="G334" i="3" s="1"/>
  <c r="H335" i="3" l="1"/>
  <c r="F335" i="3" s="1"/>
  <c r="E335" i="3" s="1"/>
  <c r="G335" i="3"/>
  <c r="H336" i="3" l="1"/>
  <c r="F336" i="3" s="1"/>
  <c r="E336" i="3" s="1"/>
  <c r="G336" i="3" s="1"/>
  <c r="H337" i="3" l="1"/>
  <c r="F337" i="3" s="1"/>
  <c r="E337" i="3" s="1"/>
  <c r="G337" i="3"/>
  <c r="H338" i="3" l="1"/>
  <c r="F338" i="3" s="1"/>
  <c r="E338" i="3" s="1"/>
  <c r="G338" i="3" s="1"/>
  <c r="H339" i="3" l="1"/>
  <c r="F339" i="3" s="1"/>
  <c r="E339" i="3" s="1"/>
  <c r="G339" i="3" s="1"/>
  <c r="H340" i="3" l="1"/>
  <c r="F340" i="3" s="1"/>
  <c r="E340" i="3" s="1"/>
  <c r="G340" i="3" s="1"/>
  <c r="H341" i="3" l="1"/>
  <c r="F341" i="3" s="1"/>
  <c r="E341" i="3" s="1"/>
  <c r="G341" i="3" s="1"/>
  <c r="H342" i="3" l="1"/>
  <c r="F342" i="3" s="1"/>
  <c r="E342" i="3" s="1"/>
  <c r="G342" i="3" s="1"/>
  <c r="H343" i="3" l="1"/>
  <c r="F343" i="3" s="1"/>
  <c r="E343" i="3" s="1"/>
  <c r="G343" i="3"/>
  <c r="H344" i="3" l="1"/>
  <c r="F344" i="3" s="1"/>
  <c r="E344" i="3" s="1"/>
  <c r="G344" i="3" s="1"/>
  <c r="H345" i="3" l="1"/>
  <c r="F345" i="3" s="1"/>
  <c r="E345" i="3" s="1"/>
  <c r="G345" i="3" s="1"/>
  <c r="H346" i="3" l="1"/>
  <c r="F346" i="3" s="1"/>
  <c r="E346" i="3" s="1"/>
  <c r="G346" i="3" s="1"/>
  <c r="H347" i="3" l="1"/>
  <c r="F347" i="3" s="1"/>
  <c r="E347" i="3" s="1"/>
  <c r="G347" i="3"/>
  <c r="H348" i="3" l="1"/>
  <c r="F348" i="3" s="1"/>
  <c r="E348" i="3" s="1"/>
  <c r="G348" i="3" s="1"/>
  <c r="H349" i="3" l="1"/>
  <c r="F349" i="3" s="1"/>
  <c r="E349" i="3" s="1"/>
  <c r="G349" i="3" s="1"/>
  <c r="H350" i="3" l="1"/>
  <c r="F350" i="3" s="1"/>
  <c r="E350" i="3" s="1"/>
  <c r="G350" i="3"/>
  <c r="H351" i="3" l="1"/>
  <c r="F351" i="3" s="1"/>
  <c r="E351" i="3" s="1"/>
  <c r="G351" i="3"/>
  <c r="H352" i="3" l="1"/>
  <c r="F352" i="3" s="1"/>
  <c r="E352" i="3" s="1"/>
  <c r="G352" i="3" s="1"/>
  <c r="H353" i="3" l="1"/>
  <c r="F353" i="3" s="1"/>
  <c r="E353" i="3" s="1"/>
  <c r="G353" i="3"/>
  <c r="H354" i="3" l="1"/>
  <c r="F354" i="3" s="1"/>
  <c r="E354" i="3" s="1"/>
  <c r="G354" i="3"/>
  <c r="H355" i="3" l="1"/>
  <c r="F355" i="3" s="1"/>
  <c r="E355" i="3" s="1"/>
  <c r="G355" i="3"/>
  <c r="H356" i="3" l="1"/>
  <c r="F356" i="3" s="1"/>
  <c r="E356" i="3" s="1"/>
  <c r="G356" i="3" s="1"/>
  <c r="H357" i="3" l="1"/>
  <c r="F357" i="3" s="1"/>
  <c r="E357" i="3" s="1"/>
  <c r="G357" i="3"/>
  <c r="H358" i="3" l="1"/>
  <c r="F358" i="3" s="1"/>
  <c r="E358" i="3" s="1"/>
  <c r="G358" i="3" s="1"/>
  <c r="H359" i="3" l="1"/>
  <c r="F359" i="3" s="1"/>
  <c r="E359" i="3" s="1"/>
  <c r="G359" i="3" s="1"/>
  <c r="H360" i="3" l="1"/>
  <c r="F360" i="3" s="1"/>
  <c r="E360" i="3" s="1"/>
  <c r="G360" i="3" s="1"/>
  <c r="H361" i="3" l="1"/>
  <c r="F361" i="3" s="1"/>
  <c r="E361" i="3" s="1"/>
  <c r="G361" i="3" s="1"/>
  <c r="H362" i="3" l="1"/>
  <c r="F362" i="3" s="1"/>
  <c r="E362" i="3" s="1"/>
  <c r="G362" i="3" s="1"/>
  <c r="H363" i="3" l="1"/>
  <c r="F363" i="3" s="1"/>
  <c r="E363" i="3" s="1"/>
  <c r="G363" i="3"/>
  <c r="H364" i="3" l="1"/>
  <c r="F364" i="3" s="1"/>
  <c r="E364" i="3" s="1"/>
  <c r="G364" i="3"/>
  <c r="H365" i="3" l="1"/>
  <c r="F365" i="3" s="1"/>
  <c r="E365" i="3" s="1"/>
  <c r="G365" i="3" s="1"/>
  <c r="H366" i="3" l="1"/>
  <c r="F366" i="3" s="1"/>
  <c r="E366" i="3" s="1"/>
  <c r="G366" i="3"/>
  <c r="H367" i="3" l="1"/>
  <c r="F367" i="3" s="1"/>
  <c r="E367" i="3" s="1"/>
  <c r="G367" i="3" s="1"/>
  <c r="H368" i="3" l="1"/>
  <c r="F368" i="3" s="1"/>
  <c r="E368" i="3" s="1"/>
  <c r="G368" i="3" s="1"/>
  <c r="H369" i="3" l="1"/>
  <c r="F369" i="3" s="1"/>
  <c r="E369" i="3" s="1"/>
  <c r="G369" i="3" s="1"/>
  <c r="H370" i="3" l="1"/>
  <c r="F370" i="3" s="1"/>
  <c r="E370" i="3" s="1"/>
  <c r="G370" i="3" s="1"/>
  <c r="H371" i="3" l="1"/>
  <c r="F371" i="3" s="1"/>
  <c r="E371" i="3" s="1"/>
  <c r="G371" i="3" s="1"/>
  <c r="H372" i="3" l="1"/>
  <c r="F372" i="3" s="1"/>
  <c r="E372" i="3" s="1"/>
  <c r="G372" i="3" s="1"/>
  <c r="H373" i="3" l="1"/>
  <c r="F373" i="3" s="1"/>
  <c r="E373" i="3" s="1"/>
  <c r="G373" i="3"/>
  <c r="H374" i="3" l="1"/>
  <c r="F374" i="3" s="1"/>
  <c r="E374" i="3" s="1"/>
  <c r="G374" i="3"/>
  <c r="H375" i="3" l="1"/>
  <c r="F375" i="3" s="1"/>
  <c r="E375" i="3" s="1"/>
  <c r="G375" i="3"/>
  <c r="H376" i="3" l="1"/>
  <c r="F376" i="3" s="1"/>
  <c r="E376" i="3" s="1"/>
  <c r="G376" i="3"/>
  <c r="H377" i="3" l="1"/>
  <c r="F377" i="3" s="1"/>
  <c r="E377" i="3" s="1"/>
  <c r="G377" i="3"/>
  <c r="H378" i="3" l="1"/>
  <c r="F378" i="3" s="1"/>
  <c r="E378" i="3" s="1"/>
  <c r="G378" i="3"/>
  <c r="H379" i="3" l="1"/>
  <c r="F379" i="3" s="1"/>
  <c r="E379" i="3" s="1"/>
  <c r="G379" i="3"/>
  <c r="H380" i="3" l="1"/>
  <c r="F380" i="3" s="1"/>
  <c r="E380" i="3" s="1"/>
  <c r="G380" i="3"/>
</calcChain>
</file>

<file path=xl/sharedStrings.xml><?xml version="1.0" encoding="utf-8"?>
<sst xmlns="http://schemas.openxmlformats.org/spreadsheetml/2006/main" count="341" uniqueCount="301">
  <si>
    <t>CDFI Financial Literacy Toolkit</t>
  </si>
  <si>
    <t>Provided by Clarity Impact Finance</t>
  </si>
  <si>
    <t>Created: March 17, 2025</t>
  </si>
  <si>
    <t>About This Toolkit</t>
  </si>
  <si>
    <t>This Excel workbook provides a collection of financial tools designed specifically for individuals and small business owners who are seeking financing from Community Development Financial Institutions (CDFIs).
    The tools included in this workbook will help you understand key financial concepts, plan your financing needs, and make informed decisions about your business or real estate project.
    No financial background is required to use these tools. Each sheet includes instructions and explanations of key terms.</t>
  </si>
  <si>
    <t>How to Use This Toolkit</t>
  </si>
  <si>
    <t>1. Navigate between tools using the tabs at the bottom of the Excel window.
    2. Enter your information in the light green cells.
    3. Results and calculations will appear in the light orange cells.
    4. Don't change formulas in the orange cells or any cells that aren't light green.
    5. Save a copy of this workbook with your specific information.</t>
  </si>
  <si>
    <t>Tools Included in This Workbook</t>
  </si>
  <si>
    <t>Loan Terminology</t>
  </si>
  <si>
    <t>Explanations of common loan terms and concepts used by CDFIs</t>
  </si>
  <si>
    <t>Loan Amortization</t>
  </si>
  <si>
    <t>Calculate monthly payments, total interest, and view payment schedules</t>
  </si>
  <si>
    <t>Loan Affordability</t>
  </si>
  <si>
    <t>Determine how much financing you can afford based on your business income</t>
  </si>
  <si>
    <t>Business Budget</t>
  </si>
  <si>
    <t>Create and manage a business budget with income and expense tracking</t>
  </si>
  <si>
    <t>Cash Flow Forecast</t>
  </si>
  <si>
    <t>Project your business's cash flow for the next 12-24 months</t>
  </si>
  <si>
    <t>CDFI Comparison</t>
  </si>
  <si>
    <t>Compare financing options from different CDFIs</t>
  </si>
  <si>
    <t>Access to Additional Resources</t>
  </si>
  <si>
    <t>Clarity Impact Finance offers additional resources through our secure client portal:
    • To access these resources, you'll need an invitation code (format: CIF-XXXXX)
    • Invitation codes are valid for 30 days
    • Contact your CDFI representative for an invitation code
    • Once registered, you can log in with your email and password
    Visit our website for more information about accessing these resources.</t>
  </si>
  <si>
    <t>Need Help?</t>
  </si>
  <si>
    <t>Email: contact@clarityimpactfinance.com</t>
  </si>
  <si>
    <t>Website: www.clarityimpactfinance.com</t>
  </si>
  <si>
    <t>Additional resources and guides are available on our website.</t>
  </si>
  <si>
    <t>Loan Terminology Explainer</t>
  </si>
  <si>
    <t>Understanding key financial terms used in CDFI financing</t>
  </si>
  <si>
    <t>Looking for a specific term? Press Ctrl+F to search this sheet.</t>
  </si>
  <si>
    <t>Term</t>
  </si>
  <si>
    <t>Definition</t>
  </si>
  <si>
    <t>Example</t>
  </si>
  <si>
    <t>Why It Matters</t>
  </si>
  <si>
    <t>Principal</t>
  </si>
  <si>
    <t>The original amount of money borrowed in a loan.</t>
  </si>
  <si>
    <t>A $100,000 loan for business equipment has a principal of $100,000.</t>
  </si>
  <si>
    <t>Determines your total debt obligation and affects the interest you'll pay.</t>
  </si>
  <si>
    <t>Interest Rate</t>
  </si>
  <si>
    <t>The percentage of the principal charged by lenders for the use of their money. Can be fixed (stays the same) or variable (changes over time).</t>
  </si>
  <si>
    <t>A loan with a 5% fixed annual interest rate.</t>
  </si>
  <si>
    <t>Directly impacts your monthly payment and total cost of the loan.</t>
  </si>
  <si>
    <t>APR (Annual Percentage Rate)</t>
  </si>
  <si>
    <t>The yearly cost of a loan including interest and fees, expressed as a percentage.</t>
  </si>
  <si>
    <t>A loan with a 5% interest rate might have a 5.5% APR when fees are included.</t>
  </si>
  <si>
    <t>Helps you compare different loan offers on a standardized basis.</t>
  </si>
  <si>
    <t>The length of time to repay the loan in full.</t>
  </si>
  <si>
    <t>A 5-year term means you have 60 monthly payments to repay the loan.</t>
  </si>
  <si>
    <t>Affects your monthly payment amount and total interest paid.</t>
  </si>
  <si>
    <t>Amortization</t>
  </si>
  <si>
    <t>The process of paying off a loan with regular payments over time, where each payment includes both principal and interest.</t>
  </si>
  <si>
    <t>In a 30-year mortgage, early payments are mostly interest, while later payments are mostly principal.</t>
  </si>
  <si>
    <t>Helps you understand how much of each payment goes to principal vs. interest.</t>
  </si>
  <si>
    <t>Amortization Schedule</t>
  </si>
  <si>
    <t>A table showing the breakdown of each loan payment into principal and interest over the life of the loan.</t>
  </si>
  <si>
    <t>Month 1: $500 payment = $100 principal + $400 interest
Month 2: $500 payment = $102 principal + $398 interest</t>
  </si>
  <si>
    <t>Helps track loan payoff progress and plan for early payoff strategies.</t>
  </si>
  <si>
    <t>Collateral</t>
  </si>
  <si>
    <t>Assets pledged to secure a loan that can be seized by the lender if you fail to repay.</t>
  </si>
  <si>
    <t>Using business equipment or real estate as collateral for a loan.</t>
  </si>
  <si>
    <t>Reduces lender risk, which can help you qualify for larger loans or better rates.</t>
  </si>
  <si>
    <t>Debt Service Coverage Ratio (DSCR)</t>
  </si>
  <si>
    <t>A measure of cash flow available to pay current debt obligations. Calculated as Net Operating Income divided by Total Debt Service.</t>
  </si>
  <si>
    <t>DSCR of 1.25 means you have 25% more income than needed for loan payments.</t>
  </si>
  <si>
    <t>Lenders use this to determine if your business generates enough cash to repay the loan.</t>
  </si>
  <si>
    <t>Loan-to-Value (LTV) Ratio</t>
  </si>
  <si>
    <t>The ratio of a loan amount to the value of the asset being purchased.</t>
  </si>
  <si>
    <t>An $80,000 loan for a $100,000 property has an 80% LTV ratio.</t>
  </si>
  <si>
    <t>Affects your interest rate, loan terms, and whether you need additional collateral.</t>
  </si>
  <si>
    <t>Origination Fee</t>
  </si>
  <si>
    <t>A fee charged by lenders to process a new loan application.</t>
  </si>
  <si>
    <t>A 1% origination fee on a $100,000 loan would cost $1,000.</t>
  </si>
  <si>
    <t>Adds to the upfront cost of obtaining a loan and affects the total cost of borrowing.</t>
  </si>
  <si>
    <t>Prepayment Penalty</t>
  </si>
  <si>
    <t>A fee charged by some lenders if you pay off your loan before the end of the term.</t>
  </si>
  <si>
    <t>A 2% prepayment penalty on a $100,000 balance would cost $2,000 if you pay off early.</t>
  </si>
  <si>
    <t>May limit your flexibility to refinance or pay off the loan early.</t>
  </si>
  <si>
    <t>Term Sheet</t>
  </si>
  <si>
    <t>A non-binding document outlining the key terms and conditions of a proposed loan.</t>
  </si>
  <si>
    <t>A term sheet might specify loan amount, interest rate, term, collateral requirements, and key conditions.</t>
  </si>
  <si>
    <t>Allows you to understand and compare loan offers before signing binding documents.</t>
  </si>
  <si>
    <t>Debt-to-Income (DTI) Ratio</t>
  </si>
  <si>
    <t>The percentage of your monthly income that goes toward paying debts.</t>
  </si>
  <si>
    <t>If your monthly income is $10,000 and debt payments total $3,000, your DTI is 30%.</t>
  </si>
  <si>
    <t>Lenders use this to assess your ability to take on additional debt.</t>
  </si>
  <si>
    <t>Grace Period</t>
  </si>
  <si>
    <t>A set period after a payment due date during which a late payment will not result in penalties.</t>
  </si>
  <si>
    <t>A 15-day grace period means no late fees if you pay within 15 days after the due date.</t>
  </si>
  <si>
    <t>Provides flexibility in timing your payments.</t>
  </si>
  <si>
    <t>Balloon Payment</t>
  </si>
  <si>
    <t>A large, lump-sum payment due at the end of a loan term.</t>
  </si>
  <si>
    <t>A 5-year loan with a $50,000 balloon payment at the end.</t>
  </si>
  <si>
    <t>Requires planning to either refinance or have funds available for the final payment.</t>
  </si>
  <si>
    <t>Note: This is not an exhaustive list. Ask your CDFI loan officer about any terms you don't understand.</t>
  </si>
  <si>
    <t>Loan Amortization Calculator</t>
  </si>
  <si>
    <t>Calculate monthly payments and view payment schedules for your loan</t>
  </si>
  <si>
    <t>Instructions:</t>
  </si>
  <si>
    <t>1. Enter your loan details in the green input cells below
    2. View your monthly payment and loan summary in the orange cells
    3. Scroll down to see your complete amortization schedule</t>
  </si>
  <si>
    <t>Loan Details</t>
  </si>
  <si>
    <t>Loan Summary</t>
  </si>
  <si>
    <t>Loan Amount ($)</t>
  </si>
  <si>
    <t>Monthly Payment ($)</t>
  </si>
  <si>
    <t>Annual Interest Rate (%)</t>
  </si>
  <si>
    <t>Total Payments ($)</t>
  </si>
  <si>
    <t>Loan Term (Years)</t>
  </si>
  <si>
    <t>Total Interest ($)</t>
  </si>
  <si>
    <t>Payments Per Year</t>
  </si>
  <si>
    <t>Total Principal ($)</t>
  </si>
  <si>
    <t>Start Date</t>
  </si>
  <si>
    <t>Last Payment Date</t>
  </si>
  <si>
    <t>Payment #</t>
  </si>
  <si>
    <t>Payment Date</t>
  </si>
  <si>
    <t>Payment Amount</t>
  </si>
  <si>
    <t>Interest</t>
  </si>
  <si>
    <t>Remaining Balance</t>
  </si>
  <si>
    <t>Principal vs. Interest Over Time</t>
  </si>
  <si>
    <t>Want to pay off your loan early? Try making extra payments or increasing your monthly payment amount.</t>
  </si>
  <si>
    <t>Loan Affordability Analyzer</t>
  </si>
  <si>
    <t>1. Enter your business's financial information in the green cells
    2. The calculator will show how much loan you can afford based on CDFI lending standards
    3. Adjust your inputs to see how changes affect your borrowing capacity</t>
  </si>
  <si>
    <t>Business Financial Information</t>
  </si>
  <si>
    <t>What If Analysis</t>
  </si>
  <si>
    <t>Use this section to explore how changes to your business finances could increase your borrowing capacity.</t>
  </si>
  <si>
    <t>Monthly Business Revenue ($)</t>
  </si>
  <si>
    <t>Monthly Business Expenses ($)</t>
  </si>
  <si>
    <t>Exclude existing debt payments</t>
  </si>
  <si>
    <t>Scenario</t>
  </si>
  <si>
    <t>Current</t>
  </si>
  <si>
    <t>Revenue +10%</t>
  </si>
  <si>
    <t>Expenses -10%</t>
  </si>
  <si>
    <t>Longer Term</t>
  </si>
  <si>
    <t>Existing Monthly Debt Payments ($)</t>
  </si>
  <si>
    <t>Monthly Revenue ($)</t>
  </si>
  <si>
    <t>Expected Interest Rate (%)</t>
  </si>
  <si>
    <t>Monthly Expenses ($)</t>
  </si>
  <si>
    <t>Desired Loan Term (Years)</t>
  </si>
  <si>
    <t>Net Operating Income ($)</t>
  </si>
  <si>
    <t>Target Debt Service Coverage Ratio</t>
  </si>
  <si>
    <t>Most CDFIs require 1.25 or higher</t>
  </si>
  <si>
    <t>Maximum Loan Amount ($)</t>
  </si>
  <si>
    <t>Loan Affordability Analysis</t>
  </si>
  <si>
    <t>Monthly Net Operating Income ($)</t>
  </si>
  <si>
    <t>Maximum Monthly Debt Payment ($)</t>
  </si>
  <si>
    <t>Available for New Loan Payment ($)</t>
  </si>
  <si>
    <t>CDFI Lending Guidance</t>
  </si>
  <si>
    <t>Most CDFIs require a DSCR of 1.15-1.25 or higher for business loans.</t>
  </si>
  <si>
    <t>Loan-to-Value (LTV) for Real Estate</t>
  </si>
  <si>
    <t>Typically 75-80% for commercial properties; up to 90% for some mission-focused CDFIs.</t>
  </si>
  <si>
    <t>Borrower Contribution</t>
  </si>
  <si>
    <t>Usually 10-25% of project costs, though some CDFIs have lower requirements.</t>
  </si>
  <si>
    <t>Technical Assistance</t>
  </si>
  <si>
    <t>Many CDFIs offer free financial counseling to help improve your financial position.</t>
  </si>
  <si>
    <t>Note: Improving your Debt Service Coverage Ratio through increased revenue or decreased expenses is the most effective way to increase your borrowing capacity.</t>
  </si>
  <si>
    <t>Business Budget Template</t>
  </si>
  <si>
    <t>Track and manage your business income and expenses</t>
  </si>
  <si>
    <t>1. Enter your projected income and expenses in the green cells
    2. Enter actual figures as they occur 
    3. Review variance to monitor your budget performance
    4. Use the charts to visualize your budget</t>
  </si>
  <si>
    <t>Business Information</t>
  </si>
  <si>
    <t>Business Name</t>
  </si>
  <si>
    <t>Budget Period</t>
  </si>
  <si>
    <t>YYYY-MM to YYYY-MM</t>
  </si>
  <si>
    <t>Prepared By</t>
  </si>
  <si>
    <t>Last Updated</t>
  </si>
  <si>
    <t>Income</t>
  </si>
  <si>
    <t>Category</t>
  </si>
  <si>
    <t>Projected</t>
  </si>
  <si>
    <t>Actual</t>
  </si>
  <si>
    <t>Variance</t>
  </si>
  <si>
    <t>% of Total Income</t>
  </si>
  <si>
    <t>Product Sales</t>
  </si>
  <si>
    <t>Service Revenue</t>
  </si>
  <si>
    <t>Consulting Fees</t>
  </si>
  <si>
    <t>Contract Work</t>
  </si>
  <si>
    <t>Rental Income</t>
  </si>
  <si>
    <t>Investment Income</t>
  </si>
  <si>
    <t>Grants</t>
  </si>
  <si>
    <t>Other Income</t>
  </si>
  <si>
    <t>Total Income</t>
  </si>
  <si>
    <t>100%</t>
  </si>
  <si>
    <t>Expenses</t>
  </si>
  <si>
    <t>% of Total Expenses</t>
  </si>
  <si>
    <t>Rent/Mortgage</t>
  </si>
  <si>
    <t>Utilities</t>
  </si>
  <si>
    <t>Insurance</t>
  </si>
  <si>
    <t>Payroll</t>
  </si>
  <si>
    <t>Taxes</t>
  </si>
  <si>
    <t>Office Supplies</t>
  </si>
  <si>
    <t>Marketing/Advertising</t>
  </si>
  <si>
    <t>Professional Services</t>
  </si>
  <si>
    <t>Loan Repayments</t>
  </si>
  <si>
    <t>Software/Subscriptions</t>
  </si>
  <si>
    <t>Travel</t>
  </si>
  <si>
    <t>Meals/Entertainment</t>
  </si>
  <si>
    <t>Vehicle Expenses</t>
  </si>
  <si>
    <t>Equipment Purchases</t>
  </si>
  <si>
    <t>Licenses/Permits</t>
  </si>
  <si>
    <t>Training/Education</t>
  </si>
  <si>
    <t>Miscellaneous</t>
  </si>
  <si>
    <t>Total Expenses</t>
  </si>
  <si>
    <t>Net Income (Income - Expenses)</t>
  </si>
  <si>
    <t>Net Income</t>
  </si>
  <si>
    <t>Budget Visualization</t>
  </si>
  <si>
    <t>Budget Management Tips for CDFI Borrowers</t>
  </si>
  <si>
    <t>1. Review your budget monthly and adjust projections as needed</t>
  </si>
  <si>
    <t>2. Keep a minimum 10% buffer for unexpected expenses</t>
  </si>
  <si>
    <t>3. Track seasonal patterns to better predict future needs</t>
  </si>
  <si>
    <t>4. Separate fixed costs from variable costs to identify potential savings</t>
  </si>
  <si>
    <t>5. Consider creating separate budgets for specific projects or business lines</t>
  </si>
  <si>
    <t>Cash Flow Forecasting Tool</t>
  </si>
  <si>
    <t>Project your business's cash flow for the next 12 months</t>
  </si>
  <si>
    <t>1. Enter your starting cash balance
    2. Fill in projected cash inflows and outflows for each month
    3. The tool will calculate your monthly and cumulative cash flow
    4. Watch for negative balances that may indicate cash flow problems</t>
  </si>
  <si>
    <t>Why Cash Flow Matters for CDFI Borrowers</t>
  </si>
  <si>
    <t>Cash flow forecasting is critical for CDFI loan applicants because:
    • Lenders analyze cash flow to determine loan affordability
    • It helps identify months when you might need additional financing
    • It demonstrates financial management capability to lenders
    • It allows you to plan for debt repayment responsibilities</t>
  </si>
  <si>
    <t>Starting Cash Balance ($)</t>
  </si>
  <si>
    <t>January</t>
  </si>
  <si>
    <t>February</t>
  </si>
  <si>
    <t>March</t>
  </si>
  <si>
    <t>April</t>
  </si>
  <si>
    <t>May</t>
  </si>
  <si>
    <t>June</t>
  </si>
  <si>
    <t>July</t>
  </si>
  <si>
    <t>August</t>
  </si>
  <si>
    <t>September</t>
  </si>
  <si>
    <t>October</t>
  </si>
  <si>
    <t>November</t>
  </si>
  <si>
    <t>December</t>
  </si>
  <si>
    <t>Cash Inflows</t>
  </si>
  <si>
    <t>Sales Revenue</t>
  </si>
  <si>
    <t>Accounts Receivable Collections</t>
  </si>
  <si>
    <t>Loan Proceeds</t>
  </si>
  <si>
    <t>Owner Investments</t>
  </si>
  <si>
    <t>Asset Sales</t>
  </si>
  <si>
    <t>Tax Refunds</t>
  </si>
  <si>
    <t>Grants/Subsidies</t>
  </si>
  <si>
    <t>Total Inflows</t>
  </si>
  <si>
    <t>Cash Outflows</t>
  </si>
  <si>
    <t>Inventory Purchases</t>
  </si>
  <si>
    <t>Loan Payments</t>
  </si>
  <si>
    <t>Professional Fees</t>
  </si>
  <si>
    <t>Supplies</t>
  </si>
  <si>
    <t>Repairs/Maintenance</t>
  </si>
  <si>
    <t>Owner Draws</t>
  </si>
  <si>
    <t>Other Expenses</t>
  </si>
  <si>
    <t>Total Outflows</t>
  </si>
  <si>
    <t>Net Cash Flow (Inflows - Outflows)</t>
  </si>
  <si>
    <t>Net Monthly Cash Flow</t>
  </si>
  <si>
    <t>Running Cash Balance</t>
  </si>
  <si>
    <t>End of Month Cash Balance</t>
  </si>
  <si>
    <t>Cash Flow Visualization</t>
  </si>
  <si>
    <t>Cash Flow Management Tips for CDFI Borrowers</t>
  </si>
  <si>
    <t>1. Identify cash flow gaps early to arrange financing before it becomes an emergency</t>
  </si>
  <si>
    <t>2. Negotiate longer payment terms with suppliers and shorter terms with customers</t>
  </si>
  <si>
    <t>3. Consider offering early payment discounts to accelerate cash inflows</t>
  </si>
  <si>
    <t>4. Build a cash reserve of 3-6 months' operating expenses for unexpected events</t>
  </si>
  <si>
    <t>5. Update your cash flow forecast regularly as conditions change</t>
  </si>
  <si>
    <t>6. For seasonal businesses, secure lines of credit during strong cash flow periods</t>
  </si>
  <si>
    <t>Important Note: Cash Flow vs. Profit</t>
  </si>
  <si>
    <t>Remember that cash flow is different from profit. A business can be profitable on paper but still face cash shortages if:
    • Customers are slow to pay
    • Inventory ties up cash before it can be sold
    • Growth requires investment before generating returns
    • Loan payments exceed net profit
    CDFIs assess both profitability and cash flow when evaluating loan applications.</t>
  </si>
  <si>
    <t>CDFI Financing Comparison Tool</t>
  </si>
  <si>
    <t>1. Enter the details of each CDFI loan offer in the green cells
    2. The tool will calculate key metrics for each offer
    3. Compare the total cost, monthly payments, and other factors to make an informed decision
    4. Consider non-financial factors in the qualitative comparison section</t>
  </si>
  <si>
    <t>About Community Development Financial Institutions (CDFIs)</t>
  </si>
  <si>
    <t>CDFIs are specialized financial institutions that work in markets underserved by traditional financial institutions. They provide:
    • Responsible, affordable lending to help low-income, low-wealth, and disadvantaged people and communities
    • Financial products and services that may not be available from traditional lenders
    • Technical assistance and financial education to borrowers
    Different CDFIs may offer varying terms, rates, and support services, so it's important to compare options.</t>
  </si>
  <si>
    <t>Loan Offer Comparison</t>
  </si>
  <si>
    <t>Loan Features</t>
  </si>
  <si>
    <t>CDFI Option 1</t>
  </si>
  <si>
    <t>CDFI Option 2</t>
  </si>
  <si>
    <t>CDFI Option 3</t>
  </si>
  <si>
    <t>Best Option</t>
  </si>
  <si>
    <t>Basic Loan Information</t>
  </si>
  <si>
    <t>CDFI Name</t>
  </si>
  <si>
    <t>Origination Fee (%)</t>
  </si>
  <si>
    <t>Other Fees ($)</t>
  </si>
  <si>
    <t>Closing Costs ($)</t>
  </si>
  <si>
    <t>Additional Terms</t>
  </si>
  <si>
    <t>Collateral Required</t>
  </si>
  <si>
    <t>Down Payment Required (%)</t>
  </si>
  <si>
    <t>Minimum Credit Score</t>
  </si>
  <si>
    <t>Min. Debt Service Coverage Ratio</t>
  </si>
  <si>
    <t>Cost Analysis</t>
  </si>
  <si>
    <t>Total Fees and Costs ($)</t>
  </si>
  <si>
    <t>Total Cost of Borrowing ($)</t>
  </si>
  <si>
    <t>Annual Percentage Rate (APR) (%)</t>
  </si>
  <si>
    <t>Qualitative Comparison</t>
  </si>
  <si>
    <t>Consider these non-financial factors when comparing CDFI options:</t>
  </si>
  <si>
    <t>Factor</t>
  </si>
  <si>
    <t>Notes</t>
  </si>
  <si>
    <t>Technical Assistance Available</t>
  </si>
  <si>
    <t>Industry Expertise</t>
  </si>
  <si>
    <t>Flexibility of Terms</t>
  </si>
  <si>
    <t>Speed of Approval Process</t>
  </si>
  <si>
    <t>Additional Services Offered</t>
  </si>
  <si>
    <t>Reputation/Reviews</t>
  </si>
  <si>
    <t>Location/Accessibility</t>
  </si>
  <si>
    <t>Decision Support</t>
  </si>
  <si>
    <t>Before making your final decision, consider:
    • Total cost is important, but also consider the CDFI's mission alignment with your business
    • Technical assistance and ongoing support may be worth a slightly higher cost
    • Flexibility in repayment terms may be valuable during business downturns
    • Building a relationship with a CDFI can lead to future financing opportunities
    Your final decision should balance quantitative factors (cost, terms) with qualitative factors (support, flexibility, mission).</t>
  </si>
  <si>
    <t>Final Recommendation</t>
  </si>
  <si>
    <t>Based on my analysis, I recommend:</t>
  </si>
  <si>
    <t>Cost Comparison Chart</t>
  </si>
  <si>
    <t>Tips for Negotiating with CDFIs</t>
  </si>
  <si>
    <t>1. Ask about rate discounts for automatic payments or maintaining deposits with the CDFI</t>
  </si>
  <si>
    <t>2. Inquire about different term options to find the right balance between monthly payment and total cost</t>
  </si>
  <si>
    <t>3. Request fee waivers, especially if you're participating in their technical assistance programs</t>
  </si>
  <si>
    <t>4. Ask about special programs for your industry, location, or business type</t>
  </si>
  <si>
    <t>5. If you have multiple offers, respectfully let the CDFI know you're comparing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</si>
</sst>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
    <numFmt numFmtId="165" formatCode="mm/dd/yyyy"/>
    <numFmt numFmtId="166" formatCode="0.0%"/>
    <numFmt numFmtId="167" formatCode="0.0"/>
    <numFmt numFmtId="169" formatCode="_(&quot;$&quot;* #,##0_);_(&quot;$&quot;* \(#,##0\);_(&quot;$&quot;* &quot;-&quot;??_);_(@_)"/>
  </numFmts>
  <fonts count="12">
    <font>
      <sz val="11"/>
      <color theme="1"/>
      <name val="Calibri"/>
      <family val="2"/>
      <scheme val="minor"/>
    </font>
    <font>
      <b/>
      <sz val="18"/>
      <color rgb="FF00A776"/>
      <name val="Calibri"/>
    </font>
    <font>
      <i/>
      <sz val="14"/>
      <name val="Calibri"/>
    </font>
    <font>
      <sz val="12"/>
      <name val="Calibri"/>
    </font>
    <font>
      <b/>
      <sz val="14"/>
      <color rgb="FF00A776"/>
      <name val="Calibri"/>
    </font>
    <font>
      <b/>
      <sz val="12"/>
      <color rgb="FFF26522"/>
      <name val="Calibri"/>
    </font>
    <font>
      <b/>
      <sz val="16"/>
      <color rgb="FF00A776"/>
      <name val="Calibri"/>
    </font>
    <font>
      <i/>
      <sz val="12"/>
      <name val="Calibri"/>
    </font>
    <font>
      <i/>
      <sz val="10"/>
      <name val="Calibri"/>
    </font>
    <font>
      <b/>
      <sz val="12"/>
      <color rgb="FFFFFFFF"/>
      <name val="Calibri"/>
    </font>
    <font>
      <b/>
      <sz val="11"/>
      <name val="Calibri"/>
    </font>
    <font>
      <sz val="11"/>
      <color theme="1"/>
      <name val="Calibri"/>
      <family val="2"/>
      <scheme val="minor"/>
    </font>
  </fonts>
  <fills count="5">
    <fill>
      <patternFill patternType="none"/>
    </fill>
    <fill>
      <patternFill patternType="gray125"/>
    </fill>
    <fill>
      <patternFill patternType="solid">
        <fgColor rgb="FF00A776"/>
        <bgColor rgb="FF00A776"/>
      </patternFill>
    </fill>
    <fill>
      <patternFill patternType="solid">
        <fgColor rgb="FFE3F4F1"/>
        <bgColor rgb="FFE3F4F1"/>
      </patternFill>
    </fill>
    <fill>
      <patternFill patternType="solid">
        <fgColor rgb="FFFCE6DA"/>
        <bgColor rgb="FFFCE6DA"/>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11" fillId="0" borderId="0" applyFont="0" applyFill="0" applyBorder="0" applyAlignment="0" applyProtection="0"/>
  </cellStyleXfs>
  <cellXfs count="3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0" fontId="5" fillId="0" borderId="0" xfId="0" applyFont="1"/>
    <xf numFmtId="0" fontId="6" fillId="0" borderId="0" xfId="0" applyFont="1"/>
    <xf numFmtId="0" fontId="7" fillId="0" borderId="0" xfId="0" applyFont="1"/>
    <xf numFmtId="0" fontId="8" fillId="0" borderId="0" xfId="0" applyFont="1"/>
    <xf numFmtId="0" fontId="9" fillId="2" borderId="1" xfId="0" applyFont="1" applyFill="1" applyBorder="1" applyAlignment="1">
      <alignment horizontal="center" vertical="center" wrapText="1"/>
    </xf>
    <xf numFmtId="0" fontId="10" fillId="3" borderId="0" xfId="0" applyFont="1" applyFill="1"/>
    <xf numFmtId="0" fontId="0" fillId="3" borderId="0" xfId="0" applyFill="1" applyAlignment="1">
      <alignment wrapText="1"/>
    </xf>
    <xf numFmtId="0" fontId="10" fillId="0" borderId="0" xfId="0" applyFont="1"/>
    <xf numFmtId="0" fontId="0" fillId="3" borderId="1" xfId="0" applyFill="1" applyBorder="1" applyAlignment="1" applyProtection="1">
      <alignment horizontal="center" vertical="center"/>
      <protection locked="0"/>
    </xf>
    <xf numFmtId="164" fontId="0" fillId="4" borderId="1" xfId="0" applyNumberFormat="1" applyFill="1" applyBorder="1" applyAlignment="1">
      <alignment horizontal="center" vertical="center"/>
    </xf>
    <xf numFmtId="165" fontId="0" fillId="4" borderId="1" xfId="0" applyNumberFormat="1" applyFill="1" applyBorder="1" applyAlignment="1">
      <alignment horizontal="center" vertical="center"/>
    </xf>
    <xf numFmtId="0" fontId="0" fillId="0" borderId="1" xfId="0" applyBorder="1"/>
    <xf numFmtId="1" fontId="0" fillId="0" borderId="1" xfId="0" applyNumberFormat="1" applyBorder="1"/>
    <xf numFmtId="165" fontId="0" fillId="0" borderId="1" xfId="0" applyNumberFormat="1" applyBorder="1"/>
    <xf numFmtId="164" fontId="0" fillId="0" borderId="1" xfId="0" applyNumberFormat="1" applyBorder="1"/>
    <xf numFmtId="164" fontId="0" fillId="4" borderId="1" xfId="0" applyNumberFormat="1" applyFill="1" applyBorder="1"/>
    <xf numFmtId="164" fontId="0" fillId="0" borderId="0" xfId="0" applyNumberFormat="1"/>
    <xf numFmtId="0" fontId="0" fillId="4" borderId="1" xfId="0" applyFill="1" applyBorder="1" applyAlignment="1">
      <alignment horizontal="center" vertical="center"/>
    </xf>
    <xf numFmtId="166" fontId="0" fillId="4" borderId="1" xfId="0" applyNumberFormat="1" applyFill="1" applyBorder="1" applyAlignment="1">
      <alignment horizontal="center" vertical="center"/>
    </xf>
    <xf numFmtId="164" fontId="0" fillId="3" borderId="1" xfId="0" applyNumberFormat="1" applyFill="1" applyBorder="1" applyAlignment="1" applyProtection="1">
      <alignment horizontal="center" vertical="center"/>
      <protection locked="0"/>
    </xf>
    <xf numFmtId="167" fontId="0" fillId="3" borderId="1" xfId="0" applyNumberFormat="1" applyFill="1" applyBorder="1" applyAlignment="1" applyProtection="1">
      <alignment horizontal="center" vertical="center"/>
      <protection locked="0"/>
    </xf>
    <xf numFmtId="10" fontId="0" fillId="3" borderId="1" xfId="0" applyNumberFormat="1" applyFill="1" applyBorder="1" applyAlignment="1" applyProtection="1">
      <alignment horizontal="center" vertical="center"/>
      <protection locked="0"/>
    </xf>
    <xf numFmtId="10" fontId="0" fillId="4" borderId="1" xfId="0" applyNumberFormat="1" applyFill="1" applyBorder="1" applyAlignment="1">
      <alignment horizontal="center" vertical="center"/>
    </xf>
    <xf numFmtId="0" fontId="0" fillId="3" borderId="1" xfId="0" applyFill="1" applyBorder="1" applyAlignment="1" applyProtection="1">
      <alignment wrapText="1"/>
      <protection locked="0"/>
    </xf>
    <xf numFmtId="14" fontId="0" fillId="3" borderId="1" xfId="0" applyNumberFormat="1" applyFill="1" applyBorder="1" applyAlignment="1" applyProtection="1">
      <alignment horizontal="center" vertical="center"/>
      <protection locked="0"/>
    </xf>
    <xf numFmtId="169" fontId="0" fillId="0" borderId="1" xfId="1" applyNumberFormat="1" applyFont="1" applyBorder="1"/>
    <xf numFmtId="169" fontId="0" fillId="4" borderId="1" xfId="1" applyNumberFormat="1" applyFont="1" applyFill="1" applyBorder="1"/>
    <xf numFmtId="44" fontId="0" fillId="3" borderId="1" xfId="1" applyFont="1" applyFill="1" applyBorder="1" applyAlignment="1" applyProtection="1">
      <alignment horizontal="center" vertical="center"/>
      <protection locked="0"/>
    </xf>
    <xf numFmtId="169" fontId="0" fillId="4" borderId="1" xfId="1" applyNumberFormat="1" applyFont="1" applyFill="1" applyBorder="1" applyAlignment="1">
      <alignment horizontal="center" vertical="center"/>
    </xf>
    <xf numFmtId="169" fontId="0" fillId="3" borderId="1" xfId="1" applyNumberFormat="1" applyFont="1" applyFill="1" applyBorder="1" applyAlignment="1" applyProtection="1">
      <alignment horizontal="center" vertical="center"/>
      <protection locked="0"/>
    </xf>
  </cellXfs>
  <cellStyles count="2">
    <cellStyle name="Currency" xfId="1" builtinId="4"/>
    <cellStyle name="Normal" xfId="0" builtinId="0"/>
  </cellStyles>
  <dxfs count="27">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
      <fill>
        <patternFill patternType="solid">
          <fgColor rgb="FFFFCCCC"/>
          <bgColor rgb="FFFFCCC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3"/>
  <c:chart>
    <c:title>
      <c:tx>
        <c:rich>
          <a:bodyPr/>
          <a:lstStyle/>
          <a:p>
            <a:pPr>
              <a:defRPr/>
            </a:pPr>
            <a:r>
              <a:t>Principal vs. Interest Over Loan Term</a:t>
            </a:r>
          </a:p>
        </c:rich>
      </c:tx>
      <c:overlay val="1"/>
    </c:title>
    <c:autoTitleDeleted val="0"/>
    <c:plotArea>
      <c:layout/>
      <c:lineChart>
        <c:grouping val="standard"/>
        <c:varyColors val="1"/>
        <c:ser>
          <c:idx val="0"/>
          <c:order val="0"/>
          <c:tx>
            <c:strRef>
              <c:f>'Loan Amortization'!$E$19</c:f>
              <c:strCache>
                <c:ptCount val="1"/>
                <c:pt idx="0">
                  <c:v>Principal</c:v>
                </c:pt>
              </c:strCache>
            </c:strRef>
          </c:tx>
          <c:spPr>
            <a:ln>
              <a:prstDash val="solid"/>
            </a:ln>
          </c:spPr>
          <c:marker>
            <c:symbol val="none"/>
          </c:marker>
          <c:cat>
            <c:strRef>
              <c:f>'Loan Amortization'!$B$19:$B$79</c:f>
              <c:strCache>
                <c:ptCount val="61"/>
                <c:pt idx="0">
                  <c:v>Payment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strCache>
            </c:strRef>
          </c:cat>
          <c:val>
            <c:numRef>
              <c:f>'Loan Amortization'!$E$20:$E$79</c:f>
              <c:numCache>
                <c:formatCode>_("$"* #,##0_);_("$"* \(#,##0\);_("$"* "-"??_);_(@_)</c:formatCode>
                <c:ptCount val="60"/>
                <c:pt idx="0">
                  <c:v>-2368.4495505115574</c:v>
                </c:pt>
                <c:pt idx="1">
                  <c:v>-2379.3049442847355</c:v>
                </c:pt>
                <c:pt idx="2">
                  <c:v>-2390.2100919460404</c:v>
                </c:pt>
                <c:pt idx="3">
                  <c:v>-2401.1652215341264</c:v>
                </c:pt>
                <c:pt idx="4">
                  <c:v>-2412.1705621328247</c:v>
                </c:pt>
                <c:pt idx="5">
                  <c:v>-2423.2263438759333</c:v>
                </c:pt>
                <c:pt idx="6">
                  <c:v>-2434.3327979520313</c:v>
                </c:pt>
                <c:pt idx="7">
                  <c:v>-2445.4901566093117</c:v>
                </c:pt>
                <c:pt idx="8">
                  <c:v>-2456.6986531604375</c:v>
                </c:pt>
                <c:pt idx="9">
                  <c:v>-2467.958521987423</c:v>
                </c:pt>
                <c:pt idx="10">
                  <c:v>-2479.269998546532</c:v>
                </c:pt>
                <c:pt idx="11">
                  <c:v>-2490.6333193732034</c:v>
                </c:pt>
                <c:pt idx="12">
                  <c:v>-2502.0487220869973</c:v>
                </c:pt>
                <c:pt idx="13">
                  <c:v>-2513.5164453965626</c:v>
                </c:pt>
                <c:pt idx="14">
                  <c:v>-2525.0367291046305</c:v>
                </c:pt>
                <c:pt idx="15">
                  <c:v>-2536.6098141130265</c:v>
                </c:pt>
                <c:pt idx="16">
                  <c:v>-2548.2359424277115</c:v>
                </c:pt>
                <c:pt idx="17">
                  <c:v>-2559.9153571638385</c:v>
                </c:pt>
                <c:pt idx="18">
                  <c:v>-2571.6483025508392</c:v>
                </c:pt>
                <c:pt idx="19">
                  <c:v>-2583.4350239375308</c:v>
                </c:pt>
                <c:pt idx="20">
                  <c:v>-2595.275767797244</c:v>
                </c:pt>
                <c:pt idx="21">
                  <c:v>-2607.1707817329816</c:v>
                </c:pt>
                <c:pt idx="22">
                  <c:v>-2619.1203144825913</c:v>
                </c:pt>
                <c:pt idx="23">
                  <c:v>-2631.1246159239699</c:v>
                </c:pt>
                <c:pt idx="24">
                  <c:v>-2643.1839370802882</c:v>
                </c:pt>
                <c:pt idx="25">
                  <c:v>-2655.2985301252393</c:v>
                </c:pt>
                <c:pt idx="26">
                  <c:v>-2667.4686483883133</c:v>
                </c:pt>
                <c:pt idx="27">
                  <c:v>-2679.6945463600932</c:v>
                </c:pt>
                <c:pt idx="28">
                  <c:v>-2691.9764796975769</c:v>
                </c:pt>
                <c:pt idx="29">
                  <c:v>-2704.314705229524</c:v>
                </c:pt>
                <c:pt idx="30">
                  <c:v>-2716.7094809618256</c:v>
                </c:pt>
                <c:pt idx="31">
                  <c:v>-2729.161066082901</c:v>
                </c:pt>
                <c:pt idx="32">
                  <c:v>-2741.6697209691138</c:v>
                </c:pt>
                <c:pt idx="33">
                  <c:v>-2754.2357071902225</c:v>
                </c:pt>
                <c:pt idx="34">
                  <c:v>-2766.8592875148443</c:v>
                </c:pt>
                <c:pt idx="35">
                  <c:v>-2779.5407259159538</c:v>
                </c:pt>
                <c:pt idx="36">
                  <c:v>-2792.2802875764019</c:v>
                </c:pt>
                <c:pt idx="37">
                  <c:v>-2805.0782388944608</c:v>
                </c:pt>
                <c:pt idx="38">
                  <c:v>-2817.9348474893936</c:v>
                </c:pt>
                <c:pt idx="39">
                  <c:v>-2830.8503822070534</c:v>
                </c:pt>
                <c:pt idx="40">
                  <c:v>-2843.8251131255024</c:v>
                </c:pt>
                <c:pt idx="41">
                  <c:v>-2856.8593115606609</c:v>
                </c:pt>
                <c:pt idx="42">
                  <c:v>-2869.9532500719806</c:v>
                </c:pt>
                <c:pt idx="43">
                  <c:v>-2883.1072024681439</c:v>
                </c:pt>
                <c:pt idx="44">
                  <c:v>-2896.3214438127898</c:v>
                </c:pt>
                <c:pt idx="45">
                  <c:v>-2909.5962504302647</c:v>
                </c:pt>
                <c:pt idx="46">
                  <c:v>-2922.9318999114034</c:v>
                </c:pt>
                <c:pt idx="47">
                  <c:v>-2936.3286711193305</c:v>
                </c:pt>
                <c:pt idx="48">
                  <c:v>-2949.7868441952942</c:v>
                </c:pt>
                <c:pt idx="49">
                  <c:v>-2963.3067005645225</c:v>
                </c:pt>
                <c:pt idx="50">
                  <c:v>-2976.8885229421103</c:v>
                </c:pt>
                <c:pt idx="51">
                  <c:v>-2990.5325953389283</c:v>
                </c:pt>
                <c:pt idx="52">
                  <c:v>-3004.2392030675651</c:v>
                </c:pt>
                <c:pt idx="53">
                  <c:v>-3018.0086327482913</c:v>
                </c:pt>
                <c:pt idx="54">
                  <c:v>-3031.8411723150543</c:v>
                </c:pt>
                <c:pt idx="55">
                  <c:v>-3045.7371110214981</c:v>
                </c:pt>
                <c:pt idx="56">
                  <c:v>-3059.6967394470134</c:v>
                </c:pt>
                <c:pt idx="57">
                  <c:v>-3073.7203495028125</c:v>
                </c:pt>
                <c:pt idx="58">
                  <c:v>-3087.8082344380337</c:v>
                </c:pt>
                <c:pt idx="59">
                  <c:v>-3101.9606888458748</c:v>
                </c:pt>
              </c:numCache>
            </c:numRef>
          </c:val>
          <c:smooth val="1"/>
          <c:extLst>
            <c:ext xmlns:c16="http://schemas.microsoft.com/office/drawing/2014/chart" uri="{C3380CC4-5D6E-409C-BE32-E72D297353CC}">
              <c16:uniqueId val="{00000000-3F00-0C4A-937C-29E47E9DE508}"/>
            </c:ext>
          </c:extLst>
        </c:ser>
        <c:ser>
          <c:idx val="1"/>
          <c:order val="1"/>
          <c:tx>
            <c:strRef>
              <c:f>'Loan Amortization'!$F$19</c:f>
              <c:strCache>
                <c:ptCount val="1"/>
                <c:pt idx="0">
                  <c:v>Interest</c:v>
                </c:pt>
              </c:strCache>
            </c:strRef>
          </c:tx>
          <c:spPr>
            <a:ln>
              <a:prstDash val="solid"/>
            </a:ln>
          </c:spPr>
          <c:marker>
            <c:symbol val="none"/>
          </c:marker>
          <c:cat>
            <c:strRef>
              <c:f>'Loan Amortization'!$B$19:$B$79</c:f>
              <c:strCache>
                <c:ptCount val="61"/>
                <c:pt idx="0">
                  <c:v>Payment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strCache>
            </c:strRef>
          </c:cat>
          <c:val>
            <c:numRef>
              <c:f>'Loan Amortization'!$F$20:$F$79</c:f>
              <c:numCache>
                <c:formatCode>_("$"* #,##0_);_("$"* \(#,##0\);_("$"* "-"??_);_(@_)</c:formatCode>
                <c:ptCount val="60"/>
                <c:pt idx="0">
                  <c:v>458.33333333333331</c:v>
                </c:pt>
                <c:pt idx="1">
                  <c:v>469.18872710651135</c:v>
                </c:pt>
                <c:pt idx="2">
                  <c:v>480.09387476781643</c:v>
                </c:pt>
                <c:pt idx="3">
                  <c:v>491.04900435590235</c:v>
                </c:pt>
                <c:pt idx="4">
                  <c:v>502.05434495460048</c:v>
                </c:pt>
                <c:pt idx="5">
                  <c:v>513.11012669770923</c:v>
                </c:pt>
                <c:pt idx="6">
                  <c:v>524.21658077380732</c:v>
                </c:pt>
                <c:pt idx="7">
                  <c:v>535.37393943108748</c:v>
                </c:pt>
                <c:pt idx="8">
                  <c:v>546.5824359822135</c:v>
                </c:pt>
                <c:pt idx="9">
                  <c:v>557.84230480919882</c:v>
                </c:pt>
                <c:pt idx="10">
                  <c:v>569.15378136830793</c:v>
                </c:pt>
                <c:pt idx="11">
                  <c:v>580.51710219497943</c:v>
                </c:pt>
                <c:pt idx="12">
                  <c:v>591.93250490877324</c:v>
                </c:pt>
                <c:pt idx="13">
                  <c:v>603.40022821833861</c:v>
                </c:pt>
                <c:pt idx="14">
                  <c:v>614.92051192640622</c:v>
                </c:pt>
                <c:pt idx="15">
                  <c:v>626.49359693480244</c:v>
                </c:pt>
                <c:pt idx="16">
                  <c:v>638.11972524948726</c:v>
                </c:pt>
                <c:pt idx="17">
                  <c:v>649.79913998561426</c:v>
                </c:pt>
                <c:pt idx="18">
                  <c:v>661.53208537261514</c:v>
                </c:pt>
                <c:pt idx="19">
                  <c:v>673.31880675930654</c:v>
                </c:pt>
                <c:pt idx="20">
                  <c:v>685.15955061902014</c:v>
                </c:pt>
                <c:pt idx="21">
                  <c:v>697.05456455475758</c:v>
                </c:pt>
                <c:pt idx="22">
                  <c:v>709.00409730436695</c:v>
                </c:pt>
                <c:pt idx="23">
                  <c:v>721.00839874574558</c:v>
                </c:pt>
                <c:pt idx="24">
                  <c:v>733.0677199020638</c:v>
                </c:pt>
                <c:pt idx="25">
                  <c:v>745.18231294701502</c:v>
                </c:pt>
                <c:pt idx="26">
                  <c:v>757.35243121008909</c:v>
                </c:pt>
                <c:pt idx="27">
                  <c:v>769.57832918186887</c:v>
                </c:pt>
                <c:pt idx="28">
                  <c:v>781.86026251935255</c:v>
                </c:pt>
                <c:pt idx="29">
                  <c:v>794.19848805129971</c:v>
                </c:pt>
                <c:pt idx="30">
                  <c:v>806.59326378360174</c:v>
                </c:pt>
                <c:pt idx="31">
                  <c:v>819.04484890467666</c:v>
                </c:pt>
                <c:pt idx="32">
                  <c:v>831.55350379088986</c:v>
                </c:pt>
                <c:pt idx="33">
                  <c:v>844.11949001199821</c:v>
                </c:pt>
                <c:pt idx="34">
                  <c:v>856.74307033662001</c:v>
                </c:pt>
                <c:pt idx="35">
                  <c:v>869.42450873772987</c:v>
                </c:pt>
                <c:pt idx="36">
                  <c:v>882.16407039817796</c:v>
                </c:pt>
                <c:pt idx="37">
                  <c:v>894.96202171623645</c:v>
                </c:pt>
                <c:pt idx="38">
                  <c:v>907.81863031116939</c:v>
                </c:pt>
                <c:pt idx="39">
                  <c:v>920.73416502882912</c:v>
                </c:pt>
                <c:pt idx="40">
                  <c:v>933.70889594727817</c:v>
                </c:pt>
                <c:pt idx="41">
                  <c:v>946.74309438243665</c:v>
                </c:pt>
                <c:pt idx="42">
                  <c:v>959.83703289375637</c:v>
                </c:pt>
                <c:pt idx="43">
                  <c:v>972.99098528991965</c:v>
                </c:pt>
                <c:pt idx="44">
                  <c:v>986.20522663456541</c:v>
                </c:pt>
                <c:pt idx="45">
                  <c:v>999.4800332520407</c:v>
                </c:pt>
                <c:pt idx="46">
                  <c:v>1012.8156827331794</c:v>
                </c:pt>
                <c:pt idx="47">
                  <c:v>1026.2124539411066</c:v>
                </c:pt>
                <c:pt idx="48">
                  <c:v>1039.67062701707</c:v>
                </c:pt>
                <c:pt idx="49">
                  <c:v>1053.1904833862986</c:v>
                </c:pt>
                <c:pt idx="50">
                  <c:v>1066.7723057638859</c:v>
                </c:pt>
                <c:pt idx="51">
                  <c:v>1080.416378160704</c:v>
                </c:pt>
                <c:pt idx="52">
                  <c:v>1094.122985889341</c:v>
                </c:pt>
                <c:pt idx="53">
                  <c:v>1107.8924155700672</c:v>
                </c:pt>
                <c:pt idx="54">
                  <c:v>1121.7249551368302</c:v>
                </c:pt>
                <c:pt idx="55">
                  <c:v>1135.6208938432742</c:v>
                </c:pt>
                <c:pt idx="56">
                  <c:v>1149.5805222687893</c:v>
                </c:pt>
                <c:pt idx="57">
                  <c:v>1163.6041323245884</c:v>
                </c:pt>
                <c:pt idx="58">
                  <c:v>1177.6920172598095</c:v>
                </c:pt>
                <c:pt idx="59">
                  <c:v>1191.8444716676504</c:v>
                </c:pt>
              </c:numCache>
            </c:numRef>
          </c:val>
          <c:smooth val="1"/>
          <c:extLst>
            <c:ext xmlns:c16="http://schemas.microsoft.com/office/drawing/2014/chart" uri="{C3380CC4-5D6E-409C-BE32-E72D297353CC}">
              <c16:uniqueId val="{00000001-3F00-0C4A-937C-29E47E9DE508}"/>
            </c:ext>
          </c:extLst>
        </c:ser>
        <c:dLbls>
          <c:showLegendKey val="0"/>
          <c:showVal val="0"/>
          <c:showCatName val="0"/>
          <c:showSerName val="0"/>
          <c:showPercent val="0"/>
          <c:showBubbleSize val="0"/>
        </c:dLbls>
        <c:smooth val="0"/>
        <c:axId val="10"/>
        <c:axId val="100"/>
      </c:lineChart>
      <c:catAx>
        <c:axId val="10"/>
        <c:scaling>
          <c:orientation val="minMax"/>
        </c:scaling>
        <c:delete val="1"/>
        <c:axPos val="b"/>
        <c:title>
          <c:tx>
            <c:rich>
              <a:bodyPr/>
              <a:lstStyle/>
              <a:p>
                <a:pPr>
                  <a:defRPr/>
                </a:pPr>
                <a:r>
                  <a:t>Payment Number</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t>Amount ($)</a:t>
                </a:r>
              </a:p>
            </c:rich>
          </c:tx>
          <c:overlay val="1"/>
        </c:title>
        <c:numFmt formatCode="_(&quot;$&quot;* #,##0_);_(&quot;$&quot;* \(#,##0\);_(&quot;$&quot;* &quot;-&quot;??_);_(@_)"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0"/>
  <c:chart>
    <c:title>
      <c:tx>
        <c:rich>
          <a:bodyPr/>
          <a:lstStyle/>
          <a:p>
            <a:pPr>
              <a:defRPr/>
            </a:pPr>
            <a:r>
              <a:rPr lang="en-US"/>
              <a:t>Maximum Loan Amount by Scenario</a:t>
            </a:r>
          </a:p>
        </c:rich>
      </c:tx>
      <c:overlay val="1"/>
    </c:title>
    <c:autoTitleDeleted val="0"/>
    <c:plotArea>
      <c:layout/>
      <c:barChart>
        <c:barDir val="col"/>
        <c:grouping val="clustered"/>
        <c:varyColors val="1"/>
        <c:ser>
          <c:idx val="0"/>
          <c:order val="0"/>
          <c:tx>
            <c:strRef>
              <c:f>'Loan Affordability'!$F$11</c:f>
              <c:strCache>
                <c:ptCount val="1"/>
                <c:pt idx="0">
                  <c:v>Current</c:v>
                </c:pt>
              </c:strCache>
            </c:strRef>
          </c:tx>
          <c:spPr>
            <a:ln>
              <a:prstDash val="solid"/>
            </a:ln>
          </c:spPr>
          <c:invertIfNegative val="1"/>
          <c:cat>
            <c:strRef>
              <c:f>'Loan Affordability'!$E$12:$E$15</c:f>
              <c:strCache>
                <c:ptCount val="4"/>
                <c:pt idx="0">
                  <c:v>Monthly Revenue ($)</c:v>
                </c:pt>
                <c:pt idx="1">
                  <c:v>Monthly Expenses ($)</c:v>
                </c:pt>
                <c:pt idx="2">
                  <c:v>Net Operating Income ($)</c:v>
                </c:pt>
                <c:pt idx="3">
                  <c:v>Maximum Loan Amount ($)</c:v>
                </c:pt>
              </c:strCache>
            </c:strRef>
          </c:cat>
          <c:val>
            <c:numRef>
              <c:f>'Loan Affordability'!$F$12:$F$15</c:f>
              <c:numCache>
                <c:formatCode>\$#,##0.00</c:formatCode>
                <c:ptCount val="4"/>
                <c:pt idx="0">
                  <c:v>20000</c:v>
                </c:pt>
                <c:pt idx="1">
                  <c:v>15000</c:v>
                </c:pt>
                <c:pt idx="2">
                  <c:v>5000</c:v>
                </c:pt>
                <c:pt idx="3">
                  <c:v>202027.8685787759</c:v>
                </c:pt>
              </c:numCache>
            </c:numRef>
          </c:val>
          <c:extLst>
            <c:ext xmlns:c16="http://schemas.microsoft.com/office/drawing/2014/chart" uri="{C3380CC4-5D6E-409C-BE32-E72D297353CC}">
              <c16:uniqueId val="{00000000-92AC-4B44-B19B-794C33214BCD}"/>
            </c:ext>
          </c:extLst>
        </c:ser>
        <c:ser>
          <c:idx val="1"/>
          <c:order val="1"/>
          <c:tx>
            <c:strRef>
              <c:f>'Loan Affordability'!$G$11</c:f>
              <c:strCache>
                <c:ptCount val="1"/>
                <c:pt idx="0">
                  <c:v>Revenue +10%</c:v>
                </c:pt>
              </c:strCache>
            </c:strRef>
          </c:tx>
          <c:spPr>
            <a:ln>
              <a:prstDash val="solid"/>
            </a:ln>
          </c:spPr>
          <c:invertIfNegative val="1"/>
          <c:cat>
            <c:strRef>
              <c:f>'Loan Affordability'!$E$12:$E$15</c:f>
              <c:strCache>
                <c:ptCount val="4"/>
                <c:pt idx="0">
                  <c:v>Monthly Revenue ($)</c:v>
                </c:pt>
                <c:pt idx="1">
                  <c:v>Monthly Expenses ($)</c:v>
                </c:pt>
                <c:pt idx="2">
                  <c:v>Net Operating Income ($)</c:v>
                </c:pt>
                <c:pt idx="3">
                  <c:v>Maximum Loan Amount ($)</c:v>
                </c:pt>
              </c:strCache>
            </c:strRef>
          </c:cat>
          <c:val>
            <c:numRef>
              <c:f>'Loan Affordability'!$G$12:$G$15</c:f>
              <c:numCache>
                <c:formatCode>\$#,##0.00</c:formatCode>
                <c:ptCount val="4"/>
                <c:pt idx="0">
                  <c:v>22000</c:v>
                </c:pt>
                <c:pt idx="1">
                  <c:v>15000</c:v>
                </c:pt>
                <c:pt idx="2">
                  <c:v>7000</c:v>
                </c:pt>
                <c:pt idx="3">
                  <c:v>309776.06515412306</c:v>
                </c:pt>
              </c:numCache>
            </c:numRef>
          </c:val>
          <c:extLst>
            <c:ext xmlns:c16="http://schemas.microsoft.com/office/drawing/2014/chart" uri="{C3380CC4-5D6E-409C-BE32-E72D297353CC}">
              <c16:uniqueId val="{00000001-92AC-4B44-B19B-794C33214BCD}"/>
            </c:ext>
          </c:extLst>
        </c:ser>
        <c:ser>
          <c:idx val="2"/>
          <c:order val="2"/>
          <c:tx>
            <c:strRef>
              <c:f>'Loan Affordability'!$H$11</c:f>
              <c:strCache>
                <c:ptCount val="1"/>
                <c:pt idx="0">
                  <c:v>Expenses -10%</c:v>
                </c:pt>
              </c:strCache>
            </c:strRef>
          </c:tx>
          <c:spPr>
            <a:ln>
              <a:prstDash val="solid"/>
            </a:ln>
          </c:spPr>
          <c:invertIfNegative val="1"/>
          <c:cat>
            <c:strRef>
              <c:f>'Loan Affordability'!$E$12:$E$15</c:f>
              <c:strCache>
                <c:ptCount val="4"/>
                <c:pt idx="0">
                  <c:v>Monthly Revenue ($)</c:v>
                </c:pt>
                <c:pt idx="1">
                  <c:v>Monthly Expenses ($)</c:v>
                </c:pt>
                <c:pt idx="2">
                  <c:v>Net Operating Income ($)</c:v>
                </c:pt>
                <c:pt idx="3">
                  <c:v>Maximum Loan Amount ($)</c:v>
                </c:pt>
              </c:strCache>
            </c:strRef>
          </c:cat>
          <c:val>
            <c:numRef>
              <c:f>'Loan Affordability'!$H$12:$H$15</c:f>
              <c:numCache>
                <c:formatCode>\$#,##0.00</c:formatCode>
                <c:ptCount val="4"/>
                <c:pt idx="0">
                  <c:v>20000</c:v>
                </c:pt>
                <c:pt idx="1">
                  <c:v>13500</c:v>
                </c:pt>
                <c:pt idx="2">
                  <c:v>6500</c:v>
                </c:pt>
                <c:pt idx="3">
                  <c:v>282839.01601028623</c:v>
                </c:pt>
              </c:numCache>
            </c:numRef>
          </c:val>
          <c:extLst>
            <c:ext xmlns:c16="http://schemas.microsoft.com/office/drawing/2014/chart" uri="{C3380CC4-5D6E-409C-BE32-E72D297353CC}">
              <c16:uniqueId val="{00000002-92AC-4B44-B19B-794C33214BCD}"/>
            </c:ext>
          </c:extLst>
        </c:ser>
        <c:ser>
          <c:idx val="3"/>
          <c:order val="3"/>
          <c:tx>
            <c:strRef>
              <c:f>'Loan Affordability'!$I$11</c:f>
              <c:strCache>
                <c:ptCount val="1"/>
                <c:pt idx="0">
                  <c:v>Longer Term</c:v>
                </c:pt>
              </c:strCache>
            </c:strRef>
          </c:tx>
          <c:spPr>
            <a:ln>
              <a:prstDash val="solid"/>
            </a:ln>
          </c:spPr>
          <c:invertIfNegative val="1"/>
          <c:cat>
            <c:strRef>
              <c:f>'Loan Affordability'!$E$12:$E$15</c:f>
              <c:strCache>
                <c:ptCount val="4"/>
                <c:pt idx="0">
                  <c:v>Monthly Revenue ($)</c:v>
                </c:pt>
                <c:pt idx="1">
                  <c:v>Monthly Expenses ($)</c:v>
                </c:pt>
                <c:pt idx="2">
                  <c:v>Net Operating Income ($)</c:v>
                </c:pt>
                <c:pt idx="3">
                  <c:v>Maximum Loan Amount ($)</c:v>
                </c:pt>
              </c:strCache>
            </c:strRef>
          </c:cat>
          <c:val>
            <c:numRef>
              <c:f>'Loan Affordability'!$I$12:$I$15</c:f>
              <c:numCache>
                <c:formatCode>\$#,##0.00</c:formatCode>
                <c:ptCount val="4"/>
                <c:pt idx="0">
                  <c:v>20000</c:v>
                </c:pt>
                <c:pt idx="1">
                  <c:v>15000</c:v>
                </c:pt>
                <c:pt idx="2">
                  <c:v>5000</c:v>
                </c:pt>
                <c:pt idx="3">
                  <c:v>264205.49915977527</c:v>
                </c:pt>
              </c:numCache>
            </c:numRef>
          </c:val>
          <c:extLst>
            <c:ext xmlns:c16="http://schemas.microsoft.com/office/drawing/2014/chart" uri="{C3380CC4-5D6E-409C-BE32-E72D297353CC}">
              <c16:uniqueId val="{00000003-92AC-4B44-B19B-794C33214BCD}"/>
            </c:ext>
          </c:extLst>
        </c:ser>
        <c:dLbls>
          <c:showLegendKey val="0"/>
          <c:showVal val="0"/>
          <c:showCatName val="0"/>
          <c:showSerName val="0"/>
          <c:showPercent val="0"/>
          <c:showBubbleSize val="0"/>
        </c:dLbls>
        <c:gapWidth val="150"/>
        <c:axId val="10"/>
        <c:axId val="100"/>
      </c:barChart>
      <c:catAx>
        <c:axId val="10"/>
        <c:scaling>
          <c:orientation val="minMax"/>
        </c:scaling>
        <c:delete val="1"/>
        <c:axPos val="b"/>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rPr lang="en-US"/>
                  <a:t>Loan Amount ($)</a:t>
                </a:r>
              </a:p>
            </c:rich>
          </c:tx>
          <c:overlay val="1"/>
        </c:title>
        <c:numFmt formatCode="\$#,##0.00"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0"/>
  <c:chart>
    <c:title>
      <c:tx>
        <c:rich>
          <a:bodyPr/>
          <a:lstStyle/>
          <a:p>
            <a:pPr>
              <a:defRPr/>
            </a:pPr>
            <a:r>
              <a:rPr lang="en-US"/>
              <a:t>Income vs Expenses</a:t>
            </a:r>
          </a:p>
        </c:rich>
      </c:tx>
      <c:overlay val="1"/>
    </c:title>
    <c:autoTitleDeleted val="0"/>
    <c:plotArea>
      <c:layout/>
      <c:barChart>
        <c:barDir val="col"/>
        <c:grouping val="clustered"/>
        <c:varyColors val="1"/>
        <c:ser>
          <c:idx val="0"/>
          <c:order val="0"/>
          <c:tx>
            <c:strRef>
              <c:f>'Business Budget'!$D$22</c:f>
              <c:strCache>
                <c:ptCount val="1"/>
              </c:strCache>
            </c:strRef>
          </c:tx>
          <c:spPr>
            <a:ln>
              <a:prstDash val="solid"/>
            </a:ln>
          </c:spPr>
          <c:invertIfNegative val="1"/>
          <c:cat>
            <c:strRef>
              <c:f>'Business Budget'!$B$23:$B$44</c:f>
              <c:strCache>
                <c:ptCount val="22"/>
                <c:pt idx="0">
                  <c:v>Total Income</c:v>
                </c:pt>
                <c:pt idx="2">
                  <c:v>Expenses</c:v>
                </c:pt>
                <c:pt idx="3">
                  <c:v>Category</c:v>
                </c:pt>
                <c:pt idx="4">
                  <c:v>Rent/Mortgage</c:v>
                </c:pt>
                <c:pt idx="5">
                  <c:v>Utilities</c:v>
                </c:pt>
                <c:pt idx="6">
                  <c:v>Insurance</c:v>
                </c:pt>
                <c:pt idx="7">
                  <c:v>Payroll</c:v>
                </c:pt>
                <c:pt idx="8">
                  <c:v>Taxes</c:v>
                </c:pt>
                <c:pt idx="9">
                  <c:v>Office Supplies</c:v>
                </c:pt>
                <c:pt idx="10">
                  <c:v>Marketing/Advertising</c:v>
                </c:pt>
                <c:pt idx="11">
                  <c:v>Professional Services</c:v>
                </c:pt>
                <c:pt idx="12">
                  <c:v>Loan Repayments</c:v>
                </c:pt>
                <c:pt idx="13">
                  <c:v>Software/Subscriptions</c:v>
                </c:pt>
                <c:pt idx="14">
                  <c:v>Travel</c:v>
                </c:pt>
                <c:pt idx="15">
                  <c:v>Meals/Entertainment</c:v>
                </c:pt>
                <c:pt idx="16">
                  <c:v>Vehicle Expenses</c:v>
                </c:pt>
                <c:pt idx="17">
                  <c:v>Equipment Purchases</c:v>
                </c:pt>
                <c:pt idx="18">
                  <c:v>Licenses/Permits</c:v>
                </c:pt>
                <c:pt idx="19">
                  <c:v>Training/Education</c:v>
                </c:pt>
                <c:pt idx="20">
                  <c:v>Miscellaneous</c:v>
                </c:pt>
                <c:pt idx="21">
                  <c:v>Total Expenses</c:v>
                </c:pt>
              </c:strCache>
            </c:strRef>
          </c:cat>
          <c:val>
            <c:numRef>
              <c:f>'Business Budget'!$D$23:$D$44</c:f>
              <c:numCache>
                <c:formatCode>General</c:formatCode>
                <c:ptCount val="22"/>
                <c:pt idx="0">
                  <c:v>0</c:v>
                </c:pt>
                <c:pt idx="3">
                  <c:v>0</c:v>
                </c:pt>
                <c:pt idx="21">
                  <c:v>0</c:v>
                </c:pt>
              </c:numCache>
            </c:numRef>
          </c:val>
          <c:extLst>
            <c:ext xmlns:c16="http://schemas.microsoft.com/office/drawing/2014/chart" uri="{C3380CC4-5D6E-409C-BE32-E72D297353CC}">
              <c16:uniqueId val="{00000000-9E2A-9D4F-8BA8-89022357F0B1}"/>
            </c:ext>
          </c:extLst>
        </c:ser>
        <c:dLbls>
          <c:showLegendKey val="0"/>
          <c:showVal val="0"/>
          <c:showCatName val="0"/>
          <c:showSerName val="0"/>
          <c:showPercent val="0"/>
          <c:showBubbleSize val="0"/>
        </c:dLbls>
        <c:gapWidth val="150"/>
        <c:axId val="10"/>
        <c:axId val="100"/>
      </c:barChart>
      <c:catAx>
        <c:axId val="10"/>
        <c:scaling>
          <c:orientation val="minMax"/>
        </c:scaling>
        <c:delete val="1"/>
        <c:axPos val="b"/>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rPr lang="en-US"/>
                  <a:t>Amount ($)</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lang="en-US"/>
              <a:t>Expense Breakdown</a:t>
            </a:r>
          </a:p>
        </c:rich>
      </c:tx>
      <c:overlay val="1"/>
    </c:title>
    <c:autoTitleDeleted val="0"/>
    <c:plotArea>
      <c:layout/>
      <c:pieChart>
        <c:varyColors val="1"/>
        <c:ser>
          <c:idx val="0"/>
          <c:order val="0"/>
          <c:tx>
            <c:strRef>
              <c:f>'Business Budget'!$D$26</c:f>
              <c:strCache>
                <c:ptCount val="1"/>
                <c:pt idx="0">
                  <c:v>Actual</c:v>
                </c:pt>
              </c:strCache>
            </c:strRef>
          </c:tx>
          <c:spPr>
            <a:ln>
              <a:prstDash val="solid"/>
            </a:ln>
          </c:spPr>
          <c:cat>
            <c:strRef>
              <c:f>'Business Budget'!$B$27:$B$32</c:f>
              <c:strCache>
                <c:ptCount val="6"/>
                <c:pt idx="0">
                  <c:v>Rent/Mortgage</c:v>
                </c:pt>
                <c:pt idx="1">
                  <c:v>Utilities</c:v>
                </c:pt>
                <c:pt idx="2">
                  <c:v>Insurance</c:v>
                </c:pt>
                <c:pt idx="3">
                  <c:v>Payroll</c:v>
                </c:pt>
                <c:pt idx="4">
                  <c:v>Taxes</c:v>
                </c:pt>
                <c:pt idx="5">
                  <c:v>Office Supplies</c:v>
                </c:pt>
              </c:strCache>
            </c:strRef>
          </c:cat>
          <c:val>
            <c:numRef>
              <c:f>'Business Budget'!$D$27:$D$32</c:f>
              <c:numCache>
                <c:formatCode>General</c:formatCode>
                <c:ptCount val="6"/>
              </c:numCache>
            </c:numRef>
          </c:val>
          <c:extLst>
            <c:ext xmlns:c16="http://schemas.microsoft.com/office/drawing/2014/chart" uri="{C3380CC4-5D6E-409C-BE32-E72D297353CC}">
              <c16:uniqueId val="{00000000-678D-FB47-936C-6652D99E4D34}"/>
            </c:ext>
          </c:extLst>
        </c:ser>
        <c:dLbls>
          <c:showLegendKey val="0"/>
          <c:showVal val="0"/>
          <c:showCatName val="0"/>
          <c:showSerName val="0"/>
          <c:showPercent val="0"/>
          <c:showBubbleSize val="0"/>
          <c:showLeaderLines val="1"/>
        </c:dLbls>
        <c:firstSliceAng val="0"/>
      </c:pieChart>
    </c:plotArea>
    <c:legend>
      <c:legendPos val="r"/>
      <c:overlay val="1"/>
    </c:legend>
    <c:plotVisOnly val="1"/>
    <c:dispBlanksAs val="gap"/>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2"/>
  <c:chart>
    <c:title>
      <c:tx>
        <c:rich>
          <a:bodyPr/>
          <a:lstStyle/>
          <a:p>
            <a:pPr>
              <a:defRPr/>
            </a:pPr>
            <a:r>
              <a:rPr lang="en-US"/>
              <a:t>Monthly Net Cash Flow</a:t>
            </a:r>
          </a:p>
        </c:rich>
      </c:tx>
      <c:overlay val="1"/>
    </c:title>
    <c:autoTitleDeleted val="0"/>
    <c:plotArea>
      <c:layout/>
      <c:lineChart>
        <c:grouping val="standard"/>
        <c:varyColors val="1"/>
        <c:ser>
          <c:idx val="0"/>
          <c:order val="0"/>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Forecast'!$C$45</c:f>
              <c:numCache>
                <c:formatCode>\$#,##0.00</c:formatCode>
                <c:ptCount val="1"/>
                <c:pt idx="0">
                  <c:v>0</c:v>
                </c:pt>
              </c:numCache>
            </c:numRef>
          </c:val>
          <c:smooth val="1"/>
          <c:extLst>
            <c:ext xmlns:c16="http://schemas.microsoft.com/office/drawing/2014/chart" uri="{C3380CC4-5D6E-409C-BE32-E72D297353CC}">
              <c16:uniqueId val="{00000000-BDA7-0D40-954B-5FDB68DB0221}"/>
            </c:ext>
          </c:extLst>
        </c:ser>
        <c:ser>
          <c:idx val="1"/>
          <c:order val="1"/>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Forecast'!$D$45</c:f>
              <c:numCache>
                <c:formatCode>\$#,##0.00</c:formatCode>
                <c:ptCount val="1"/>
                <c:pt idx="0">
                  <c:v>0</c:v>
                </c:pt>
              </c:numCache>
            </c:numRef>
          </c:val>
          <c:smooth val="1"/>
          <c:extLst>
            <c:ext xmlns:c16="http://schemas.microsoft.com/office/drawing/2014/chart" uri="{C3380CC4-5D6E-409C-BE32-E72D297353CC}">
              <c16:uniqueId val="{00000001-BDA7-0D40-954B-5FDB68DB0221}"/>
            </c:ext>
          </c:extLst>
        </c:ser>
        <c:ser>
          <c:idx val="2"/>
          <c:order val="2"/>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Forecast'!$E$45</c:f>
              <c:numCache>
                <c:formatCode>\$#,##0.00</c:formatCode>
                <c:ptCount val="1"/>
                <c:pt idx="0">
                  <c:v>0</c:v>
                </c:pt>
              </c:numCache>
            </c:numRef>
          </c:val>
          <c:smooth val="1"/>
          <c:extLst>
            <c:ext xmlns:c16="http://schemas.microsoft.com/office/drawing/2014/chart" uri="{C3380CC4-5D6E-409C-BE32-E72D297353CC}">
              <c16:uniqueId val="{00000002-BDA7-0D40-954B-5FDB68DB0221}"/>
            </c:ext>
          </c:extLst>
        </c:ser>
        <c:ser>
          <c:idx val="3"/>
          <c:order val="3"/>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Forecast'!$F$45</c:f>
              <c:numCache>
                <c:formatCode>\$#,##0.00</c:formatCode>
                <c:ptCount val="1"/>
                <c:pt idx="0">
                  <c:v>0</c:v>
                </c:pt>
              </c:numCache>
            </c:numRef>
          </c:val>
          <c:smooth val="1"/>
          <c:extLst>
            <c:ext xmlns:c16="http://schemas.microsoft.com/office/drawing/2014/chart" uri="{C3380CC4-5D6E-409C-BE32-E72D297353CC}">
              <c16:uniqueId val="{00000003-BDA7-0D40-954B-5FDB68DB0221}"/>
            </c:ext>
          </c:extLst>
        </c:ser>
        <c:ser>
          <c:idx val="4"/>
          <c:order val="4"/>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Forecast'!$G$45</c:f>
              <c:numCache>
                <c:formatCode>\$#,##0.00</c:formatCode>
                <c:ptCount val="1"/>
                <c:pt idx="0">
                  <c:v>0</c:v>
                </c:pt>
              </c:numCache>
            </c:numRef>
          </c:val>
          <c:smooth val="1"/>
          <c:extLst>
            <c:ext xmlns:c16="http://schemas.microsoft.com/office/drawing/2014/chart" uri="{C3380CC4-5D6E-409C-BE32-E72D297353CC}">
              <c16:uniqueId val="{00000004-BDA7-0D40-954B-5FDB68DB0221}"/>
            </c:ext>
          </c:extLst>
        </c:ser>
        <c:ser>
          <c:idx val="5"/>
          <c:order val="5"/>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Forecast'!$H$45</c:f>
              <c:numCache>
                <c:formatCode>\$#,##0.00</c:formatCode>
                <c:ptCount val="1"/>
                <c:pt idx="0">
                  <c:v>0</c:v>
                </c:pt>
              </c:numCache>
            </c:numRef>
          </c:val>
          <c:smooth val="1"/>
          <c:extLst>
            <c:ext xmlns:c16="http://schemas.microsoft.com/office/drawing/2014/chart" uri="{C3380CC4-5D6E-409C-BE32-E72D297353CC}">
              <c16:uniqueId val="{00000005-BDA7-0D40-954B-5FDB68DB0221}"/>
            </c:ext>
          </c:extLst>
        </c:ser>
        <c:ser>
          <c:idx val="6"/>
          <c:order val="6"/>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Forecast'!$I$45</c:f>
              <c:numCache>
                <c:formatCode>\$#,##0.00</c:formatCode>
                <c:ptCount val="1"/>
                <c:pt idx="0">
                  <c:v>0</c:v>
                </c:pt>
              </c:numCache>
            </c:numRef>
          </c:val>
          <c:smooth val="1"/>
          <c:extLst>
            <c:ext xmlns:c16="http://schemas.microsoft.com/office/drawing/2014/chart" uri="{C3380CC4-5D6E-409C-BE32-E72D297353CC}">
              <c16:uniqueId val="{00000006-BDA7-0D40-954B-5FDB68DB0221}"/>
            </c:ext>
          </c:extLst>
        </c:ser>
        <c:ser>
          <c:idx val="7"/>
          <c:order val="7"/>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Forecast'!$J$45</c:f>
              <c:numCache>
                <c:formatCode>\$#,##0.00</c:formatCode>
                <c:ptCount val="1"/>
                <c:pt idx="0">
                  <c:v>0</c:v>
                </c:pt>
              </c:numCache>
            </c:numRef>
          </c:val>
          <c:smooth val="1"/>
          <c:extLst>
            <c:ext xmlns:c16="http://schemas.microsoft.com/office/drawing/2014/chart" uri="{C3380CC4-5D6E-409C-BE32-E72D297353CC}">
              <c16:uniqueId val="{00000007-BDA7-0D40-954B-5FDB68DB0221}"/>
            </c:ext>
          </c:extLst>
        </c:ser>
        <c:ser>
          <c:idx val="8"/>
          <c:order val="8"/>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Forecast'!$K$45</c:f>
              <c:numCache>
                <c:formatCode>\$#,##0.00</c:formatCode>
                <c:ptCount val="1"/>
                <c:pt idx="0">
                  <c:v>0</c:v>
                </c:pt>
              </c:numCache>
            </c:numRef>
          </c:val>
          <c:smooth val="1"/>
          <c:extLst>
            <c:ext xmlns:c16="http://schemas.microsoft.com/office/drawing/2014/chart" uri="{C3380CC4-5D6E-409C-BE32-E72D297353CC}">
              <c16:uniqueId val="{00000008-BDA7-0D40-954B-5FDB68DB0221}"/>
            </c:ext>
          </c:extLst>
        </c:ser>
        <c:ser>
          <c:idx val="9"/>
          <c:order val="9"/>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Forecast'!$L$45</c:f>
              <c:numCache>
                <c:formatCode>\$#,##0.00</c:formatCode>
                <c:ptCount val="1"/>
                <c:pt idx="0">
                  <c:v>0</c:v>
                </c:pt>
              </c:numCache>
            </c:numRef>
          </c:val>
          <c:smooth val="1"/>
          <c:extLst>
            <c:ext xmlns:c16="http://schemas.microsoft.com/office/drawing/2014/chart" uri="{C3380CC4-5D6E-409C-BE32-E72D297353CC}">
              <c16:uniqueId val="{00000009-BDA7-0D40-954B-5FDB68DB0221}"/>
            </c:ext>
          </c:extLst>
        </c:ser>
        <c:ser>
          <c:idx val="10"/>
          <c:order val="10"/>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Forecast'!$M$45</c:f>
              <c:numCache>
                <c:formatCode>\$#,##0.00</c:formatCode>
                <c:ptCount val="1"/>
                <c:pt idx="0">
                  <c:v>0</c:v>
                </c:pt>
              </c:numCache>
            </c:numRef>
          </c:val>
          <c:smooth val="1"/>
          <c:extLst>
            <c:ext xmlns:c16="http://schemas.microsoft.com/office/drawing/2014/chart" uri="{C3380CC4-5D6E-409C-BE32-E72D297353CC}">
              <c16:uniqueId val="{0000000A-BDA7-0D40-954B-5FDB68DB0221}"/>
            </c:ext>
          </c:extLst>
        </c:ser>
        <c:ser>
          <c:idx val="11"/>
          <c:order val="11"/>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Forecast'!$N$45</c:f>
              <c:numCache>
                <c:formatCode>\$#,##0.00</c:formatCode>
                <c:ptCount val="1"/>
                <c:pt idx="0">
                  <c:v>0</c:v>
                </c:pt>
              </c:numCache>
            </c:numRef>
          </c:val>
          <c:smooth val="1"/>
          <c:extLst>
            <c:ext xmlns:c16="http://schemas.microsoft.com/office/drawing/2014/chart" uri="{C3380CC4-5D6E-409C-BE32-E72D297353CC}">
              <c16:uniqueId val="{0000000B-BDA7-0D40-954B-5FDB68DB0221}"/>
            </c:ext>
          </c:extLst>
        </c:ser>
        <c:dLbls>
          <c:showLegendKey val="0"/>
          <c:showVal val="0"/>
          <c:showCatName val="0"/>
          <c:showSerName val="0"/>
          <c:showPercent val="0"/>
          <c:showBubbleSize val="0"/>
        </c:dLbls>
        <c:smooth val="0"/>
        <c:axId val="10"/>
        <c:axId val="100"/>
      </c:lineChart>
      <c:catAx>
        <c:axId val="10"/>
        <c:scaling>
          <c:orientation val="minMax"/>
        </c:scaling>
        <c:delete val="1"/>
        <c:axPos val="b"/>
        <c:title>
          <c:tx>
            <c:rich>
              <a:bodyPr/>
              <a:lstStyle/>
              <a:p>
                <a:pPr>
                  <a:defRPr/>
                </a:pPr>
                <a:r>
                  <a:rPr lang="en-US"/>
                  <a:t>Month</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rPr lang="en-US"/>
                  <a:t>Amount ($)</a:t>
                </a:r>
              </a:p>
            </c:rich>
          </c:tx>
          <c:overlay val="1"/>
        </c:title>
        <c:numFmt formatCode="\$#,##0.00"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3"/>
  <c:chart>
    <c:title>
      <c:tx>
        <c:rich>
          <a:bodyPr/>
          <a:lstStyle/>
          <a:p>
            <a:pPr>
              <a:defRPr/>
            </a:pPr>
            <a:r>
              <a:rPr lang="en-US"/>
              <a:t>Running Cash Balance</a:t>
            </a:r>
          </a:p>
        </c:rich>
      </c:tx>
      <c:overlay val="1"/>
    </c:title>
    <c:autoTitleDeleted val="0"/>
    <c:plotArea>
      <c:layout/>
      <c:lineChart>
        <c:grouping val="standard"/>
        <c:varyColors val="1"/>
        <c:ser>
          <c:idx val="0"/>
          <c:order val="0"/>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Forecast'!$C$48</c:f>
              <c:numCache>
                <c:formatCode>\$#,##0.00</c:formatCode>
                <c:ptCount val="1"/>
                <c:pt idx="0">
                  <c:v>10000</c:v>
                </c:pt>
              </c:numCache>
            </c:numRef>
          </c:val>
          <c:smooth val="1"/>
          <c:extLst>
            <c:ext xmlns:c16="http://schemas.microsoft.com/office/drawing/2014/chart" uri="{C3380CC4-5D6E-409C-BE32-E72D297353CC}">
              <c16:uniqueId val="{00000000-F43C-0049-8F4B-E08BED3EF4BB}"/>
            </c:ext>
          </c:extLst>
        </c:ser>
        <c:ser>
          <c:idx val="1"/>
          <c:order val="1"/>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Forecast'!$D$48</c:f>
              <c:numCache>
                <c:formatCode>\$#,##0.00</c:formatCode>
                <c:ptCount val="1"/>
                <c:pt idx="0">
                  <c:v>10000</c:v>
                </c:pt>
              </c:numCache>
            </c:numRef>
          </c:val>
          <c:smooth val="1"/>
          <c:extLst>
            <c:ext xmlns:c16="http://schemas.microsoft.com/office/drawing/2014/chart" uri="{C3380CC4-5D6E-409C-BE32-E72D297353CC}">
              <c16:uniqueId val="{00000001-F43C-0049-8F4B-E08BED3EF4BB}"/>
            </c:ext>
          </c:extLst>
        </c:ser>
        <c:ser>
          <c:idx val="2"/>
          <c:order val="2"/>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Forecast'!$E$48</c:f>
              <c:numCache>
                <c:formatCode>\$#,##0.00</c:formatCode>
                <c:ptCount val="1"/>
                <c:pt idx="0">
                  <c:v>10000</c:v>
                </c:pt>
              </c:numCache>
            </c:numRef>
          </c:val>
          <c:smooth val="1"/>
          <c:extLst>
            <c:ext xmlns:c16="http://schemas.microsoft.com/office/drawing/2014/chart" uri="{C3380CC4-5D6E-409C-BE32-E72D297353CC}">
              <c16:uniqueId val="{00000002-F43C-0049-8F4B-E08BED3EF4BB}"/>
            </c:ext>
          </c:extLst>
        </c:ser>
        <c:ser>
          <c:idx val="3"/>
          <c:order val="3"/>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Forecast'!$F$48</c:f>
              <c:numCache>
                <c:formatCode>\$#,##0.00</c:formatCode>
                <c:ptCount val="1"/>
                <c:pt idx="0">
                  <c:v>10000</c:v>
                </c:pt>
              </c:numCache>
            </c:numRef>
          </c:val>
          <c:smooth val="1"/>
          <c:extLst>
            <c:ext xmlns:c16="http://schemas.microsoft.com/office/drawing/2014/chart" uri="{C3380CC4-5D6E-409C-BE32-E72D297353CC}">
              <c16:uniqueId val="{00000003-F43C-0049-8F4B-E08BED3EF4BB}"/>
            </c:ext>
          </c:extLst>
        </c:ser>
        <c:ser>
          <c:idx val="4"/>
          <c:order val="4"/>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Forecast'!$G$48</c:f>
              <c:numCache>
                <c:formatCode>\$#,##0.00</c:formatCode>
                <c:ptCount val="1"/>
                <c:pt idx="0">
                  <c:v>10000</c:v>
                </c:pt>
              </c:numCache>
            </c:numRef>
          </c:val>
          <c:smooth val="1"/>
          <c:extLst>
            <c:ext xmlns:c16="http://schemas.microsoft.com/office/drawing/2014/chart" uri="{C3380CC4-5D6E-409C-BE32-E72D297353CC}">
              <c16:uniqueId val="{00000004-F43C-0049-8F4B-E08BED3EF4BB}"/>
            </c:ext>
          </c:extLst>
        </c:ser>
        <c:ser>
          <c:idx val="5"/>
          <c:order val="5"/>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Forecast'!$H$48</c:f>
              <c:numCache>
                <c:formatCode>\$#,##0.00</c:formatCode>
                <c:ptCount val="1"/>
                <c:pt idx="0">
                  <c:v>10000</c:v>
                </c:pt>
              </c:numCache>
            </c:numRef>
          </c:val>
          <c:smooth val="1"/>
          <c:extLst>
            <c:ext xmlns:c16="http://schemas.microsoft.com/office/drawing/2014/chart" uri="{C3380CC4-5D6E-409C-BE32-E72D297353CC}">
              <c16:uniqueId val="{00000005-F43C-0049-8F4B-E08BED3EF4BB}"/>
            </c:ext>
          </c:extLst>
        </c:ser>
        <c:ser>
          <c:idx val="6"/>
          <c:order val="6"/>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Forecast'!$I$48</c:f>
              <c:numCache>
                <c:formatCode>\$#,##0.00</c:formatCode>
                <c:ptCount val="1"/>
                <c:pt idx="0">
                  <c:v>10000</c:v>
                </c:pt>
              </c:numCache>
            </c:numRef>
          </c:val>
          <c:smooth val="1"/>
          <c:extLst>
            <c:ext xmlns:c16="http://schemas.microsoft.com/office/drawing/2014/chart" uri="{C3380CC4-5D6E-409C-BE32-E72D297353CC}">
              <c16:uniqueId val="{00000006-F43C-0049-8F4B-E08BED3EF4BB}"/>
            </c:ext>
          </c:extLst>
        </c:ser>
        <c:ser>
          <c:idx val="7"/>
          <c:order val="7"/>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Forecast'!$J$48</c:f>
              <c:numCache>
                <c:formatCode>\$#,##0.00</c:formatCode>
                <c:ptCount val="1"/>
                <c:pt idx="0">
                  <c:v>10000</c:v>
                </c:pt>
              </c:numCache>
            </c:numRef>
          </c:val>
          <c:smooth val="1"/>
          <c:extLst>
            <c:ext xmlns:c16="http://schemas.microsoft.com/office/drawing/2014/chart" uri="{C3380CC4-5D6E-409C-BE32-E72D297353CC}">
              <c16:uniqueId val="{00000007-F43C-0049-8F4B-E08BED3EF4BB}"/>
            </c:ext>
          </c:extLst>
        </c:ser>
        <c:ser>
          <c:idx val="8"/>
          <c:order val="8"/>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Forecast'!$K$48</c:f>
              <c:numCache>
                <c:formatCode>\$#,##0.00</c:formatCode>
                <c:ptCount val="1"/>
                <c:pt idx="0">
                  <c:v>10000</c:v>
                </c:pt>
              </c:numCache>
            </c:numRef>
          </c:val>
          <c:smooth val="1"/>
          <c:extLst>
            <c:ext xmlns:c16="http://schemas.microsoft.com/office/drawing/2014/chart" uri="{C3380CC4-5D6E-409C-BE32-E72D297353CC}">
              <c16:uniqueId val="{00000008-F43C-0049-8F4B-E08BED3EF4BB}"/>
            </c:ext>
          </c:extLst>
        </c:ser>
        <c:ser>
          <c:idx val="9"/>
          <c:order val="9"/>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Forecast'!$L$48</c:f>
              <c:numCache>
                <c:formatCode>\$#,##0.00</c:formatCode>
                <c:ptCount val="1"/>
                <c:pt idx="0">
                  <c:v>10000</c:v>
                </c:pt>
              </c:numCache>
            </c:numRef>
          </c:val>
          <c:smooth val="1"/>
          <c:extLst>
            <c:ext xmlns:c16="http://schemas.microsoft.com/office/drawing/2014/chart" uri="{C3380CC4-5D6E-409C-BE32-E72D297353CC}">
              <c16:uniqueId val="{00000009-F43C-0049-8F4B-E08BED3EF4BB}"/>
            </c:ext>
          </c:extLst>
        </c:ser>
        <c:ser>
          <c:idx val="10"/>
          <c:order val="10"/>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Forecast'!$M$48</c:f>
              <c:numCache>
                <c:formatCode>\$#,##0.00</c:formatCode>
                <c:ptCount val="1"/>
                <c:pt idx="0">
                  <c:v>10000</c:v>
                </c:pt>
              </c:numCache>
            </c:numRef>
          </c:val>
          <c:smooth val="1"/>
          <c:extLst>
            <c:ext xmlns:c16="http://schemas.microsoft.com/office/drawing/2014/chart" uri="{C3380CC4-5D6E-409C-BE32-E72D297353CC}">
              <c16:uniqueId val="{0000000A-F43C-0049-8F4B-E08BED3EF4BB}"/>
            </c:ext>
          </c:extLst>
        </c:ser>
        <c:ser>
          <c:idx val="11"/>
          <c:order val="11"/>
          <c:spPr>
            <a:ln>
              <a:prstDash val="solid"/>
            </a:ln>
          </c:spPr>
          <c:marker>
            <c:symbol val="none"/>
          </c:marker>
          <c:cat>
            <c:strRef>
              <c:f>'Cash Flow Forecast'!$C$14:$N$14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'Cash Flow Forecast'!$N$48</c:f>
              <c:numCache>
                <c:formatCode>\$#,##0.00</c:formatCode>
                <c:ptCount val="1"/>
                <c:pt idx="0">
                  <c:v>10000</c:v>
                </c:pt>
              </c:numCache>
            </c:numRef>
          </c:val>
          <c:smooth val="1"/>
          <c:extLst>
            <c:ext xmlns:c16="http://schemas.microsoft.com/office/drawing/2014/chart" uri="{C3380CC4-5D6E-409C-BE32-E72D297353CC}">
              <c16:uniqueId val="{0000000B-F43C-0049-8F4B-E08BED3EF4BB}"/>
            </c:ext>
          </c:extLst>
        </c:ser>
        <c:dLbls>
          <c:showLegendKey val="0"/>
          <c:showVal val="0"/>
          <c:showCatName val="0"/>
          <c:showSerName val="0"/>
          <c:showPercent val="0"/>
          <c:showBubbleSize val="0"/>
        </c:dLbls>
        <c:smooth val="0"/>
        <c:axId val="10"/>
        <c:axId val="100"/>
      </c:lineChart>
      <c:catAx>
        <c:axId val="10"/>
        <c:scaling>
          <c:orientation val="minMax"/>
        </c:scaling>
        <c:delete val="1"/>
        <c:axPos val="b"/>
        <c:title>
          <c:tx>
            <c:rich>
              <a:bodyPr/>
              <a:lstStyle/>
              <a:p>
                <a:pPr>
                  <a:defRPr/>
                </a:pPr>
                <a:r>
                  <a:rPr lang="en-US"/>
                  <a:t>Month</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rPr lang="en-US"/>
                  <a:t>Amount ($)</a:t>
                </a:r>
              </a:p>
            </c:rich>
          </c:tx>
          <c:overlay val="1"/>
        </c:title>
        <c:numFmt formatCode="\$#,##0.00"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0"/>
  <c:chart>
    <c:title>
      <c:tx>
        <c:rich>
          <a:bodyPr/>
          <a:lstStyle/>
          <a:p>
            <a:pPr>
              <a:defRPr/>
            </a:pPr>
            <a:r>
              <a:rPr lang="en-US"/>
              <a:t>Total Cost Comparison</a:t>
            </a:r>
          </a:p>
        </c:rich>
      </c:tx>
      <c:overlay val="1"/>
    </c:title>
    <c:autoTitleDeleted val="0"/>
    <c:plotArea>
      <c:layout/>
      <c:barChart>
        <c:barDir val="col"/>
        <c:grouping val="clustered"/>
        <c:varyColors val="1"/>
        <c:ser>
          <c:idx val="0"/>
          <c:order val="0"/>
          <c:spPr>
            <a:ln>
              <a:prstDash val="solid"/>
            </a:ln>
          </c:spPr>
          <c:invertIfNegative val="1"/>
          <c:cat>
            <c:strRef>
              <c:f>'CDFI Comparison'!$C$13:$E$13</c:f>
              <c:strCache>
                <c:ptCount val="3"/>
                <c:pt idx="0">
                  <c:v>CDFI Option 1</c:v>
                </c:pt>
                <c:pt idx="1">
                  <c:v>CDFI Option 2</c:v>
                </c:pt>
                <c:pt idx="2">
                  <c:v>CDFI Option 3</c:v>
                </c:pt>
              </c:strCache>
            </c:strRef>
          </c:cat>
          <c:val>
            <c:numRef>
              <c:f>'CDFI Comparison'!$C$33</c:f>
              <c:numCache>
                <c:formatCode>\$#,##0.00</c:formatCode>
                <c:ptCount val="1"/>
                <c:pt idx="0">
                  <c:v>0</c:v>
                </c:pt>
              </c:numCache>
            </c:numRef>
          </c:val>
          <c:extLst>
            <c:ext xmlns:c16="http://schemas.microsoft.com/office/drawing/2014/chart" uri="{C3380CC4-5D6E-409C-BE32-E72D297353CC}">
              <c16:uniqueId val="{00000000-38C5-6A46-A53F-4819FDFD459A}"/>
            </c:ext>
          </c:extLst>
        </c:ser>
        <c:ser>
          <c:idx val="1"/>
          <c:order val="1"/>
          <c:spPr>
            <a:ln>
              <a:prstDash val="solid"/>
            </a:ln>
          </c:spPr>
          <c:invertIfNegative val="1"/>
          <c:cat>
            <c:strRef>
              <c:f>'CDFI Comparison'!$C$13:$E$13</c:f>
              <c:strCache>
                <c:ptCount val="3"/>
                <c:pt idx="0">
                  <c:v>CDFI Option 1</c:v>
                </c:pt>
                <c:pt idx="1">
                  <c:v>CDFI Option 2</c:v>
                </c:pt>
                <c:pt idx="2">
                  <c:v>CDFI Option 3</c:v>
                </c:pt>
              </c:strCache>
            </c:strRef>
          </c:cat>
          <c:val>
            <c:numRef>
              <c:f>'CDFI Comparison'!$D$33</c:f>
              <c:numCache>
                <c:formatCode>\$#,##0.00</c:formatCode>
                <c:ptCount val="1"/>
                <c:pt idx="0">
                  <c:v>0</c:v>
                </c:pt>
              </c:numCache>
            </c:numRef>
          </c:val>
          <c:extLst>
            <c:ext xmlns:c16="http://schemas.microsoft.com/office/drawing/2014/chart" uri="{C3380CC4-5D6E-409C-BE32-E72D297353CC}">
              <c16:uniqueId val="{00000001-38C5-6A46-A53F-4819FDFD459A}"/>
            </c:ext>
          </c:extLst>
        </c:ser>
        <c:ser>
          <c:idx val="2"/>
          <c:order val="2"/>
          <c:spPr>
            <a:ln>
              <a:prstDash val="solid"/>
            </a:ln>
          </c:spPr>
          <c:invertIfNegative val="1"/>
          <c:cat>
            <c:strRef>
              <c:f>'CDFI Comparison'!$C$13:$E$13</c:f>
              <c:strCache>
                <c:ptCount val="3"/>
                <c:pt idx="0">
                  <c:v>CDFI Option 1</c:v>
                </c:pt>
                <c:pt idx="1">
                  <c:v>CDFI Option 2</c:v>
                </c:pt>
                <c:pt idx="2">
                  <c:v>CDFI Option 3</c:v>
                </c:pt>
              </c:strCache>
            </c:strRef>
          </c:cat>
          <c:val>
            <c:numRef>
              <c:f>'CDFI Comparison'!$E$33</c:f>
              <c:numCache>
                <c:formatCode>\$#,##0.00</c:formatCode>
                <c:ptCount val="1"/>
                <c:pt idx="0">
                  <c:v>0</c:v>
                </c:pt>
              </c:numCache>
            </c:numRef>
          </c:val>
          <c:extLst>
            <c:ext xmlns:c16="http://schemas.microsoft.com/office/drawing/2014/chart" uri="{C3380CC4-5D6E-409C-BE32-E72D297353CC}">
              <c16:uniqueId val="{00000002-38C5-6A46-A53F-4819FDFD459A}"/>
            </c:ext>
          </c:extLst>
        </c:ser>
        <c:dLbls>
          <c:showLegendKey val="0"/>
          <c:showVal val="0"/>
          <c:showCatName val="0"/>
          <c:showSerName val="0"/>
          <c:showPercent val="0"/>
          <c:showBubbleSize val="0"/>
        </c:dLbls>
        <c:gapWidth val="150"/>
        <c:axId val="10"/>
        <c:axId val="100"/>
      </c:barChart>
      <c:catAx>
        <c:axId val="10"/>
        <c:scaling>
          <c:orientation val="minMax"/>
        </c:scaling>
        <c:delete val="1"/>
        <c:axPos val="b"/>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rPr lang="en-US"/>
                  <a:t>Amount ($)</a:t>
                </a:r>
              </a:p>
            </c:rich>
          </c:tx>
          <c:overlay val="1"/>
        </c:title>
        <c:numFmt formatCode="\$#,##0.00"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xdr:col>
      <xdr:colOff>0</xdr:colOff>
      <xdr:row>386</xdr:row>
      <xdr:rowOff>0</xdr:rowOff>
    </xdr:from>
    <xdr:ext cx="5400000" cy="27000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18</xdr:row>
      <xdr:rowOff>0</xdr:rowOff>
    </xdr:from>
    <xdr:ext cx="5400000" cy="270000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52</xdr:row>
      <xdr:rowOff>0</xdr:rowOff>
    </xdr:from>
    <xdr:ext cx="5400000" cy="27000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4</xdr:col>
      <xdr:colOff>0</xdr:colOff>
      <xdr:row>52</xdr:row>
      <xdr:rowOff>0</xdr:rowOff>
    </xdr:from>
    <xdr:ext cx="5400000" cy="2700000"/>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51</xdr:row>
      <xdr:rowOff>0</xdr:rowOff>
    </xdr:from>
    <xdr:ext cx="5400000" cy="2700000"/>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7</xdr:col>
      <xdr:colOff>0</xdr:colOff>
      <xdr:row>51</xdr:row>
      <xdr:rowOff>0</xdr:rowOff>
    </xdr:from>
    <xdr:ext cx="5400000" cy="2700000"/>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65</xdr:row>
      <xdr:rowOff>0</xdr:rowOff>
    </xdr:from>
    <xdr:ext cx="5400000" cy="2700000"/>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27"/>
  <sheetViews>
    <sheetView topLeftCell="A8" workbookViewId="0">
      <selection activeCell="B7" sqref="B7"/>
    </sheetView>
  </sheetViews>
  <sheetFormatPr baseColWidth="10" defaultColWidth="8.83203125" defaultRowHeight="15"/>
  <cols>
    <col min="1" max="1" width="5" customWidth="1"/>
    <col min="2" max="2" width="25" customWidth="1"/>
    <col min="3" max="3" width="60" customWidth="1"/>
    <col min="4" max="4" width="15" customWidth="1"/>
  </cols>
  <sheetData>
    <row r="2" spans="2:3" ht="24">
      <c r="B2" s="1" t="s">
        <v>0</v>
      </c>
    </row>
    <row r="3" spans="2:3" ht="19">
      <c r="B3" s="2" t="s">
        <v>1</v>
      </c>
    </row>
    <row r="4" spans="2:3" ht="16">
      <c r="B4" s="3" t="s">
        <v>2</v>
      </c>
    </row>
    <row r="6" spans="2:3" ht="19">
      <c r="B6" s="4" t="s">
        <v>3</v>
      </c>
    </row>
    <row r="7" spans="2:3" ht="100" customHeight="1">
      <c r="B7" s="5" t="s">
        <v>4</v>
      </c>
    </row>
    <row r="9" spans="2:3" ht="19">
      <c r="B9" s="4" t="s">
        <v>5</v>
      </c>
    </row>
    <row r="10" spans="2:3" ht="85" customHeight="1">
      <c r="B10" s="5" t="s">
        <v>6</v>
      </c>
    </row>
    <row r="12" spans="2:3" ht="19">
      <c r="B12" s="4" t="s">
        <v>7</v>
      </c>
    </row>
    <row r="13" spans="2:3" ht="16">
      <c r="B13" s="6" t="s">
        <v>8</v>
      </c>
      <c r="C13" s="5" t="s">
        <v>9</v>
      </c>
    </row>
    <row r="14" spans="2:3" ht="16">
      <c r="B14" s="6" t="s">
        <v>10</v>
      </c>
      <c r="C14" s="5" t="s">
        <v>11</v>
      </c>
    </row>
    <row r="15" spans="2:3" ht="32">
      <c r="B15" s="6" t="s">
        <v>12</v>
      </c>
      <c r="C15" s="5" t="s">
        <v>13</v>
      </c>
    </row>
    <row r="16" spans="2:3" ht="16">
      <c r="B16" s="6" t="s">
        <v>14</v>
      </c>
      <c r="C16" s="5" t="s">
        <v>15</v>
      </c>
    </row>
    <row r="17" spans="2:3" ht="16">
      <c r="B17" s="6" t="s">
        <v>16</v>
      </c>
      <c r="C17" s="5" t="s">
        <v>17</v>
      </c>
    </row>
    <row r="18" spans="2:3" ht="16">
      <c r="B18" s="6" t="s">
        <v>18</v>
      </c>
      <c r="C18" s="5" t="s">
        <v>19</v>
      </c>
    </row>
    <row r="20" spans="2:3" ht="19">
      <c r="B20" s="4" t="s">
        <v>20</v>
      </c>
    </row>
    <row r="21" spans="2:3" ht="100" customHeight="1">
      <c r="B21" s="5" t="s">
        <v>21</v>
      </c>
    </row>
    <row r="24" spans="2:3" ht="19">
      <c r="B24" s="4" t="s">
        <v>22</v>
      </c>
    </row>
    <row r="25" spans="2:3">
      <c r="B25" t="s">
        <v>23</v>
      </c>
    </row>
    <row r="26" spans="2:3">
      <c r="B26" t="s">
        <v>24</v>
      </c>
    </row>
    <row r="27" spans="2:3">
      <c r="B27" t="s">
        <v>25</v>
      </c>
    </row>
  </sheetData>
  <sheetProtection password="E7B2" sheet="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25"/>
  <sheetViews>
    <sheetView tabSelected="1" zoomScale="140" workbookViewId="0"/>
  </sheetViews>
  <sheetFormatPr baseColWidth="10" defaultColWidth="8.83203125" defaultRowHeight="15"/>
  <cols>
    <col min="1" max="1" width="5" customWidth="1"/>
    <col min="2" max="2" width="25" customWidth="1"/>
    <col min="3" max="3" width="40" customWidth="1"/>
    <col min="4" max="4" width="25" customWidth="1"/>
    <col min="5" max="5" width="30" customWidth="1"/>
  </cols>
  <sheetData>
    <row r="2" spans="2:5" ht="21">
      <c r="B2" s="7" t="s">
        <v>26</v>
      </c>
    </row>
    <row r="3" spans="2:5" ht="16">
      <c r="B3" s="8" t="s">
        <v>27</v>
      </c>
    </row>
    <row r="5" spans="2:5">
      <c r="B5" s="9" t="s">
        <v>28</v>
      </c>
    </row>
    <row r="7" spans="2:5" ht="17">
      <c r="B7" s="10" t="s">
        <v>29</v>
      </c>
      <c r="C7" s="10" t="s">
        <v>30</v>
      </c>
      <c r="D7" s="10" t="s">
        <v>31</v>
      </c>
      <c r="E7" s="10" t="s">
        <v>32</v>
      </c>
    </row>
    <row r="8" spans="2:5" ht="48">
      <c r="B8" s="11" t="s">
        <v>33</v>
      </c>
      <c r="C8" s="12" t="s">
        <v>34</v>
      </c>
      <c r="D8" s="12" t="s">
        <v>35</v>
      </c>
      <c r="E8" s="12" t="s">
        <v>36</v>
      </c>
    </row>
    <row r="9" spans="2:5" ht="48">
      <c r="B9" s="13" t="s">
        <v>37</v>
      </c>
      <c r="C9" s="5" t="s">
        <v>38</v>
      </c>
      <c r="D9" s="5" t="s">
        <v>39</v>
      </c>
      <c r="E9" s="5" t="s">
        <v>40</v>
      </c>
    </row>
    <row r="10" spans="2:5" ht="48">
      <c r="B10" s="11" t="s">
        <v>41</v>
      </c>
      <c r="C10" s="12" t="s">
        <v>42</v>
      </c>
      <c r="D10" s="12" t="s">
        <v>43</v>
      </c>
      <c r="E10" s="12" t="s">
        <v>44</v>
      </c>
    </row>
    <row r="11" spans="2:5" ht="48">
      <c r="B11" s="13" t="s">
        <v>29</v>
      </c>
      <c r="C11" s="5" t="s">
        <v>45</v>
      </c>
      <c r="D11" s="5" t="s">
        <v>46</v>
      </c>
      <c r="E11" s="5" t="s">
        <v>47</v>
      </c>
    </row>
    <row r="12" spans="2:5" ht="64">
      <c r="B12" s="11" t="s">
        <v>48</v>
      </c>
      <c r="C12" s="12" t="s">
        <v>49</v>
      </c>
      <c r="D12" s="12" t="s">
        <v>50</v>
      </c>
      <c r="E12" s="12" t="s">
        <v>51</v>
      </c>
    </row>
    <row r="13" spans="2:5" ht="64">
      <c r="B13" s="13" t="s">
        <v>52</v>
      </c>
      <c r="C13" s="5" t="s">
        <v>53</v>
      </c>
      <c r="D13" s="5" t="s">
        <v>54</v>
      </c>
      <c r="E13" s="5" t="s">
        <v>55</v>
      </c>
    </row>
    <row r="14" spans="2:5" ht="48">
      <c r="B14" s="11" t="s">
        <v>56</v>
      </c>
      <c r="C14" s="12" t="s">
        <v>57</v>
      </c>
      <c r="D14" s="12" t="s">
        <v>58</v>
      </c>
      <c r="E14" s="12" t="s">
        <v>59</v>
      </c>
    </row>
    <row r="15" spans="2:5" ht="48">
      <c r="B15" s="13" t="s">
        <v>60</v>
      </c>
      <c r="C15" s="5" t="s">
        <v>61</v>
      </c>
      <c r="D15" s="5" t="s">
        <v>62</v>
      </c>
      <c r="E15" s="5" t="s">
        <v>63</v>
      </c>
    </row>
    <row r="16" spans="2:5" ht="48">
      <c r="B16" s="11" t="s">
        <v>64</v>
      </c>
      <c r="C16" s="12" t="s">
        <v>65</v>
      </c>
      <c r="D16" s="12" t="s">
        <v>66</v>
      </c>
      <c r="E16" s="12" t="s">
        <v>67</v>
      </c>
    </row>
    <row r="17" spans="2:5" ht="48">
      <c r="B17" s="13" t="s">
        <v>68</v>
      </c>
      <c r="C17" s="5" t="s">
        <v>69</v>
      </c>
      <c r="D17" s="5" t="s">
        <v>70</v>
      </c>
      <c r="E17" s="5" t="s">
        <v>71</v>
      </c>
    </row>
    <row r="18" spans="2:5" ht="48">
      <c r="B18" s="11" t="s">
        <v>72</v>
      </c>
      <c r="C18" s="12" t="s">
        <v>73</v>
      </c>
      <c r="D18" s="12" t="s">
        <v>74</v>
      </c>
      <c r="E18" s="12" t="s">
        <v>75</v>
      </c>
    </row>
    <row r="19" spans="2:5" ht="64">
      <c r="B19" s="13" t="s">
        <v>76</v>
      </c>
      <c r="C19" s="5" t="s">
        <v>77</v>
      </c>
      <c r="D19" s="5" t="s">
        <v>78</v>
      </c>
      <c r="E19" s="5" t="s">
        <v>79</v>
      </c>
    </row>
    <row r="20" spans="2:5" ht="48">
      <c r="B20" s="11" t="s">
        <v>80</v>
      </c>
      <c r="C20" s="12" t="s">
        <v>81</v>
      </c>
      <c r="D20" s="12" t="s">
        <v>82</v>
      </c>
      <c r="E20" s="12" t="s">
        <v>83</v>
      </c>
    </row>
    <row r="21" spans="2:5" ht="48">
      <c r="B21" s="13" t="s">
        <v>84</v>
      </c>
      <c r="C21" s="5" t="s">
        <v>85</v>
      </c>
      <c r="D21" s="5" t="s">
        <v>86</v>
      </c>
      <c r="E21" s="5" t="s">
        <v>87</v>
      </c>
    </row>
    <row r="22" spans="2:5" ht="48">
      <c r="B22" s="11" t="s">
        <v>88</v>
      </c>
      <c r="C22" s="12" t="s">
        <v>89</v>
      </c>
      <c r="D22" s="12" t="s">
        <v>90</v>
      </c>
      <c r="E22" s="12" t="s">
        <v>91</v>
      </c>
    </row>
    <row r="25" spans="2:5">
      <c r="B25" s="9" t="s">
        <v>92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01"/>
  <sheetViews>
    <sheetView topLeftCell="A6" workbookViewId="0">
      <selection activeCell="F13" sqref="F13"/>
    </sheetView>
  </sheetViews>
  <sheetFormatPr baseColWidth="10" defaultColWidth="8.83203125" defaultRowHeight="15"/>
  <cols>
    <col min="1" max="1" width="5" customWidth="1"/>
    <col min="2" max="2" width="34.5" customWidth="1"/>
    <col min="3" max="4" width="15" customWidth="1"/>
    <col min="5" max="5" width="20" customWidth="1"/>
    <col min="6" max="6" width="15" customWidth="1"/>
    <col min="7" max="7" width="20" customWidth="1"/>
    <col min="8" max="8" width="13" hidden="1" customWidth="1"/>
  </cols>
  <sheetData>
    <row r="2" spans="2:6" ht="21">
      <c r="B2" s="7" t="s">
        <v>93</v>
      </c>
    </row>
    <row r="3" spans="2:6" ht="16">
      <c r="B3" s="8" t="s">
        <v>94</v>
      </c>
    </row>
    <row r="5" spans="2:6" ht="16">
      <c r="B5" s="6" t="s">
        <v>95</v>
      </c>
    </row>
    <row r="6" spans="2:6" ht="96">
      <c r="B6" s="5" t="s">
        <v>96</v>
      </c>
    </row>
    <row r="8" spans="2:6" ht="19">
      <c r="B8" s="4" t="s">
        <v>97</v>
      </c>
      <c r="E8" s="4" t="s">
        <v>98</v>
      </c>
    </row>
    <row r="10" spans="2:6">
      <c r="B10" t="s">
        <v>99</v>
      </c>
      <c r="C10" s="33">
        <v>100000</v>
      </c>
      <c r="E10" t="s">
        <v>100</v>
      </c>
      <c r="F10" s="15">
        <f>PMT(C11/C13,C12*C13,C10)</f>
        <v>-1910.1162171782241</v>
      </c>
    </row>
    <row r="11" spans="2:6">
      <c r="B11" t="s">
        <v>101</v>
      </c>
      <c r="C11" s="27">
        <v>5.5E-2</v>
      </c>
      <c r="E11" t="s">
        <v>102</v>
      </c>
      <c r="F11" s="15">
        <f>F10*C12*C13</f>
        <v>-114606.97303069345</v>
      </c>
    </row>
    <row r="12" spans="2:6">
      <c r="B12" t="s">
        <v>103</v>
      </c>
      <c r="C12" s="14">
        <v>5</v>
      </c>
      <c r="E12" t="s">
        <v>104</v>
      </c>
      <c r="F12" s="15">
        <f>F11+C10</f>
        <v>-14606.973030693451</v>
      </c>
    </row>
    <row r="13" spans="2:6">
      <c r="B13" t="s">
        <v>105</v>
      </c>
      <c r="C13" s="14">
        <v>12</v>
      </c>
      <c r="E13" t="s">
        <v>106</v>
      </c>
      <c r="F13" s="15">
        <f>C10</f>
        <v>100000</v>
      </c>
    </row>
    <row r="14" spans="2:6">
      <c r="B14" t="s">
        <v>107</v>
      </c>
      <c r="C14" s="30">
        <f ca="1">TODAY()</f>
        <v>45733</v>
      </c>
      <c r="E14" t="s">
        <v>108</v>
      </c>
      <c r="F14" s="16">
        <f ca="1">EDATE(C14,C12*12)</f>
        <v>47559</v>
      </c>
    </row>
    <row r="17" spans="2:8" ht="19">
      <c r="B17" s="4" t="s">
        <v>52</v>
      </c>
    </row>
    <row r="19" spans="2:8" ht="34">
      <c r="B19" s="10" t="s">
        <v>109</v>
      </c>
      <c r="C19" s="10" t="s">
        <v>110</v>
      </c>
      <c r="D19" s="10" t="s">
        <v>111</v>
      </c>
      <c r="E19" s="10" t="s">
        <v>33</v>
      </c>
      <c r="F19" s="10" t="s">
        <v>112</v>
      </c>
      <c r="G19" s="10" t="s">
        <v>113</v>
      </c>
    </row>
    <row r="20" spans="2:8">
      <c r="B20" s="17">
        <v>1</v>
      </c>
      <c r="C20" s="19">
        <f ca="1">EDATE(C14,1)</f>
        <v>45764</v>
      </c>
      <c r="D20" s="31">
        <f>F10</f>
        <v>-1910.1162171782241</v>
      </c>
      <c r="E20" s="31">
        <f t="shared" ref="E20:E83" si="0">D20-F20</f>
        <v>-2368.4495505115574</v>
      </c>
      <c r="F20" s="31">
        <f>H20*C11/C13</f>
        <v>458.33333333333331</v>
      </c>
      <c r="G20" s="32">
        <f>C10-E20</f>
        <v>102368.44955051156</v>
      </c>
      <c r="H20">
        <f>C10</f>
        <v>100000</v>
      </c>
    </row>
    <row r="21" spans="2:8">
      <c r="B21" s="18">
        <f>2</f>
        <v>2</v>
      </c>
      <c r="C21" s="19">
        <f ca="1">EDATE(C14,2)</f>
        <v>45794</v>
      </c>
      <c r="D21" s="31">
        <f>F10</f>
        <v>-1910.1162171782241</v>
      </c>
      <c r="E21" s="31">
        <f t="shared" si="0"/>
        <v>-2379.3049442847355</v>
      </c>
      <c r="F21" s="31">
        <f>H21*C11/C13</f>
        <v>469.18872710651135</v>
      </c>
      <c r="G21" s="32">
        <f t="shared" ref="G21:G84" si="1">G20-E21</f>
        <v>104747.7544947963</v>
      </c>
      <c r="H21">
        <f t="shared" ref="H21:H84" si="2">G20</f>
        <v>102368.44955051156</v>
      </c>
    </row>
    <row r="22" spans="2:8">
      <c r="B22" s="18">
        <f>3</f>
        <v>3</v>
      </c>
      <c r="C22" s="19">
        <f ca="1">EDATE(C14,3)</f>
        <v>45825</v>
      </c>
      <c r="D22" s="31">
        <f>F10</f>
        <v>-1910.1162171782241</v>
      </c>
      <c r="E22" s="31">
        <f t="shared" si="0"/>
        <v>-2390.2100919460404</v>
      </c>
      <c r="F22" s="31">
        <f>H22*C11/C13</f>
        <v>480.09387476781643</v>
      </c>
      <c r="G22" s="32">
        <f t="shared" si="1"/>
        <v>107137.96458674234</v>
      </c>
      <c r="H22">
        <f t="shared" si="2"/>
        <v>104747.7544947963</v>
      </c>
    </row>
    <row r="23" spans="2:8">
      <c r="B23" s="18">
        <f>4</f>
        <v>4</v>
      </c>
      <c r="C23" s="19">
        <f ca="1">EDATE(C14,4)</f>
        <v>45855</v>
      </c>
      <c r="D23" s="31">
        <f>F10</f>
        <v>-1910.1162171782241</v>
      </c>
      <c r="E23" s="31">
        <f t="shared" si="0"/>
        <v>-2401.1652215341264</v>
      </c>
      <c r="F23" s="31">
        <f>H23*C11/C13</f>
        <v>491.04900435590235</v>
      </c>
      <c r="G23" s="32">
        <f t="shared" si="1"/>
        <v>109539.12980827647</v>
      </c>
      <c r="H23">
        <f t="shared" si="2"/>
        <v>107137.96458674234</v>
      </c>
    </row>
    <row r="24" spans="2:8">
      <c r="B24" s="18">
        <f>5</f>
        <v>5</v>
      </c>
      <c r="C24" s="19">
        <f ca="1">EDATE(C14,5)</f>
        <v>45886</v>
      </c>
      <c r="D24" s="31">
        <f>F10</f>
        <v>-1910.1162171782241</v>
      </c>
      <c r="E24" s="31">
        <f t="shared" si="0"/>
        <v>-2412.1705621328247</v>
      </c>
      <c r="F24" s="31">
        <f>H24*C11/C13</f>
        <v>502.05434495460048</v>
      </c>
      <c r="G24" s="32">
        <f t="shared" si="1"/>
        <v>111951.3003704093</v>
      </c>
      <c r="H24">
        <f t="shared" si="2"/>
        <v>109539.12980827647</v>
      </c>
    </row>
    <row r="25" spans="2:8">
      <c r="B25" s="18">
        <f>6</f>
        <v>6</v>
      </c>
      <c r="C25" s="19">
        <f ca="1">EDATE(C14,6)</f>
        <v>45917</v>
      </c>
      <c r="D25" s="31">
        <f>F10</f>
        <v>-1910.1162171782241</v>
      </c>
      <c r="E25" s="31">
        <f t="shared" si="0"/>
        <v>-2423.2263438759333</v>
      </c>
      <c r="F25" s="31">
        <f>H25*C11/C13</f>
        <v>513.11012669770923</v>
      </c>
      <c r="G25" s="32">
        <f t="shared" si="1"/>
        <v>114374.52671428524</v>
      </c>
      <c r="H25">
        <f t="shared" si="2"/>
        <v>111951.3003704093</v>
      </c>
    </row>
    <row r="26" spans="2:8">
      <c r="B26" s="18">
        <f>7</f>
        <v>7</v>
      </c>
      <c r="C26" s="19">
        <f ca="1">EDATE(C14,7)</f>
        <v>45947</v>
      </c>
      <c r="D26" s="31">
        <f>F10</f>
        <v>-1910.1162171782241</v>
      </c>
      <c r="E26" s="31">
        <f t="shared" si="0"/>
        <v>-2434.3327979520313</v>
      </c>
      <c r="F26" s="31">
        <f>H26*C11/C13</f>
        <v>524.21658077380732</v>
      </c>
      <c r="G26" s="32">
        <f t="shared" si="1"/>
        <v>116808.85951223726</v>
      </c>
      <c r="H26">
        <f t="shared" si="2"/>
        <v>114374.52671428524</v>
      </c>
    </row>
    <row r="27" spans="2:8">
      <c r="B27" s="18">
        <f>8</f>
        <v>8</v>
      </c>
      <c r="C27" s="19">
        <f ca="1">EDATE(C14,8)</f>
        <v>45978</v>
      </c>
      <c r="D27" s="31">
        <f>F10</f>
        <v>-1910.1162171782241</v>
      </c>
      <c r="E27" s="31">
        <f t="shared" si="0"/>
        <v>-2445.4901566093117</v>
      </c>
      <c r="F27" s="31">
        <f>H27*C11/C13</f>
        <v>535.37393943108748</v>
      </c>
      <c r="G27" s="32">
        <f t="shared" si="1"/>
        <v>119254.34966884658</v>
      </c>
      <c r="H27">
        <f t="shared" si="2"/>
        <v>116808.85951223726</v>
      </c>
    </row>
    <row r="28" spans="2:8">
      <c r="B28" s="18">
        <f>9</f>
        <v>9</v>
      </c>
      <c r="C28" s="19">
        <f ca="1">EDATE(C14,9)</f>
        <v>46008</v>
      </c>
      <c r="D28" s="31">
        <f>F10</f>
        <v>-1910.1162171782241</v>
      </c>
      <c r="E28" s="31">
        <f t="shared" si="0"/>
        <v>-2456.6986531604375</v>
      </c>
      <c r="F28" s="31">
        <f>H28*C11/C13</f>
        <v>546.5824359822135</v>
      </c>
      <c r="G28" s="32">
        <f t="shared" si="1"/>
        <v>121711.04832200702</v>
      </c>
      <c r="H28">
        <f t="shared" si="2"/>
        <v>119254.34966884658</v>
      </c>
    </row>
    <row r="29" spans="2:8">
      <c r="B29" s="18">
        <f>10</f>
        <v>10</v>
      </c>
      <c r="C29" s="19">
        <f ca="1">EDATE(C14,10)</f>
        <v>46039</v>
      </c>
      <c r="D29" s="31">
        <f>F10</f>
        <v>-1910.1162171782241</v>
      </c>
      <c r="E29" s="31">
        <f t="shared" si="0"/>
        <v>-2467.958521987423</v>
      </c>
      <c r="F29" s="31">
        <f>H29*C11/C13</f>
        <v>557.84230480919882</v>
      </c>
      <c r="G29" s="32">
        <f t="shared" si="1"/>
        <v>124179.00684399444</v>
      </c>
      <c r="H29">
        <f t="shared" si="2"/>
        <v>121711.04832200702</v>
      </c>
    </row>
    <row r="30" spans="2:8">
      <c r="B30" s="18">
        <f>11</f>
        <v>11</v>
      </c>
      <c r="C30" s="19">
        <f ca="1">EDATE(C14,11)</f>
        <v>46070</v>
      </c>
      <c r="D30" s="31">
        <f>F10</f>
        <v>-1910.1162171782241</v>
      </c>
      <c r="E30" s="31">
        <f t="shared" si="0"/>
        <v>-2479.269998546532</v>
      </c>
      <c r="F30" s="31">
        <f>H30*C11/C13</f>
        <v>569.15378136830793</v>
      </c>
      <c r="G30" s="32">
        <f t="shared" si="1"/>
        <v>126658.27684254097</v>
      </c>
      <c r="H30">
        <f t="shared" si="2"/>
        <v>124179.00684399444</v>
      </c>
    </row>
    <row r="31" spans="2:8">
      <c r="B31" s="18">
        <f>12</f>
        <v>12</v>
      </c>
      <c r="C31" s="19">
        <f ca="1">EDATE(C14,12)</f>
        <v>46098</v>
      </c>
      <c r="D31" s="31">
        <f>F10</f>
        <v>-1910.1162171782241</v>
      </c>
      <c r="E31" s="31">
        <f t="shared" si="0"/>
        <v>-2490.6333193732034</v>
      </c>
      <c r="F31" s="31">
        <f>H31*C11/C13</f>
        <v>580.51710219497943</v>
      </c>
      <c r="G31" s="32">
        <f t="shared" si="1"/>
        <v>129148.91016191417</v>
      </c>
      <c r="H31">
        <f t="shared" si="2"/>
        <v>126658.27684254097</v>
      </c>
    </row>
    <row r="32" spans="2:8">
      <c r="B32" s="18">
        <f>13</f>
        <v>13</v>
      </c>
      <c r="C32" s="19">
        <f ca="1">EDATE(C14,13)</f>
        <v>46129</v>
      </c>
      <c r="D32" s="31">
        <f>F10</f>
        <v>-1910.1162171782241</v>
      </c>
      <c r="E32" s="31">
        <f t="shared" si="0"/>
        <v>-2502.0487220869973</v>
      </c>
      <c r="F32" s="31">
        <f>H32*C11/C13</f>
        <v>591.93250490877324</v>
      </c>
      <c r="G32" s="32">
        <f t="shared" si="1"/>
        <v>131650.95888400116</v>
      </c>
      <c r="H32">
        <f t="shared" si="2"/>
        <v>129148.91016191417</v>
      </c>
    </row>
    <row r="33" spans="2:8">
      <c r="B33" s="18">
        <f>14</f>
        <v>14</v>
      </c>
      <c r="C33" s="19">
        <f ca="1">EDATE(C14,14)</f>
        <v>46159</v>
      </c>
      <c r="D33" s="31">
        <f>F10</f>
        <v>-1910.1162171782241</v>
      </c>
      <c r="E33" s="31">
        <f t="shared" si="0"/>
        <v>-2513.5164453965626</v>
      </c>
      <c r="F33" s="31">
        <f>H33*C11/C13</f>
        <v>603.40022821833861</v>
      </c>
      <c r="G33" s="32">
        <f t="shared" si="1"/>
        <v>134164.47532939771</v>
      </c>
      <c r="H33">
        <f t="shared" si="2"/>
        <v>131650.95888400116</v>
      </c>
    </row>
    <row r="34" spans="2:8">
      <c r="B34" s="18">
        <f>15</f>
        <v>15</v>
      </c>
      <c r="C34" s="19">
        <f ca="1">EDATE(C14,15)</f>
        <v>46190</v>
      </c>
      <c r="D34" s="31">
        <f>F10</f>
        <v>-1910.1162171782241</v>
      </c>
      <c r="E34" s="31">
        <f t="shared" si="0"/>
        <v>-2525.0367291046305</v>
      </c>
      <c r="F34" s="31">
        <f>H34*C11/C13</f>
        <v>614.92051192640622</v>
      </c>
      <c r="G34" s="32">
        <f t="shared" si="1"/>
        <v>136689.51205850235</v>
      </c>
      <c r="H34">
        <f t="shared" si="2"/>
        <v>134164.47532939771</v>
      </c>
    </row>
    <row r="35" spans="2:8">
      <c r="B35" s="18">
        <f>16</f>
        <v>16</v>
      </c>
      <c r="C35" s="19">
        <f ca="1">EDATE(C14,16)</f>
        <v>46220</v>
      </c>
      <c r="D35" s="31">
        <f>F10</f>
        <v>-1910.1162171782241</v>
      </c>
      <c r="E35" s="31">
        <f t="shared" si="0"/>
        <v>-2536.6098141130265</v>
      </c>
      <c r="F35" s="31">
        <f>H35*C11/C13</f>
        <v>626.49359693480244</v>
      </c>
      <c r="G35" s="32">
        <f t="shared" si="1"/>
        <v>139226.12187261539</v>
      </c>
      <c r="H35">
        <f t="shared" si="2"/>
        <v>136689.51205850235</v>
      </c>
    </row>
    <row r="36" spans="2:8">
      <c r="B36" s="18">
        <f>17</f>
        <v>17</v>
      </c>
      <c r="C36" s="19">
        <f ca="1">EDATE(C14,17)</f>
        <v>46251</v>
      </c>
      <c r="D36" s="31">
        <f>F10</f>
        <v>-1910.1162171782241</v>
      </c>
      <c r="E36" s="31">
        <f t="shared" si="0"/>
        <v>-2548.2359424277115</v>
      </c>
      <c r="F36" s="31">
        <f>H36*C11/C13</f>
        <v>638.11972524948726</v>
      </c>
      <c r="G36" s="32">
        <f t="shared" si="1"/>
        <v>141774.3578150431</v>
      </c>
      <c r="H36">
        <f t="shared" si="2"/>
        <v>139226.12187261539</v>
      </c>
    </row>
    <row r="37" spans="2:8">
      <c r="B37" s="18">
        <f>18</f>
        <v>18</v>
      </c>
      <c r="C37" s="19">
        <f ca="1">EDATE(C14,18)</f>
        <v>46282</v>
      </c>
      <c r="D37" s="31">
        <f>F10</f>
        <v>-1910.1162171782241</v>
      </c>
      <c r="E37" s="31">
        <f t="shared" si="0"/>
        <v>-2559.9153571638385</v>
      </c>
      <c r="F37" s="31">
        <f>H37*C11/C13</f>
        <v>649.79913998561426</v>
      </c>
      <c r="G37" s="32">
        <f t="shared" si="1"/>
        <v>144334.27317220694</v>
      </c>
      <c r="H37">
        <f t="shared" si="2"/>
        <v>141774.3578150431</v>
      </c>
    </row>
    <row r="38" spans="2:8">
      <c r="B38" s="18">
        <f>19</f>
        <v>19</v>
      </c>
      <c r="C38" s="19">
        <f ca="1">EDATE(C14,19)</f>
        <v>46312</v>
      </c>
      <c r="D38" s="31">
        <f>F10</f>
        <v>-1910.1162171782241</v>
      </c>
      <c r="E38" s="31">
        <f t="shared" si="0"/>
        <v>-2571.6483025508392</v>
      </c>
      <c r="F38" s="31">
        <f>H38*C11/C13</f>
        <v>661.53208537261514</v>
      </c>
      <c r="G38" s="32">
        <f t="shared" si="1"/>
        <v>146905.92147475778</v>
      </c>
      <c r="H38">
        <f t="shared" si="2"/>
        <v>144334.27317220694</v>
      </c>
    </row>
    <row r="39" spans="2:8">
      <c r="B39" s="18">
        <f>20</f>
        <v>20</v>
      </c>
      <c r="C39" s="19">
        <f ca="1">EDATE(C14,20)</f>
        <v>46343</v>
      </c>
      <c r="D39" s="31">
        <f>F10</f>
        <v>-1910.1162171782241</v>
      </c>
      <c r="E39" s="31">
        <f t="shared" si="0"/>
        <v>-2583.4350239375308</v>
      </c>
      <c r="F39" s="31">
        <f>H39*C11/C13</f>
        <v>673.31880675930654</v>
      </c>
      <c r="G39" s="32">
        <f t="shared" si="1"/>
        <v>149489.3564986953</v>
      </c>
      <c r="H39">
        <f t="shared" si="2"/>
        <v>146905.92147475778</v>
      </c>
    </row>
    <row r="40" spans="2:8">
      <c r="B40" s="18">
        <f>21</f>
        <v>21</v>
      </c>
      <c r="C40" s="19">
        <f ca="1">EDATE(C14,21)</f>
        <v>46373</v>
      </c>
      <c r="D40" s="31">
        <f>F10</f>
        <v>-1910.1162171782241</v>
      </c>
      <c r="E40" s="31">
        <f t="shared" si="0"/>
        <v>-2595.275767797244</v>
      </c>
      <c r="F40" s="31">
        <f>H40*C11/C13</f>
        <v>685.15955061902014</v>
      </c>
      <c r="G40" s="32">
        <f t="shared" si="1"/>
        <v>152084.63226649255</v>
      </c>
      <c r="H40">
        <f t="shared" si="2"/>
        <v>149489.3564986953</v>
      </c>
    </row>
    <row r="41" spans="2:8">
      <c r="B41" s="18">
        <f>22</f>
        <v>22</v>
      </c>
      <c r="C41" s="19">
        <f ca="1">EDATE(C14,22)</f>
        <v>46404</v>
      </c>
      <c r="D41" s="31">
        <f>F10</f>
        <v>-1910.1162171782241</v>
      </c>
      <c r="E41" s="31">
        <f t="shared" si="0"/>
        <v>-2607.1707817329816</v>
      </c>
      <c r="F41" s="31">
        <f>H41*C11/C13</f>
        <v>697.05456455475758</v>
      </c>
      <c r="G41" s="32">
        <f t="shared" si="1"/>
        <v>154691.80304822553</v>
      </c>
      <c r="H41">
        <f t="shared" si="2"/>
        <v>152084.63226649255</v>
      </c>
    </row>
    <row r="42" spans="2:8">
      <c r="B42" s="18">
        <f>23</f>
        <v>23</v>
      </c>
      <c r="C42" s="19">
        <f ca="1">EDATE(C14,23)</f>
        <v>46435</v>
      </c>
      <c r="D42" s="31">
        <f>F10</f>
        <v>-1910.1162171782241</v>
      </c>
      <c r="E42" s="31">
        <f t="shared" si="0"/>
        <v>-2619.1203144825913</v>
      </c>
      <c r="F42" s="31">
        <f>H42*C11/C13</f>
        <v>709.00409730436695</v>
      </c>
      <c r="G42" s="32">
        <f t="shared" si="1"/>
        <v>157310.92336270813</v>
      </c>
      <c r="H42">
        <f t="shared" si="2"/>
        <v>154691.80304822553</v>
      </c>
    </row>
    <row r="43" spans="2:8">
      <c r="B43" s="18">
        <f>24</f>
        <v>24</v>
      </c>
      <c r="C43" s="19">
        <f ca="1">EDATE(C14,24)</f>
        <v>46463</v>
      </c>
      <c r="D43" s="31">
        <f>F10</f>
        <v>-1910.1162171782241</v>
      </c>
      <c r="E43" s="31">
        <f t="shared" si="0"/>
        <v>-2631.1246159239699</v>
      </c>
      <c r="F43" s="31">
        <f>H43*C11/C13</f>
        <v>721.00839874574558</v>
      </c>
      <c r="G43" s="32">
        <f t="shared" si="1"/>
        <v>159942.04797863209</v>
      </c>
      <c r="H43">
        <f t="shared" si="2"/>
        <v>157310.92336270813</v>
      </c>
    </row>
    <row r="44" spans="2:8">
      <c r="B44" s="18">
        <f>25</f>
        <v>25</v>
      </c>
      <c r="C44" s="19">
        <f ca="1">EDATE(C14,25)</f>
        <v>46494</v>
      </c>
      <c r="D44" s="31">
        <f>F10</f>
        <v>-1910.1162171782241</v>
      </c>
      <c r="E44" s="31">
        <f t="shared" si="0"/>
        <v>-2643.1839370802882</v>
      </c>
      <c r="F44" s="31">
        <f>H44*C11/C13</f>
        <v>733.0677199020638</v>
      </c>
      <c r="G44" s="32">
        <f t="shared" si="1"/>
        <v>162585.23191571239</v>
      </c>
      <c r="H44">
        <f t="shared" si="2"/>
        <v>159942.04797863209</v>
      </c>
    </row>
    <row r="45" spans="2:8">
      <c r="B45" s="18">
        <f>26</f>
        <v>26</v>
      </c>
      <c r="C45" s="19">
        <f ca="1">EDATE(C14,26)</f>
        <v>46524</v>
      </c>
      <c r="D45" s="31">
        <f>F10</f>
        <v>-1910.1162171782241</v>
      </c>
      <c r="E45" s="31">
        <f t="shared" si="0"/>
        <v>-2655.2985301252393</v>
      </c>
      <c r="F45" s="31">
        <f>H45*C11/C13</f>
        <v>745.18231294701502</v>
      </c>
      <c r="G45" s="32">
        <f t="shared" si="1"/>
        <v>165240.53044583762</v>
      </c>
      <c r="H45">
        <f t="shared" si="2"/>
        <v>162585.23191571239</v>
      </c>
    </row>
    <row r="46" spans="2:8">
      <c r="B46" s="18">
        <f>27</f>
        <v>27</v>
      </c>
      <c r="C46" s="19">
        <f ca="1">EDATE(C14,27)</f>
        <v>46555</v>
      </c>
      <c r="D46" s="31">
        <f>F10</f>
        <v>-1910.1162171782241</v>
      </c>
      <c r="E46" s="31">
        <f t="shared" si="0"/>
        <v>-2667.4686483883133</v>
      </c>
      <c r="F46" s="31">
        <f>H46*C11/C13</f>
        <v>757.35243121008909</v>
      </c>
      <c r="G46" s="32">
        <f t="shared" si="1"/>
        <v>167907.99909422593</v>
      </c>
      <c r="H46">
        <f t="shared" si="2"/>
        <v>165240.53044583762</v>
      </c>
    </row>
    <row r="47" spans="2:8">
      <c r="B47" s="18">
        <f>28</f>
        <v>28</v>
      </c>
      <c r="C47" s="19">
        <f ca="1">EDATE(C14,28)</f>
        <v>46585</v>
      </c>
      <c r="D47" s="31">
        <f>F10</f>
        <v>-1910.1162171782241</v>
      </c>
      <c r="E47" s="31">
        <f t="shared" si="0"/>
        <v>-2679.6945463600932</v>
      </c>
      <c r="F47" s="31">
        <f>H47*C11/C13</f>
        <v>769.57832918186887</v>
      </c>
      <c r="G47" s="32">
        <f t="shared" si="1"/>
        <v>170587.69364058602</v>
      </c>
      <c r="H47">
        <f t="shared" si="2"/>
        <v>167907.99909422593</v>
      </c>
    </row>
    <row r="48" spans="2:8">
      <c r="B48" s="18">
        <f>29</f>
        <v>29</v>
      </c>
      <c r="C48" s="19">
        <f ca="1">EDATE(C14,29)</f>
        <v>46616</v>
      </c>
      <c r="D48" s="31">
        <f>F10</f>
        <v>-1910.1162171782241</v>
      </c>
      <c r="E48" s="31">
        <f t="shared" si="0"/>
        <v>-2691.9764796975769</v>
      </c>
      <c r="F48" s="31">
        <f>H48*C11/C13</f>
        <v>781.86026251935255</v>
      </c>
      <c r="G48" s="32">
        <f t="shared" si="1"/>
        <v>173279.67012028358</v>
      </c>
      <c r="H48">
        <f t="shared" si="2"/>
        <v>170587.69364058602</v>
      </c>
    </row>
    <row r="49" spans="2:8">
      <c r="B49" s="18">
        <f>30</f>
        <v>30</v>
      </c>
      <c r="C49" s="19">
        <f ca="1">EDATE(C14,30)</f>
        <v>46647</v>
      </c>
      <c r="D49" s="31">
        <f>F10</f>
        <v>-1910.1162171782241</v>
      </c>
      <c r="E49" s="31">
        <f t="shared" si="0"/>
        <v>-2704.314705229524</v>
      </c>
      <c r="F49" s="31">
        <f>H49*C11/C13</f>
        <v>794.19848805129971</v>
      </c>
      <c r="G49" s="32">
        <f t="shared" si="1"/>
        <v>175983.98482551309</v>
      </c>
      <c r="H49">
        <f t="shared" si="2"/>
        <v>173279.67012028358</v>
      </c>
    </row>
    <row r="50" spans="2:8">
      <c r="B50" s="18">
        <f>31</f>
        <v>31</v>
      </c>
      <c r="C50" s="19">
        <f ca="1">EDATE(C14,31)</f>
        <v>46677</v>
      </c>
      <c r="D50" s="31">
        <f>F10</f>
        <v>-1910.1162171782241</v>
      </c>
      <c r="E50" s="31">
        <f t="shared" si="0"/>
        <v>-2716.7094809618256</v>
      </c>
      <c r="F50" s="31">
        <f>H50*C11/C13</f>
        <v>806.59326378360174</v>
      </c>
      <c r="G50" s="32">
        <f t="shared" si="1"/>
        <v>178700.69430647491</v>
      </c>
      <c r="H50">
        <f t="shared" si="2"/>
        <v>175983.98482551309</v>
      </c>
    </row>
    <row r="51" spans="2:8">
      <c r="B51" s="18">
        <f>32</f>
        <v>32</v>
      </c>
      <c r="C51" s="19">
        <f ca="1">EDATE(C14,32)</f>
        <v>46708</v>
      </c>
      <c r="D51" s="31">
        <f>F10</f>
        <v>-1910.1162171782241</v>
      </c>
      <c r="E51" s="31">
        <f t="shared" si="0"/>
        <v>-2729.161066082901</v>
      </c>
      <c r="F51" s="31">
        <f>H51*C11/C13</f>
        <v>819.04484890467666</v>
      </c>
      <c r="G51" s="32">
        <f t="shared" si="1"/>
        <v>181429.85537255779</v>
      </c>
      <c r="H51">
        <f t="shared" si="2"/>
        <v>178700.69430647491</v>
      </c>
    </row>
    <row r="52" spans="2:8">
      <c r="B52" s="18">
        <f>33</f>
        <v>33</v>
      </c>
      <c r="C52" s="19">
        <f ca="1">EDATE(C14,33)</f>
        <v>46738</v>
      </c>
      <c r="D52" s="31">
        <f>F10</f>
        <v>-1910.1162171782241</v>
      </c>
      <c r="E52" s="31">
        <f t="shared" si="0"/>
        <v>-2741.6697209691138</v>
      </c>
      <c r="F52" s="31">
        <f>H52*C11/C13</f>
        <v>831.55350379088986</v>
      </c>
      <c r="G52" s="32">
        <f t="shared" si="1"/>
        <v>184171.5250935269</v>
      </c>
      <c r="H52">
        <f t="shared" si="2"/>
        <v>181429.85537255779</v>
      </c>
    </row>
    <row r="53" spans="2:8">
      <c r="B53" s="18">
        <f>34</f>
        <v>34</v>
      </c>
      <c r="C53" s="19">
        <f ca="1">EDATE(C14,34)</f>
        <v>46769</v>
      </c>
      <c r="D53" s="31">
        <f>F10</f>
        <v>-1910.1162171782241</v>
      </c>
      <c r="E53" s="31">
        <f t="shared" si="0"/>
        <v>-2754.2357071902225</v>
      </c>
      <c r="F53" s="31">
        <f>H53*C11/C13</f>
        <v>844.11949001199821</v>
      </c>
      <c r="G53" s="32">
        <f t="shared" si="1"/>
        <v>186925.76080071711</v>
      </c>
      <c r="H53">
        <f t="shared" si="2"/>
        <v>184171.5250935269</v>
      </c>
    </row>
    <row r="54" spans="2:8">
      <c r="B54" s="18">
        <f>35</f>
        <v>35</v>
      </c>
      <c r="C54" s="19">
        <f ca="1">EDATE(C14,35)</f>
        <v>46800</v>
      </c>
      <c r="D54" s="31">
        <f>F10</f>
        <v>-1910.1162171782241</v>
      </c>
      <c r="E54" s="31">
        <f t="shared" si="0"/>
        <v>-2766.8592875148443</v>
      </c>
      <c r="F54" s="31">
        <f>H54*C11/C13</f>
        <v>856.74307033662001</v>
      </c>
      <c r="G54" s="32">
        <f t="shared" si="1"/>
        <v>189692.62008823195</v>
      </c>
      <c r="H54">
        <f t="shared" si="2"/>
        <v>186925.76080071711</v>
      </c>
    </row>
    <row r="55" spans="2:8">
      <c r="B55" s="18">
        <f>36</f>
        <v>36</v>
      </c>
      <c r="C55" s="19">
        <f ca="1">EDATE(C14,36)</f>
        <v>46829</v>
      </c>
      <c r="D55" s="31">
        <f>F10</f>
        <v>-1910.1162171782241</v>
      </c>
      <c r="E55" s="31">
        <f t="shared" si="0"/>
        <v>-2779.5407259159538</v>
      </c>
      <c r="F55" s="31">
        <f>H55*C11/C13</f>
        <v>869.42450873772987</v>
      </c>
      <c r="G55" s="32">
        <f t="shared" si="1"/>
        <v>192472.16081414791</v>
      </c>
      <c r="H55">
        <f t="shared" si="2"/>
        <v>189692.62008823195</v>
      </c>
    </row>
    <row r="56" spans="2:8">
      <c r="B56" s="18">
        <f>37</f>
        <v>37</v>
      </c>
      <c r="C56" s="19">
        <f ca="1">EDATE(C14,37)</f>
        <v>46860</v>
      </c>
      <c r="D56" s="31">
        <f>F10</f>
        <v>-1910.1162171782241</v>
      </c>
      <c r="E56" s="31">
        <f t="shared" si="0"/>
        <v>-2792.2802875764019</v>
      </c>
      <c r="F56" s="31">
        <f>H56*C11/C13</f>
        <v>882.16407039817796</v>
      </c>
      <c r="G56" s="32">
        <f t="shared" si="1"/>
        <v>195264.44110172431</v>
      </c>
      <c r="H56">
        <f t="shared" si="2"/>
        <v>192472.16081414791</v>
      </c>
    </row>
    <row r="57" spans="2:8">
      <c r="B57" s="18">
        <f>38</f>
        <v>38</v>
      </c>
      <c r="C57" s="19">
        <f ca="1">EDATE(C14,38)</f>
        <v>46890</v>
      </c>
      <c r="D57" s="31">
        <f>F10</f>
        <v>-1910.1162171782241</v>
      </c>
      <c r="E57" s="31">
        <f t="shared" si="0"/>
        <v>-2805.0782388944608</v>
      </c>
      <c r="F57" s="31">
        <f>H57*C11/C13</f>
        <v>894.96202171623645</v>
      </c>
      <c r="G57" s="32">
        <f t="shared" si="1"/>
        <v>198069.51934061878</v>
      </c>
      <c r="H57">
        <f t="shared" si="2"/>
        <v>195264.44110172431</v>
      </c>
    </row>
    <row r="58" spans="2:8">
      <c r="B58" s="18">
        <f>39</f>
        <v>39</v>
      </c>
      <c r="C58" s="19">
        <f ca="1">EDATE(C14,39)</f>
        <v>46921</v>
      </c>
      <c r="D58" s="31">
        <f>F10</f>
        <v>-1910.1162171782241</v>
      </c>
      <c r="E58" s="31">
        <f t="shared" si="0"/>
        <v>-2817.9348474893936</v>
      </c>
      <c r="F58" s="31">
        <f>H58*C11/C13</f>
        <v>907.81863031116939</v>
      </c>
      <c r="G58" s="32">
        <f t="shared" si="1"/>
        <v>200887.45418810818</v>
      </c>
      <c r="H58">
        <f t="shared" si="2"/>
        <v>198069.51934061878</v>
      </c>
    </row>
    <row r="59" spans="2:8">
      <c r="B59" s="18">
        <f>40</f>
        <v>40</v>
      </c>
      <c r="C59" s="19">
        <f ca="1">EDATE(C14,40)</f>
        <v>46951</v>
      </c>
      <c r="D59" s="31">
        <f>F10</f>
        <v>-1910.1162171782241</v>
      </c>
      <c r="E59" s="31">
        <f t="shared" si="0"/>
        <v>-2830.8503822070534</v>
      </c>
      <c r="F59" s="31">
        <f>H59*C11/C13</f>
        <v>920.73416502882912</v>
      </c>
      <c r="G59" s="32">
        <f t="shared" si="1"/>
        <v>203718.30457031523</v>
      </c>
      <c r="H59">
        <f t="shared" si="2"/>
        <v>200887.45418810818</v>
      </c>
    </row>
    <row r="60" spans="2:8">
      <c r="B60" s="18">
        <f>41</f>
        <v>41</v>
      </c>
      <c r="C60" s="19">
        <f ca="1">EDATE(C14,41)</f>
        <v>46982</v>
      </c>
      <c r="D60" s="31">
        <f>F10</f>
        <v>-1910.1162171782241</v>
      </c>
      <c r="E60" s="31">
        <f t="shared" si="0"/>
        <v>-2843.8251131255024</v>
      </c>
      <c r="F60" s="31">
        <f>H60*C11/C13</f>
        <v>933.70889594727817</v>
      </c>
      <c r="G60" s="32">
        <f t="shared" si="1"/>
        <v>206562.12968344073</v>
      </c>
      <c r="H60">
        <f t="shared" si="2"/>
        <v>203718.30457031523</v>
      </c>
    </row>
    <row r="61" spans="2:8">
      <c r="B61" s="18">
        <f>42</f>
        <v>42</v>
      </c>
      <c r="C61" s="19">
        <f ca="1">EDATE(C14,42)</f>
        <v>47013</v>
      </c>
      <c r="D61" s="31">
        <f>F10</f>
        <v>-1910.1162171782241</v>
      </c>
      <c r="E61" s="31">
        <f t="shared" si="0"/>
        <v>-2856.8593115606609</v>
      </c>
      <c r="F61" s="31">
        <f>H61*C11/C13</f>
        <v>946.74309438243665</v>
      </c>
      <c r="G61" s="32">
        <f t="shared" si="1"/>
        <v>209418.98899500139</v>
      </c>
      <c r="H61">
        <f t="shared" si="2"/>
        <v>206562.12968344073</v>
      </c>
    </row>
    <row r="62" spans="2:8">
      <c r="B62" s="18">
        <f>43</f>
        <v>43</v>
      </c>
      <c r="C62" s="19">
        <f ca="1">EDATE(C14,43)</f>
        <v>47043</v>
      </c>
      <c r="D62" s="31">
        <f>F10</f>
        <v>-1910.1162171782241</v>
      </c>
      <c r="E62" s="31">
        <f t="shared" si="0"/>
        <v>-2869.9532500719806</v>
      </c>
      <c r="F62" s="31">
        <f>H62*C11/C13</f>
        <v>959.83703289375637</v>
      </c>
      <c r="G62" s="32">
        <f t="shared" si="1"/>
        <v>212288.94224507338</v>
      </c>
      <c r="H62">
        <f t="shared" si="2"/>
        <v>209418.98899500139</v>
      </c>
    </row>
    <row r="63" spans="2:8">
      <c r="B63" s="18">
        <f>44</f>
        <v>44</v>
      </c>
      <c r="C63" s="19">
        <f ca="1">EDATE(C14,44)</f>
        <v>47074</v>
      </c>
      <c r="D63" s="31">
        <f>F10</f>
        <v>-1910.1162171782241</v>
      </c>
      <c r="E63" s="31">
        <f t="shared" si="0"/>
        <v>-2883.1072024681439</v>
      </c>
      <c r="F63" s="31">
        <f>H63*C11/C13</f>
        <v>972.99098528991965</v>
      </c>
      <c r="G63" s="32">
        <f t="shared" si="1"/>
        <v>215172.04944754153</v>
      </c>
      <c r="H63">
        <f t="shared" si="2"/>
        <v>212288.94224507338</v>
      </c>
    </row>
    <row r="64" spans="2:8">
      <c r="B64" s="18">
        <f>45</f>
        <v>45</v>
      </c>
      <c r="C64" s="19">
        <f ca="1">EDATE(C14,45)</f>
        <v>47104</v>
      </c>
      <c r="D64" s="31">
        <f>F10</f>
        <v>-1910.1162171782241</v>
      </c>
      <c r="E64" s="31">
        <f t="shared" si="0"/>
        <v>-2896.3214438127898</v>
      </c>
      <c r="F64" s="31">
        <f>H64*C11/C13</f>
        <v>986.20522663456541</v>
      </c>
      <c r="G64" s="32">
        <f t="shared" si="1"/>
        <v>218068.37089135431</v>
      </c>
      <c r="H64">
        <f t="shared" si="2"/>
        <v>215172.04944754153</v>
      </c>
    </row>
    <row r="65" spans="2:8">
      <c r="B65" s="18">
        <f>46</f>
        <v>46</v>
      </c>
      <c r="C65" s="19">
        <f ca="1">EDATE(C14,46)</f>
        <v>47135</v>
      </c>
      <c r="D65" s="31">
        <f>F10</f>
        <v>-1910.1162171782241</v>
      </c>
      <c r="E65" s="31">
        <f t="shared" si="0"/>
        <v>-2909.5962504302647</v>
      </c>
      <c r="F65" s="31">
        <f>H65*C11/C13</f>
        <v>999.4800332520407</v>
      </c>
      <c r="G65" s="32">
        <f t="shared" si="1"/>
        <v>220977.96714178458</v>
      </c>
      <c r="H65">
        <f t="shared" si="2"/>
        <v>218068.37089135431</v>
      </c>
    </row>
    <row r="66" spans="2:8">
      <c r="B66" s="18">
        <f>47</f>
        <v>47</v>
      </c>
      <c r="C66" s="19">
        <f ca="1">EDATE(C14,47)</f>
        <v>47166</v>
      </c>
      <c r="D66" s="31">
        <f>F10</f>
        <v>-1910.1162171782241</v>
      </c>
      <c r="E66" s="31">
        <f t="shared" si="0"/>
        <v>-2922.9318999114034</v>
      </c>
      <c r="F66" s="31">
        <f>H66*C11/C13</f>
        <v>1012.8156827331794</v>
      </c>
      <c r="G66" s="32">
        <f t="shared" si="1"/>
        <v>223900.89904169599</v>
      </c>
      <c r="H66">
        <f t="shared" si="2"/>
        <v>220977.96714178458</v>
      </c>
    </row>
    <row r="67" spans="2:8">
      <c r="B67" s="18">
        <f>48</f>
        <v>48</v>
      </c>
      <c r="C67" s="19">
        <f ca="1">EDATE(C14,48)</f>
        <v>47194</v>
      </c>
      <c r="D67" s="31">
        <f>F10</f>
        <v>-1910.1162171782241</v>
      </c>
      <c r="E67" s="31">
        <f t="shared" si="0"/>
        <v>-2936.3286711193305</v>
      </c>
      <c r="F67" s="31">
        <f>H67*C11/C13</f>
        <v>1026.2124539411066</v>
      </c>
      <c r="G67" s="32">
        <f t="shared" si="1"/>
        <v>226837.22771281531</v>
      </c>
      <c r="H67">
        <f t="shared" si="2"/>
        <v>223900.89904169599</v>
      </c>
    </row>
    <row r="68" spans="2:8">
      <c r="B68" s="18">
        <f>49</f>
        <v>49</v>
      </c>
      <c r="C68" s="19">
        <f ca="1">EDATE(C14,49)</f>
        <v>47225</v>
      </c>
      <c r="D68" s="31">
        <f>F10</f>
        <v>-1910.1162171782241</v>
      </c>
      <c r="E68" s="31">
        <f t="shared" si="0"/>
        <v>-2949.7868441952942</v>
      </c>
      <c r="F68" s="31">
        <f>H68*C11/C13</f>
        <v>1039.67062701707</v>
      </c>
      <c r="G68" s="32">
        <f t="shared" si="1"/>
        <v>229787.01455701061</v>
      </c>
      <c r="H68">
        <f t="shared" si="2"/>
        <v>226837.22771281531</v>
      </c>
    </row>
    <row r="69" spans="2:8">
      <c r="B69" s="18">
        <f>50</f>
        <v>50</v>
      </c>
      <c r="C69" s="19">
        <f ca="1">EDATE(C14,50)</f>
        <v>47255</v>
      </c>
      <c r="D69" s="31">
        <f>F10</f>
        <v>-1910.1162171782241</v>
      </c>
      <c r="E69" s="31">
        <f t="shared" si="0"/>
        <v>-2963.3067005645225</v>
      </c>
      <c r="F69" s="31">
        <f>H69*C11/C13</f>
        <v>1053.1904833862986</v>
      </c>
      <c r="G69" s="32">
        <f t="shared" si="1"/>
        <v>232750.32125757512</v>
      </c>
      <c r="H69">
        <f t="shared" si="2"/>
        <v>229787.01455701061</v>
      </c>
    </row>
    <row r="70" spans="2:8">
      <c r="B70" s="18">
        <f>51</f>
        <v>51</v>
      </c>
      <c r="C70" s="19">
        <f ca="1">EDATE(C14,51)</f>
        <v>47286</v>
      </c>
      <c r="D70" s="31">
        <f>F10</f>
        <v>-1910.1162171782241</v>
      </c>
      <c r="E70" s="31">
        <f t="shared" si="0"/>
        <v>-2976.8885229421103</v>
      </c>
      <c r="F70" s="31">
        <f>H70*C11/C13</f>
        <v>1066.7723057638859</v>
      </c>
      <c r="G70" s="32">
        <f t="shared" si="1"/>
        <v>235727.20978051724</v>
      </c>
      <c r="H70">
        <f t="shared" si="2"/>
        <v>232750.32125757512</v>
      </c>
    </row>
    <row r="71" spans="2:8">
      <c r="B71" s="18">
        <f>52</f>
        <v>52</v>
      </c>
      <c r="C71" s="19">
        <f ca="1">EDATE(C14,52)</f>
        <v>47316</v>
      </c>
      <c r="D71" s="31">
        <f>F10</f>
        <v>-1910.1162171782241</v>
      </c>
      <c r="E71" s="31">
        <f t="shared" si="0"/>
        <v>-2990.5325953389283</v>
      </c>
      <c r="F71" s="31">
        <f>H71*C11/C13</f>
        <v>1080.416378160704</v>
      </c>
      <c r="G71" s="32">
        <f t="shared" si="1"/>
        <v>238717.74237585618</v>
      </c>
      <c r="H71">
        <f t="shared" si="2"/>
        <v>235727.20978051724</v>
      </c>
    </row>
    <row r="72" spans="2:8">
      <c r="B72" s="18">
        <f>53</f>
        <v>53</v>
      </c>
      <c r="C72" s="19">
        <f ca="1">EDATE(C14,53)</f>
        <v>47347</v>
      </c>
      <c r="D72" s="31">
        <f>F10</f>
        <v>-1910.1162171782241</v>
      </c>
      <c r="E72" s="31">
        <f t="shared" si="0"/>
        <v>-3004.2392030675651</v>
      </c>
      <c r="F72" s="31">
        <f>H72*C11/C13</f>
        <v>1094.122985889341</v>
      </c>
      <c r="G72" s="32">
        <f t="shared" si="1"/>
        <v>241721.98157892373</v>
      </c>
      <c r="H72">
        <f t="shared" si="2"/>
        <v>238717.74237585618</v>
      </c>
    </row>
    <row r="73" spans="2:8">
      <c r="B73" s="18">
        <f>54</f>
        <v>54</v>
      </c>
      <c r="C73" s="19">
        <f ca="1">EDATE(C14,54)</f>
        <v>47378</v>
      </c>
      <c r="D73" s="31">
        <f>F10</f>
        <v>-1910.1162171782241</v>
      </c>
      <c r="E73" s="31">
        <f t="shared" si="0"/>
        <v>-3018.0086327482913</v>
      </c>
      <c r="F73" s="31">
        <f>H73*C11/C13</f>
        <v>1107.8924155700672</v>
      </c>
      <c r="G73" s="32">
        <f t="shared" si="1"/>
        <v>244739.99021167203</v>
      </c>
      <c r="H73">
        <f t="shared" si="2"/>
        <v>241721.98157892373</v>
      </c>
    </row>
    <row r="74" spans="2:8">
      <c r="B74" s="18">
        <f>55</f>
        <v>55</v>
      </c>
      <c r="C74" s="19">
        <f ca="1">EDATE(C14,55)</f>
        <v>47408</v>
      </c>
      <c r="D74" s="31">
        <f>F10</f>
        <v>-1910.1162171782241</v>
      </c>
      <c r="E74" s="31">
        <f t="shared" si="0"/>
        <v>-3031.8411723150543</v>
      </c>
      <c r="F74" s="31">
        <f>H74*C11/C13</f>
        <v>1121.7249551368302</v>
      </c>
      <c r="G74" s="32">
        <f t="shared" si="1"/>
        <v>247771.8313839871</v>
      </c>
      <c r="H74">
        <f t="shared" si="2"/>
        <v>244739.99021167203</v>
      </c>
    </row>
    <row r="75" spans="2:8">
      <c r="B75" s="18">
        <f>56</f>
        <v>56</v>
      </c>
      <c r="C75" s="19">
        <f ca="1">EDATE(C14,56)</f>
        <v>47439</v>
      </c>
      <c r="D75" s="31">
        <f>F10</f>
        <v>-1910.1162171782241</v>
      </c>
      <c r="E75" s="31">
        <f t="shared" si="0"/>
        <v>-3045.7371110214981</v>
      </c>
      <c r="F75" s="31">
        <f>H75*C11/C13</f>
        <v>1135.6208938432742</v>
      </c>
      <c r="G75" s="32">
        <f t="shared" si="1"/>
        <v>250817.5684950086</v>
      </c>
      <c r="H75">
        <f t="shared" si="2"/>
        <v>247771.8313839871</v>
      </c>
    </row>
    <row r="76" spans="2:8">
      <c r="B76" s="18">
        <f>57</f>
        <v>57</v>
      </c>
      <c r="C76" s="19">
        <f ca="1">EDATE(C14,57)</f>
        <v>47469</v>
      </c>
      <c r="D76" s="31">
        <f>F10</f>
        <v>-1910.1162171782241</v>
      </c>
      <c r="E76" s="31">
        <f t="shared" si="0"/>
        <v>-3059.6967394470134</v>
      </c>
      <c r="F76" s="31">
        <f>H76*C11/C13</f>
        <v>1149.5805222687893</v>
      </c>
      <c r="G76" s="32">
        <f t="shared" si="1"/>
        <v>253877.26523445561</v>
      </c>
      <c r="H76">
        <f t="shared" si="2"/>
        <v>250817.5684950086</v>
      </c>
    </row>
    <row r="77" spans="2:8">
      <c r="B77" s="18">
        <f>58</f>
        <v>58</v>
      </c>
      <c r="C77" s="19">
        <f ca="1">EDATE(C14,58)</f>
        <v>47500</v>
      </c>
      <c r="D77" s="31">
        <f>F10</f>
        <v>-1910.1162171782241</v>
      </c>
      <c r="E77" s="31">
        <f t="shared" si="0"/>
        <v>-3073.7203495028125</v>
      </c>
      <c r="F77" s="31">
        <f>H77*C11/C13</f>
        <v>1163.6041323245884</v>
      </c>
      <c r="G77" s="32">
        <f t="shared" si="1"/>
        <v>256950.98558395842</v>
      </c>
      <c r="H77">
        <f t="shared" si="2"/>
        <v>253877.26523445561</v>
      </c>
    </row>
    <row r="78" spans="2:8">
      <c r="B78" s="18">
        <f>59</f>
        <v>59</v>
      </c>
      <c r="C78" s="19">
        <f ca="1">EDATE(C14,59)</f>
        <v>47531</v>
      </c>
      <c r="D78" s="31">
        <f>F10</f>
        <v>-1910.1162171782241</v>
      </c>
      <c r="E78" s="31">
        <f t="shared" si="0"/>
        <v>-3087.8082344380337</v>
      </c>
      <c r="F78" s="31">
        <f>H78*C11/C13</f>
        <v>1177.6920172598095</v>
      </c>
      <c r="G78" s="32">
        <f t="shared" si="1"/>
        <v>260038.79381839646</v>
      </c>
      <c r="H78">
        <f t="shared" si="2"/>
        <v>256950.98558395842</v>
      </c>
    </row>
    <row r="79" spans="2:8">
      <c r="B79" s="18">
        <f>60</f>
        <v>60</v>
      </c>
      <c r="C79" s="19">
        <f ca="1">EDATE(C14,60)</f>
        <v>47559</v>
      </c>
      <c r="D79" s="31">
        <f>F10</f>
        <v>-1910.1162171782241</v>
      </c>
      <c r="E79" s="31">
        <f t="shared" si="0"/>
        <v>-3101.9606888458748</v>
      </c>
      <c r="F79" s="31">
        <f>H79*C11/C13</f>
        <v>1191.8444716676504</v>
      </c>
      <c r="G79" s="32">
        <f t="shared" si="1"/>
        <v>263140.75450724235</v>
      </c>
      <c r="H79">
        <f t="shared" si="2"/>
        <v>260038.79381839646</v>
      </c>
    </row>
    <row r="80" spans="2:8">
      <c r="B80" s="18">
        <f>61</f>
        <v>61</v>
      </c>
      <c r="C80" s="19">
        <f ca="1">EDATE(C14,61)</f>
        <v>47590</v>
      </c>
      <c r="D80" s="31">
        <f>F10</f>
        <v>-1910.1162171782241</v>
      </c>
      <c r="E80" s="31">
        <f t="shared" si="0"/>
        <v>-3116.1780086697518</v>
      </c>
      <c r="F80" s="31">
        <f>H80*C11/C13</f>
        <v>1206.0617914915274</v>
      </c>
      <c r="G80" s="32">
        <f t="shared" si="1"/>
        <v>266256.93251591211</v>
      </c>
      <c r="H80">
        <f t="shared" si="2"/>
        <v>263140.75450724235</v>
      </c>
    </row>
    <row r="81" spans="2:8">
      <c r="B81" s="18">
        <f>62</f>
        <v>62</v>
      </c>
      <c r="C81" s="19">
        <f ca="1">EDATE(C14,62)</f>
        <v>47620</v>
      </c>
      <c r="D81" s="31">
        <f>F10</f>
        <v>-1910.1162171782241</v>
      </c>
      <c r="E81" s="31">
        <f t="shared" si="0"/>
        <v>-3130.4604912094878</v>
      </c>
      <c r="F81" s="31">
        <f>H81*C11/C13</f>
        <v>1220.3442740312637</v>
      </c>
      <c r="G81" s="32">
        <f t="shared" si="1"/>
        <v>269387.39300712157</v>
      </c>
      <c r="H81">
        <f t="shared" si="2"/>
        <v>266256.93251591211</v>
      </c>
    </row>
    <row r="82" spans="2:8">
      <c r="B82" s="18">
        <f>63</f>
        <v>63</v>
      </c>
      <c r="C82" s="19">
        <f ca="1">EDATE(C14,63)</f>
        <v>47651</v>
      </c>
      <c r="D82" s="31">
        <f>F10</f>
        <v>-1910.1162171782241</v>
      </c>
      <c r="E82" s="31">
        <f t="shared" si="0"/>
        <v>-3144.8084351275311</v>
      </c>
      <c r="F82" s="31">
        <f>H82*C11/C13</f>
        <v>1234.6922179493072</v>
      </c>
      <c r="G82" s="32">
        <f t="shared" si="1"/>
        <v>272532.20144224912</v>
      </c>
      <c r="H82">
        <f t="shared" si="2"/>
        <v>269387.39300712157</v>
      </c>
    </row>
    <row r="83" spans="2:8">
      <c r="B83" s="18">
        <f>64</f>
        <v>64</v>
      </c>
      <c r="C83" s="19">
        <f ca="1">EDATE(C14,64)</f>
        <v>47681</v>
      </c>
      <c r="D83" s="31">
        <f>F10</f>
        <v>-1910.1162171782241</v>
      </c>
      <c r="E83" s="31">
        <f t="shared" si="0"/>
        <v>-3159.2221404551992</v>
      </c>
      <c r="F83" s="31">
        <f>H83*C11/C13</f>
        <v>1249.1059232769751</v>
      </c>
      <c r="G83" s="32">
        <f t="shared" si="1"/>
        <v>275691.42358270433</v>
      </c>
      <c r="H83">
        <f t="shared" si="2"/>
        <v>272532.20144224912</v>
      </c>
    </row>
    <row r="84" spans="2:8">
      <c r="B84" s="18">
        <f>65</f>
        <v>65</v>
      </c>
      <c r="C84" s="19">
        <f ca="1">EDATE(C14,65)</f>
        <v>47712</v>
      </c>
      <c r="D84" s="31">
        <f>F10</f>
        <v>-1910.1162171782241</v>
      </c>
      <c r="E84" s="31">
        <f t="shared" ref="E84:E147" si="3">D84-F84</f>
        <v>-3173.7019085989523</v>
      </c>
      <c r="F84" s="31">
        <f>H84*C11/C13</f>
        <v>1263.5856914207282</v>
      </c>
      <c r="G84" s="32">
        <f t="shared" si="1"/>
        <v>278865.12549130328</v>
      </c>
      <c r="H84">
        <f t="shared" si="2"/>
        <v>275691.42358270433</v>
      </c>
    </row>
    <row r="85" spans="2:8">
      <c r="B85" s="18">
        <f>66</f>
        <v>66</v>
      </c>
      <c r="C85" s="19">
        <f ca="1">EDATE(C14,66)</f>
        <v>47743</v>
      </c>
      <c r="D85" s="31">
        <f>F10</f>
        <v>-1910.1162171782241</v>
      </c>
      <c r="E85" s="31">
        <f t="shared" si="3"/>
        <v>-3188.2480423466977</v>
      </c>
      <c r="F85" s="31">
        <f>H85*C11/C13</f>
        <v>1278.1318251684734</v>
      </c>
      <c r="G85" s="32">
        <f t="shared" ref="G85:G148" si="4">G84-E85</f>
        <v>282053.37353364995</v>
      </c>
      <c r="H85">
        <f t="shared" ref="H85:H148" si="5">G84</f>
        <v>278865.12549130328</v>
      </c>
    </row>
    <row r="86" spans="2:8">
      <c r="B86" s="18">
        <f>67</f>
        <v>67</v>
      </c>
      <c r="C86" s="19">
        <f ca="1">EDATE(C14,67)</f>
        <v>47773</v>
      </c>
      <c r="D86" s="31">
        <f>F10</f>
        <v>-1910.1162171782241</v>
      </c>
      <c r="E86" s="31">
        <f t="shared" si="3"/>
        <v>-3202.8608458741196</v>
      </c>
      <c r="F86" s="31">
        <f>H86*C11/C13</f>
        <v>1292.7446286958955</v>
      </c>
      <c r="G86" s="32">
        <f t="shared" si="4"/>
        <v>285256.23437952407</v>
      </c>
      <c r="H86">
        <f t="shared" si="5"/>
        <v>282053.37353364995</v>
      </c>
    </row>
    <row r="87" spans="2:8">
      <c r="B87" s="18">
        <f>68</f>
        <v>68</v>
      </c>
      <c r="C87" s="19">
        <f ca="1">EDATE(C14,68)</f>
        <v>47804</v>
      </c>
      <c r="D87" s="31">
        <f>F10</f>
        <v>-1910.1162171782241</v>
      </c>
      <c r="E87" s="31">
        <f t="shared" si="3"/>
        <v>-3217.5406247510427</v>
      </c>
      <c r="F87" s="31">
        <f>H87*C11/C13</f>
        <v>1307.4244075728186</v>
      </c>
      <c r="G87" s="32">
        <f t="shared" si="4"/>
        <v>288473.77500427514</v>
      </c>
      <c r="H87">
        <f t="shared" si="5"/>
        <v>285256.23437952407</v>
      </c>
    </row>
    <row r="88" spans="2:8">
      <c r="B88" s="18">
        <f>69</f>
        <v>69</v>
      </c>
      <c r="C88" s="19">
        <f ca="1">EDATE(C14,69)</f>
        <v>47834</v>
      </c>
      <c r="D88" s="31">
        <f>F10</f>
        <v>-1910.1162171782241</v>
      </c>
      <c r="E88" s="31">
        <f t="shared" si="3"/>
        <v>-3232.2876859478183</v>
      </c>
      <c r="F88" s="31">
        <f>H88*C11/C13</f>
        <v>1322.1714687695944</v>
      </c>
      <c r="G88" s="32">
        <f t="shared" si="4"/>
        <v>291706.06269022299</v>
      </c>
      <c r="H88">
        <f t="shared" si="5"/>
        <v>288473.77500427514</v>
      </c>
    </row>
    <row r="89" spans="2:8">
      <c r="B89" s="18">
        <f>70</f>
        <v>70</v>
      </c>
      <c r="C89" s="19">
        <f ca="1">EDATE(C14,70)</f>
        <v>47865</v>
      </c>
      <c r="D89" s="31">
        <f>F10</f>
        <v>-1910.1162171782241</v>
      </c>
      <c r="E89" s="31">
        <f t="shared" si="3"/>
        <v>-3247.1023378417462</v>
      </c>
      <c r="F89" s="31">
        <f>H89*C11/C13</f>
        <v>1336.9861206635221</v>
      </c>
      <c r="G89" s="32">
        <f t="shared" si="4"/>
        <v>294953.16502806474</v>
      </c>
      <c r="H89">
        <f t="shared" si="5"/>
        <v>291706.06269022299</v>
      </c>
    </row>
    <row r="90" spans="2:8">
      <c r="B90" s="18">
        <f>71</f>
        <v>71</v>
      </c>
      <c r="C90" s="19">
        <f ca="1">EDATE(C14,71)</f>
        <v>47896</v>
      </c>
      <c r="D90" s="31">
        <f>F10</f>
        <v>-1910.1162171782241</v>
      </c>
      <c r="E90" s="31">
        <f t="shared" si="3"/>
        <v>-3261.9848902235208</v>
      </c>
      <c r="F90" s="31">
        <f>H90*C11/C13</f>
        <v>1351.8686730452966</v>
      </c>
      <c r="G90" s="32">
        <f t="shared" si="4"/>
        <v>298215.14991828828</v>
      </c>
      <c r="H90">
        <f t="shared" si="5"/>
        <v>294953.16502806474</v>
      </c>
    </row>
    <row r="91" spans="2:8">
      <c r="B91" s="18">
        <f>72</f>
        <v>72</v>
      </c>
      <c r="C91" s="19">
        <f ca="1">EDATE(C14,72)</f>
        <v>47924</v>
      </c>
      <c r="D91" s="31">
        <f>F10</f>
        <v>-1910.1162171782241</v>
      </c>
      <c r="E91" s="31">
        <f t="shared" si="3"/>
        <v>-3276.935654303712</v>
      </c>
      <c r="F91" s="31">
        <f>H91*C11/C13</f>
        <v>1366.8194371254879</v>
      </c>
      <c r="G91" s="32">
        <f t="shared" si="4"/>
        <v>301492.08557259198</v>
      </c>
      <c r="H91">
        <f t="shared" si="5"/>
        <v>298215.14991828828</v>
      </c>
    </row>
    <row r="92" spans="2:8">
      <c r="B92" s="18">
        <f>73</f>
        <v>73</v>
      </c>
      <c r="C92" s="19">
        <f ca="1">EDATE(C14,73)</f>
        <v>47955</v>
      </c>
      <c r="D92" s="31">
        <f>F10</f>
        <v>-1910.1162171782241</v>
      </c>
      <c r="E92" s="31">
        <f t="shared" si="3"/>
        <v>-3291.9549427192705</v>
      </c>
      <c r="F92" s="31">
        <f>H92*C11/C13</f>
        <v>1381.8387255410464</v>
      </c>
      <c r="G92" s="32">
        <f t="shared" si="4"/>
        <v>304784.04051531124</v>
      </c>
      <c r="H92">
        <f t="shared" si="5"/>
        <v>301492.08557259198</v>
      </c>
    </row>
    <row r="93" spans="2:8">
      <c r="B93" s="18">
        <f>74</f>
        <v>74</v>
      </c>
      <c r="C93" s="19">
        <f ca="1">EDATE(C14,74)</f>
        <v>47985</v>
      </c>
      <c r="D93" s="31">
        <f>F10</f>
        <v>-1910.1162171782241</v>
      </c>
      <c r="E93" s="31">
        <f t="shared" si="3"/>
        <v>-3307.0430695400673</v>
      </c>
      <c r="F93" s="31">
        <f>H93*C11/C13</f>
        <v>1396.9268523618432</v>
      </c>
      <c r="G93" s="32">
        <f t="shared" si="4"/>
        <v>308091.08358485129</v>
      </c>
      <c r="H93">
        <f t="shared" si="5"/>
        <v>304784.04051531124</v>
      </c>
    </row>
    <row r="94" spans="2:8">
      <c r="B94" s="18">
        <f>75</f>
        <v>75</v>
      </c>
      <c r="C94" s="19">
        <f ca="1">EDATE(C14,75)</f>
        <v>48016</v>
      </c>
      <c r="D94" s="31">
        <f>F10</f>
        <v>-1910.1162171782241</v>
      </c>
      <c r="E94" s="31">
        <f t="shared" si="3"/>
        <v>-3322.2003502754592</v>
      </c>
      <c r="F94" s="31">
        <f>H94*C11/C13</f>
        <v>1412.0841330972351</v>
      </c>
      <c r="G94" s="32">
        <f t="shared" si="4"/>
        <v>311413.28393512673</v>
      </c>
      <c r="H94">
        <f t="shared" si="5"/>
        <v>308091.08358485129</v>
      </c>
    </row>
    <row r="95" spans="2:8">
      <c r="B95" s="18">
        <f>76</f>
        <v>76</v>
      </c>
      <c r="C95" s="19">
        <f ca="1">EDATE(C14,76)</f>
        <v>48046</v>
      </c>
      <c r="D95" s="31">
        <f>F10</f>
        <v>-1910.1162171782241</v>
      </c>
      <c r="E95" s="31">
        <f t="shared" si="3"/>
        <v>-3337.4271018808886</v>
      </c>
      <c r="F95" s="31">
        <f>H95*C11/C13</f>
        <v>1427.3108847026642</v>
      </c>
      <c r="G95" s="32">
        <f t="shared" si="4"/>
        <v>314750.71103700763</v>
      </c>
      <c r="H95">
        <f t="shared" si="5"/>
        <v>311413.28393512673</v>
      </c>
    </row>
    <row r="96" spans="2:8">
      <c r="B96" s="18">
        <f>77</f>
        <v>77</v>
      </c>
      <c r="C96" s="19">
        <f ca="1">EDATE(C14,77)</f>
        <v>48077</v>
      </c>
      <c r="D96" s="31">
        <f>F10</f>
        <v>-1910.1162171782241</v>
      </c>
      <c r="E96" s="31">
        <f t="shared" si="3"/>
        <v>-3352.7236427645093</v>
      </c>
      <c r="F96" s="31">
        <f>H96*C11/C13</f>
        <v>1442.607425586285</v>
      </c>
      <c r="G96" s="32">
        <f t="shared" si="4"/>
        <v>318103.43467977212</v>
      </c>
      <c r="H96">
        <f t="shared" si="5"/>
        <v>314750.71103700763</v>
      </c>
    </row>
    <row r="97" spans="2:8">
      <c r="B97" s="18">
        <f>78</f>
        <v>78</v>
      </c>
      <c r="C97" s="19">
        <f ca="1">EDATE(C14,78)</f>
        <v>48108</v>
      </c>
      <c r="D97" s="31">
        <f>F10</f>
        <v>-1910.1162171782241</v>
      </c>
      <c r="E97" s="31">
        <f t="shared" si="3"/>
        <v>-3368.0902927938464</v>
      </c>
      <c r="F97" s="31">
        <f>H97*C11/C13</f>
        <v>1457.9740756156223</v>
      </c>
      <c r="G97" s="32">
        <f t="shared" si="4"/>
        <v>321471.524972566</v>
      </c>
      <c r="H97">
        <f t="shared" si="5"/>
        <v>318103.43467977212</v>
      </c>
    </row>
    <row r="98" spans="2:8">
      <c r="B98" s="18">
        <f>79</f>
        <v>79</v>
      </c>
      <c r="C98" s="19">
        <f ca="1">EDATE(C14,79)</f>
        <v>48138</v>
      </c>
      <c r="D98" s="31">
        <f>F10</f>
        <v>-1910.1162171782241</v>
      </c>
      <c r="E98" s="31">
        <f t="shared" si="3"/>
        <v>-3383.5273733024851</v>
      </c>
      <c r="F98" s="31">
        <f>H98*C11/C13</f>
        <v>1473.4111561242607</v>
      </c>
      <c r="G98" s="32">
        <f t="shared" si="4"/>
        <v>324855.05234586849</v>
      </c>
      <c r="H98">
        <f t="shared" si="5"/>
        <v>321471.524972566</v>
      </c>
    </row>
    <row r="99" spans="2:8">
      <c r="B99" s="18">
        <f>80</f>
        <v>80</v>
      </c>
      <c r="C99" s="19">
        <f ca="1">EDATE(C14,80)</f>
        <v>48169</v>
      </c>
      <c r="D99" s="31">
        <f>F10</f>
        <v>-1910.1162171782241</v>
      </c>
      <c r="E99" s="31">
        <f t="shared" si="3"/>
        <v>-3399.0352070967883</v>
      </c>
      <c r="F99" s="31">
        <f>H99*C11/C13</f>
        <v>1488.918989918564</v>
      </c>
      <c r="G99" s="32">
        <f t="shared" si="4"/>
        <v>328254.08755296527</v>
      </c>
      <c r="H99">
        <f t="shared" si="5"/>
        <v>324855.05234586849</v>
      </c>
    </row>
    <row r="100" spans="2:8">
      <c r="B100" s="18">
        <f>81</f>
        <v>81</v>
      </c>
      <c r="C100" s="19">
        <f ca="1">EDATE(C14,81)</f>
        <v>48199</v>
      </c>
      <c r="D100" s="31">
        <f>F10</f>
        <v>-1910.1162171782241</v>
      </c>
      <c r="E100" s="31">
        <f t="shared" si="3"/>
        <v>-3414.6141184626485</v>
      </c>
      <c r="F100" s="31">
        <f>H100*C11/C13</f>
        <v>1504.4979012844242</v>
      </c>
      <c r="G100" s="32">
        <f t="shared" si="4"/>
        <v>331668.70167142793</v>
      </c>
      <c r="H100">
        <f t="shared" si="5"/>
        <v>328254.08755296527</v>
      </c>
    </row>
    <row r="101" spans="2:8">
      <c r="B101" s="18">
        <f>82</f>
        <v>82</v>
      </c>
      <c r="C101" s="19">
        <f ca="1">EDATE(C14,82)</f>
        <v>48230</v>
      </c>
      <c r="D101" s="31">
        <f>F10</f>
        <v>-1910.1162171782241</v>
      </c>
      <c r="E101" s="31">
        <f t="shared" si="3"/>
        <v>-3430.264433172269</v>
      </c>
      <c r="F101" s="31">
        <f>H101*C11/C13</f>
        <v>1520.1482159940449</v>
      </c>
      <c r="G101" s="32">
        <f t="shared" si="4"/>
        <v>335098.96610460017</v>
      </c>
      <c r="H101">
        <f t="shared" si="5"/>
        <v>331668.70167142793</v>
      </c>
    </row>
    <row r="102" spans="2:8">
      <c r="B102" s="18">
        <f>83</f>
        <v>83</v>
      </c>
      <c r="C102" s="19">
        <f ca="1">EDATE(C14,83)</f>
        <v>48261</v>
      </c>
      <c r="D102" s="31">
        <f>F10</f>
        <v>-1910.1162171782241</v>
      </c>
      <c r="E102" s="31">
        <f t="shared" si="3"/>
        <v>-3445.9864784909751</v>
      </c>
      <c r="F102" s="31">
        <f>H102*C11/C13</f>
        <v>1535.8702613127507</v>
      </c>
      <c r="G102" s="32">
        <f t="shared" si="4"/>
        <v>338544.95258309116</v>
      </c>
      <c r="H102">
        <f t="shared" si="5"/>
        <v>335098.96610460017</v>
      </c>
    </row>
    <row r="103" spans="2:8">
      <c r="B103" s="18">
        <f>84</f>
        <v>84</v>
      </c>
      <c r="C103" s="19">
        <f ca="1">EDATE(C14,84)</f>
        <v>48290</v>
      </c>
      <c r="D103" s="31">
        <f>F10</f>
        <v>-1910.1162171782241</v>
      </c>
      <c r="E103" s="31">
        <f t="shared" si="3"/>
        <v>-3461.7805831840587</v>
      </c>
      <c r="F103" s="31">
        <f>H103*C11/C13</f>
        <v>1551.6643660058344</v>
      </c>
      <c r="G103" s="32">
        <f t="shared" si="4"/>
        <v>342006.7331662752</v>
      </c>
      <c r="H103">
        <f t="shared" si="5"/>
        <v>338544.95258309116</v>
      </c>
    </row>
    <row r="104" spans="2:8">
      <c r="B104" s="18">
        <f>85</f>
        <v>85</v>
      </c>
      <c r="C104" s="19">
        <f ca="1">EDATE(C14,85)</f>
        <v>48321</v>
      </c>
      <c r="D104" s="31">
        <f>F10</f>
        <v>-1910.1162171782241</v>
      </c>
      <c r="E104" s="31">
        <f t="shared" si="3"/>
        <v>-3477.6470775236521</v>
      </c>
      <c r="F104" s="31">
        <f>H104*C11/C13</f>
        <v>1567.530860345428</v>
      </c>
      <c r="G104" s="32">
        <f t="shared" si="4"/>
        <v>345484.38024379883</v>
      </c>
      <c r="H104">
        <f t="shared" si="5"/>
        <v>342006.7331662752</v>
      </c>
    </row>
    <row r="105" spans="2:8">
      <c r="B105" s="18">
        <f>86</f>
        <v>86</v>
      </c>
      <c r="C105" s="19">
        <f ca="1">EDATE(C14,86)</f>
        <v>48351</v>
      </c>
      <c r="D105" s="31">
        <f>F10</f>
        <v>-1910.1162171782241</v>
      </c>
      <c r="E105" s="31">
        <f t="shared" si="3"/>
        <v>-3493.5862932956356</v>
      </c>
      <c r="F105" s="31">
        <f>H105*C11/C13</f>
        <v>1583.4700761174115</v>
      </c>
      <c r="G105" s="32">
        <f t="shared" si="4"/>
        <v>348977.96653709444</v>
      </c>
      <c r="H105">
        <f t="shared" si="5"/>
        <v>345484.38024379883</v>
      </c>
    </row>
    <row r="106" spans="2:8">
      <c r="B106" s="18">
        <f>87</f>
        <v>87</v>
      </c>
      <c r="C106" s="19">
        <f ca="1">EDATE(C14,87)</f>
        <v>48382</v>
      </c>
      <c r="D106" s="31">
        <f>F10</f>
        <v>-1910.1162171782241</v>
      </c>
      <c r="E106" s="31">
        <f t="shared" si="3"/>
        <v>-3509.598563806574</v>
      </c>
      <c r="F106" s="31">
        <f>H106*C11/C13</f>
        <v>1599.4823466283497</v>
      </c>
      <c r="G106" s="32">
        <f t="shared" si="4"/>
        <v>352487.565100901</v>
      </c>
      <c r="H106">
        <f t="shared" si="5"/>
        <v>348977.96653709444</v>
      </c>
    </row>
    <row r="107" spans="2:8">
      <c r="B107" s="18">
        <f>88</f>
        <v>88</v>
      </c>
      <c r="C107" s="19">
        <f ca="1">EDATE(C14,88)</f>
        <v>48412</v>
      </c>
      <c r="D107" s="31">
        <f>F10</f>
        <v>-1910.1162171782241</v>
      </c>
      <c r="E107" s="31">
        <f t="shared" si="3"/>
        <v>-3525.684223890687</v>
      </c>
      <c r="F107" s="31">
        <f>H107*C11/C13</f>
        <v>1615.5680067124629</v>
      </c>
      <c r="G107" s="32">
        <f t="shared" si="4"/>
        <v>356013.24932479172</v>
      </c>
      <c r="H107">
        <f t="shared" si="5"/>
        <v>352487.565100901</v>
      </c>
    </row>
    <row r="108" spans="2:8">
      <c r="B108" s="18">
        <f>89</f>
        <v>89</v>
      </c>
      <c r="C108" s="19">
        <f ca="1">EDATE(C14,89)</f>
        <v>48443</v>
      </c>
      <c r="D108" s="31">
        <f>F10</f>
        <v>-1910.1162171782241</v>
      </c>
      <c r="E108" s="31">
        <f t="shared" si="3"/>
        <v>-3541.843609916853</v>
      </c>
      <c r="F108" s="31">
        <f>H108*C11/C13</f>
        <v>1631.7273927386286</v>
      </c>
      <c r="G108" s="32">
        <f t="shared" si="4"/>
        <v>359555.09293470858</v>
      </c>
      <c r="H108">
        <f t="shared" si="5"/>
        <v>356013.24932479172</v>
      </c>
    </row>
    <row r="109" spans="2:8">
      <c r="B109" s="18">
        <f>90</f>
        <v>90</v>
      </c>
      <c r="C109" s="19">
        <f ca="1">EDATE(C14,90)</f>
        <v>48474</v>
      </c>
      <c r="D109" s="31">
        <f>F10</f>
        <v>-1910.1162171782241</v>
      </c>
      <c r="E109" s="31">
        <f t="shared" si="3"/>
        <v>-3558.0770597956384</v>
      </c>
      <c r="F109" s="31">
        <f>H109*C11/C13</f>
        <v>1647.9608426174143</v>
      </c>
      <c r="G109" s="32">
        <f t="shared" si="4"/>
        <v>363113.16999450419</v>
      </c>
      <c r="H109">
        <f t="shared" si="5"/>
        <v>359555.09293470858</v>
      </c>
    </row>
    <row r="110" spans="2:8">
      <c r="B110" s="18">
        <f>91</f>
        <v>91</v>
      </c>
      <c r="C110" s="19">
        <f ca="1">EDATE(C14,91)</f>
        <v>48504</v>
      </c>
      <c r="D110" s="31">
        <f>F10</f>
        <v>-1910.1162171782241</v>
      </c>
      <c r="E110" s="31">
        <f t="shared" si="3"/>
        <v>-3574.3849129863684</v>
      </c>
      <c r="F110" s="31">
        <f>H110*C11/C13</f>
        <v>1664.2686958081442</v>
      </c>
      <c r="G110" s="32">
        <f t="shared" si="4"/>
        <v>366687.55490749056</v>
      </c>
      <c r="H110">
        <f t="shared" si="5"/>
        <v>363113.16999450419</v>
      </c>
    </row>
    <row r="111" spans="2:8">
      <c r="B111" s="18">
        <f>92</f>
        <v>92</v>
      </c>
      <c r="C111" s="19">
        <f ca="1">EDATE(C14,92)</f>
        <v>48535</v>
      </c>
      <c r="D111" s="31">
        <f>F10</f>
        <v>-1910.1162171782241</v>
      </c>
      <c r="E111" s="31">
        <f t="shared" si="3"/>
        <v>-3590.7675105042226</v>
      </c>
      <c r="F111" s="31">
        <f>H111*C11/C13</f>
        <v>1680.6512933259983</v>
      </c>
      <c r="G111" s="32">
        <f t="shared" si="4"/>
        <v>370278.32241799479</v>
      </c>
      <c r="H111">
        <f t="shared" si="5"/>
        <v>366687.55490749056</v>
      </c>
    </row>
    <row r="112" spans="2:8">
      <c r="B112" s="18">
        <f>93</f>
        <v>93</v>
      </c>
      <c r="C112" s="19">
        <f ca="1">EDATE(C14,93)</f>
        <v>48565</v>
      </c>
      <c r="D112" s="31">
        <f>F10</f>
        <v>-1910.1162171782241</v>
      </c>
      <c r="E112" s="31">
        <f t="shared" si="3"/>
        <v>-3607.2251949273668</v>
      </c>
      <c r="F112" s="31">
        <f>H112*C11/C13</f>
        <v>1697.1089777491427</v>
      </c>
      <c r="G112" s="32">
        <f t="shared" si="4"/>
        <v>373885.54761292215</v>
      </c>
      <c r="H112">
        <f t="shared" si="5"/>
        <v>370278.32241799479</v>
      </c>
    </row>
    <row r="113" spans="2:8">
      <c r="B113" s="18">
        <f>94</f>
        <v>94</v>
      </c>
      <c r="C113" s="19">
        <f ca="1">EDATE(C14,94)</f>
        <v>48596</v>
      </c>
      <c r="D113" s="31">
        <f>F10</f>
        <v>-1910.1162171782241</v>
      </c>
      <c r="E113" s="31">
        <f t="shared" si="3"/>
        <v>-3623.7583104041173</v>
      </c>
      <c r="F113" s="31">
        <f>H113*C11/C13</f>
        <v>1713.6420932258932</v>
      </c>
      <c r="G113" s="32">
        <f t="shared" si="4"/>
        <v>377509.30592332629</v>
      </c>
      <c r="H113">
        <f t="shared" si="5"/>
        <v>373885.54761292215</v>
      </c>
    </row>
    <row r="114" spans="2:8">
      <c r="B114" s="18">
        <f>95</f>
        <v>95</v>
      </c>
      <c r="C114" s="19">
        <f ca="1">EDATE(C14,95)</f>
        <v>48627</v>
      </c>
      <c r="D114" s="31">
        <f>F10</f>
        <v>-1910.1162171782241</v>
      </c>
      <c r="E114" s="31">
        <f t="shared" si="3"/>
        <v>-3640.3672026601362</v>
      </c>
      <c r="F114" s="31">
        <f>H114*C11/C13</f>
        <v>1730.250985481912</v>
      </c>
      <c r="G114" s="32">
        <f t="shared" si="4"/>
        <v>381149.67312598642</v>
      </c>
      <c r="H114">
        <f t="shared" si="5"/>
        <v>377509.30592332629</v>
      </c>
    </row>
    <row r="115" spans="2:8">
      <c r="B115" s="18">
        <f>96</f>
        <v>96</v>
      </c>
      <c r="C115" s="19">
        <f ca="1">EDATE(C14,96)</f>
        <v>48655</v>
      </c>
      <c r="D115" s="31">
        <f>F10</f>
        <v>-1910.1162171782241</v>
      </c>
      <c r="E115" s="31">
        <f t="shared" si="3"/>
        <v>-3657.0522190056618</v>
      </c>
      <c r="F115" s="31">
        <f>H115*C11/C13</f>
        <v>1746.9360018274376</v>
      </c>
      <c r="G115" s="32">
        <f t="shared" si="4"/>
        <v>384806.72534499207</v>
      </c>
      <c r="H115">
        <f t="shared" si="5"/>
        <v>381149.67312598642</v>
      </c>
    </row>
    <row r="116" spans="2:8">
      <c r="B116" s="18">
        <f>97</f>
        <v>97</v>
      </c>
      <c r="C116" s="19">
        <f ca="1">EDATE(C14,97)</f>
        <v>48686</v>
      </c>
      <c r="D116" s="31">
        <f>F10</f>
        <v>-1910.1162171782241</v>
      </c>
      <c r="E116" s="31">
        <f t="shared" si="3"/>
        <v>-3673.813708342771</v>
      </c>
      <c r="F116" s="31">
        <f>H116*C11/C13</f>
        <v>1763.6974911645468</v>
      </c>
      <c r="G116" s="32">
        <f t="shared" si="4"/>
        <v>388480.53905333485</v>
      </c>
      <c r="H116">
        <f t="shared" si="5"/>
        <v>384806.72534499207</v>
      </c>
    </row>
    <row r="117" spans="2:8">
      <c r="B117" s="18">
        <f>98</f>
        <v>98</v>
      </c>
      <c r="C117" s="19">
        <f ca="1">EDATE(C14,98)</f>
        <v>48716</v>
      </c>
      <c r="D117" s="31">
        <f>F10</f>
        <v>-1910.1162171782241</v>
      </c>
      <c r="E117" s="31">
        <f t="shared" si="3"/>
        <v>-3690.6520211726756</v>
      </c>
      <c r="F117" s="31">
        <f>H117*C11/C13</f>
        <v>1780.5358039944515</v>
      </c>
      <c r="G117" s="32">
        <f t="shared" si="4"/>
        <v>392171.19107450754</v>
      </c>
      <c r="H117">
        <f t="shared" si="5"/>
        <v>388480.53905333485</v>
      </c>
    </row>
    <row r="118" spans="2:8">
      <c r="B118" s="18">
        <f>99</f>
        <v>99</v>
      </c>
      <c r="C118" s="19">
        <f ca="1">EDATE(C14,99)</f>
        <v>48747</v>
      </c>
      <c r="D118" s="31">
        <f>F10</f>
        <v>-1910.1162171782241</v>
      </c>
      <c r="E118" s="31">
        <f t="shared" si="3"/>
        <v>-3707.5675096030504</v>
      </c>
      <c r="F118" s="31">
        <f>H118*C11/C13</f>
        <v>1797.4512924248263</v>
      </c>
      <c r="G118" s="32">
        <f t="shared" si="4"/>
        <v>395878.75858411059</v>
      </c>
      <c r="H118">
        <f t="shared" si="5"/>
        <v>392171.19107450754</v>
      </c>
    </row>
    <row r="119" spans="2:8">
      <c r="B119" s="18">
        <f>100</f>
        <v>100</v>
      </c>
      <c r="C119" s="19">
        <f ca="1">EDATE(C14,100)</f>
        <v>48777</v>
      </c>
      <c r="D119" s="31">
        <f>F10</f>
        <v>-1910.1162171782241</v>
      </c>
      <c r="E119" s="31">
        <f t="shared" si="3"/>
        <v>-3724.5605273553979</v>
      </c>
      <c r="F119" s="31">
        <f>H119*C11/C13</f>
        <v>1814.4443101771737</v>
      </c>
      <c r="G119" s="32">
        <f t="shared" si="4"/>
        <v>399603.319111466</v>
      </c>
      <c r="H119">
        <f t="shared" si="5"/>
        <v>395878.75858411059</v>
      </c>
    </row>
    <row r="120" spans="2:8">
      <c r="B120" s="18">
        <f>101</f>
        <v>101</v>
      </c>
      <c r="C120" s="19">
        <f ca="1">EDATE(C14,101)</f>
        <v>48808</v>
      </c>
      <c r="D120" s="31">
        <f>F10</f>
        <v>-1910.1162171782241</v>
      </c>
      <c r="E120" s="31">
        <f t="shared" si="3"/>
        <v>-3741.6314297724434</v>
      </c>
      <c r="F120" s="31">
        <f>H120*C11/C13</f>
        <v>1831.5152125942193</v>
      </c>
      <c r="G120" s="32">
        <f t="shared" si="4"/>
        <v>403344.95054123842</v>
      </c>
      <c r="H120">
        <f t="shared" si="5"/>
        <v>399603.319111466</v>
      </c>
    </row>
    <row r="121" spans="2:8">
      <c r="B121" s="18">
        <f>102</f>
        <v>102</v>
      </c>
      <c r="C121" s="19">
        <f ca="1">EDATE(C14,102)</f>
        <v>48839</v>
      </c>
      <c r="D121" s="31">
        <f>F10</f>
        <v>-1910.1162171782241</v>
      </c>
      <c r="E121" s="31">
        <f t="shared" si="3"/>
        <v>-3758.780573825567</v>
      </c>
      <c r="F121" s="31">
        <f>H121*C11/C13</f>
        <v>1848.6643566473429</v>
      </c>
      <c r="G121" s="32">
        <f t="shared" si="4"/>
        <v>407103.731115064</v>
      </c>
      <c r="H121">
        <f t="shared" si="5"/>
        <v>403344.95054123842</v>
      </c>
    </row>
    <row r="122" spans="2:8">
      <c r="B122" s="18">
        <f>103</f>
        <v>103</v>
      </c>
      <c r="C122" s="19">
        <f ca="1">EDATE(C14,103)</f>
        <v>48869</v>
      </c>
      <c r="D122" s="31">
        <f>F10</f>
        <v>-1910.1162171782241</v>
      </c>
      <c r="E122" s="31">
        <f t="shared" si="3"/>
        <v>-3776.0083181222676</v>
      </c>
      <c r="F122" s="31">
        <f>H122*C11/C13</f>
        <v>1865.8921009440435</v>
      </c>
      <c r="G122" s="32">
        <f t="shared" si="4"/>
        <v>410879.73943318625</v>
      </c>
      <c r="H122">
        <f t="shared" si="5"/>
        <v>407103.731115064</v>
      </c>
    </row>
    <row r="123" spans="2:8">
      <c r="B123" s="18">
        <f>104</f>
        <v>104</v>
      </c>
      <c r="C123" s="19">
        <f ca="1">EDATE(C14,104)</f>
        <v>48900</v>
      </c>
      <c r="D123" s="31">
        <f>F10</f>
        <v>-1910.1162171782241</v>
      </c>
      <c r="E123" s="31">
        <f t="shared" si="3"/>
        <v>-3793.3150229136613</v>
      </c>
      <c r="F123" s="31">
        <f>H123*C11/C13</f>
        <v>1883.1988057354372</v>
      </c>
      <c r="G123" s="32">
        <f t="shared" si="4"/>
        <v>414673.05445609993</v>
      </c>
      <c r="H123">
        <f t="shared" si="5"/>
        <v>410879.73943318625</v>
      </c>
    </row>
    <row r="124" spans="2:8">
      <c r="B124" s="18">
        <f>105</f>
        <v>105</v>
      </c>
      <c r="C124" s="19">
        <f ca="1">EDATE(C14,105)</f>
        <v>48930</v>
      </c>
      <c r="D124" s="31">
        <f>F10</f>
        <v>-1910.1162171782241</v>
      </c>
      <c r="E124" s="31">
        <f t="shared" si="3"/>
        <v>-3810.7010501020154</v>
      </c>
      <c r="F124" s="31">
        <f>H124*C11/C13</f>
        <v>1900.5848329237913</v>
      </c>
      <c r="G124" s="32">
        <f t="shared" si="4"/>
        <v>418483.75550620194</v>
      </c>
      <c r="H124">
        <f t="shared" si="5"/>
        <v>414673.05445609993</v>
      </c>
    </row>
    <row r="125" spans="2:8">
      <c r="B125" s="18">
        <f>106</f>
        <v>106</v>
      </c>
      <c r="C125" s="19">
        <f ca="1">EDATE(C14,106)</f>
        <v>48961</v>
      </c>
      <c r="D125" s="31">
        <f>F10</f>
        <v>-1910.1162171782241</v>
      </c>
      <c r="E125" s="31">
        <f t="shared" si="3"/>
        <v>-3828.1667632483163</v>
      </c>
      <c r="F125" s="31">
        <f>H125*C11/C13</f>
        <v>1918.0505460700922</v>
      </c>
      <c r="G125" s="32">
        <f t="shared" si="4"/>
        <v>422311.92226945027</v>
      </c>
      <c r="H125">
        <f t="shared" si="5"/>
        <v>418483.75550620194</v>
      </c>
    </row>
    <row r="126" spans="2:8">
      <c r="B126" s="18">
        <f>107</f>
        <v>107</v>
      </c>
      <c r="C126" s="19">
        <f ca="1">EDATE(C14,107)</f>
        <v>48992</v>
      </c>
      <c r="D126" s="31">
        <f>F10</f>
        <v>-1910.1162171782241</v>
      </c>
      <c r="E126" s="31">
        <f t="shared" si="3"/>
        <v>-3845.7125275798712</v>
      </c>
      <c r="F126" s="31">
        <f>H126*C11/C13</f>
        <v>1935.5963104016471</v>
      </c>
      <c r="G126" s="32">
        <f t="shared" si="4"/>
        <v>426157.63479703013</v>
      </c>
      <c r="H126">
        <f t="shared" si="5"/>
        <v>422311.92226945027</v>
      </c>
    </row>
    <row r="127" spans="2:8">
      <c r="B127" s="18">
        <f>108</f>
        <v>108</v>
      </c>
      <c r="C127" s="19">
        <f ca="1">EDATE(C14,108)</f>
        <v>49020</v>
      </c>
      <c r="D127" s="31">
        <f>F10</f>
        <v>-1910.1162171782241</v>
      </c>
      <c r="E127" s="31">
        <f t="shared" si="3"/>
        <v>-3863.3387099979454</v>
      </c>
      <c r="F127" s="31">
        <f>H127*C11/C13</f>
        <v>1953.2224928197213</v>
      </c>
      <c r="G127" s="32">
        <f t="shared" si="4"/>
        <v>430020.97350702807</v>
      </c>
      <c r="H127">
        <f t="shared" si="5"/>
        <v>426157.63479703013</v>
      </c>
    </row>
    <row r="128" spans="2:8">
      <c r="B128" s="18">
        <f>109</f>
        <v>109</v>
      </c>
      <c r="C128" s="19">
        <f ca="1">EDATE(C14,109)</f>
        <v>49051</v>
      </c>
      <c r="D128" s="31">
        <f>F10</f>
        <v>-1910.1162171782241</v>
      </c>
      <c r="E128" s="31">
        <f t="shared" si="3"/>
        <v>-3881.0456790854359</v>
      </c>
      <c r="F128" s="31">
        <f>H128*C11/C13</f>
        <v>1970.9294619072118</v>
      </c>
      <c r="G128" s="32">
        <f t="shared" si="4"/>
        <v>433902.0191861135</v>
      </c>
      <c r="H128">
        <f t="shared" si="5"/>
        <v>430020.97350702807</v>
      </c>
    </row>
    <row r="129" spans="2:8">
      <c r="B129" s="18">
        <f>110</f>
        <v>110</v>
      </c>
      <c r="C129" s="19">
        <f ca="1">EDATE(C14,110)</f>
        <v>49081</v>
      </c>
      <c r="D129" s="31">
        <f>F10</f>
        <v>-1910.1162171782241</v>
      </c>
      <c r="E129" s="31">
        <f t="shared" si="3"/>
        <v>-3898.8338051145774</v>
      </c>
      <c r="F129" s="31">
        <f>H129*C11/C13</f>
        <v>1988.7175879363533</v>
      </c>
      <c r="G129" s="32">
        <f t="shared" si="4"/>
        <v>437800.85299122805</v>
      </c>
      <c r="H129">
        <f t="shared" si="5"/>
        <v>433902.0191861135</v>
      </c>
    </row>
    <row r="130" spans="2:8">
      <c r="B130" s="18">
        <f>111</f>
        <v>111</v>
      </c>
      <c r="C130" s="19">
        <f ca="1">EDATE(C14,111)</f>
        <v>49112</v>
      </c>
      <c r="D130" s="31">
        <f>F10</f>
        <v>-1910.1162171782241</v>
      </c>
      <c r="E130" s="31">
        <f t="shared" si="3"/>
        <v>-3916.7034600546858</v>
      </c>
      <c r="F130" s="31">
        <f>H130*C11/C13</f>
        <v>2006.5872428764617</v>
      </c>
      <c r="G130" s="32">
        <f t="shared" si="4"/>
        <v>441717.55645128276</v>
      </c>
      <c r="H130">
        <f t="shared" si="5"/>
        <v>437800.85299122805</v>
      </c>
    </row>
    <row r="131" spans="2:8">
      <c r="B131" s="18">
        <f>112</f>
        <v>112</v>
      </c>
      <c r="C131" s="19">
        <f ca="1">EDATE(C14,112)</f>
        <v>49142</v>
      </c>
      <c r="D131" s="31">
        <f>F10</f>
        <v>-1910.1162171782241</v>
      </c>
      <c r="E131" s="31">
        <f t="shared" si="3"/>
        <v>-3934.6550175799366</v>
      </c>
      <c r="F131" s="31">
        <f>H131*C11/C13</f>
        <v>2024.5388004017125</v>
      </c>
      <c r="G131" s="32">
        <f t="shared" si="4"/>
        <v>445652.21146886272</v>
      </c>
      <c r="H131">
        <f t="shared" si="5"/>
        <v>441717.55645128276</v>
      </c>
    </row>
    <row r="132" spans="2:8">
      <c r="B132" s="18">
        <f>113</f>
        <v>113</v>
      </c>
      <c r="C132" s="19">
        <f ca="1">EDATE(C14,113)</f>
        <v>49173</v>
      </c>
      <c r="D132" s="31">
        <f>F10</f>
        <v>-1910.1162171782241</v>
      </c>
      <c r="E132" s="31">
        <f t="shared" si="3"/>
        <v>-3952.6888530771785</v>
      </c>
      <c r="F132" s="31">
        <f>H132*C11/C13</f>
        <v>2042.5726358989541</v>
      </c>
      <c r="G132" s="32">
        <f t="shared" si="4"/>
        <v>449604.9003219399</v>
      </c>
      <c r="H132">
        <f t="shared" si="5"/>
        <v>445652.21146886272</v>
      </c>
    </row>
    <row r="133" spans="2:8">
      <c r="B133" s="18">
        <f>114</f>
        <v>114</v>
      </c>
      <c r="C133" s="19">
        <f ca="1">EDATE(C14,114)</f>
        <v>49204</v>
      </c>
      <c r="D133" s="31">
        <f>F10</f>
        <v>-1910.1162171782241</v>
      </c>
      <c r="E133" s="31">
        <f t="shared" si="3"/>
        <v>-3970.8053436537821</v>
      </c>
      <c r="F133" s="31">
        <f>H133*C11/C13</f>
        <v>2060.6891264755582</v>
      </c>
      <c r="G133" s="32">
        <f t="shared" si="4"/>
        <v>453575.70566559368</v>
      </c>
      <c r="H133">
        <f t="shared" si="5"/>
        <v>449604.9003219399</v>
      </c>
    </row>
    <row r="134" spans="2:8">
      <c r="B134" s="18">
        <f>115</f>
        <v>115</v>
      </c>
      <c r="C134" s="19">
        <f ca="1">EDATE(C14,115)</f>
        <v>49234</v>
      </c>
      <c r="D134" s="31">
        <f>F10</f>
        <v>-1910.1162171782241</v>
      </c>
      <c r="E134" s="31">
        <f t="shared" si="3"/>
        <v>-3989.0048681455282</v>
      </c>
      <c r="F134" s="31">
        <f>H134*C11/C13</f>
        <v>2078.8886509673043</v>
      </c>
      <c r="G134" s="32">
        <f t="shared" si="4"/>
        <v>457564.71053373918</v>
      </c>
      <c r="H134">
        <f t="shared" si="5"/>
        <v>453575.70566559368</v>
      </c>
    </row>
    <row r="135" spans="2:8">
      <c r="B135" s="18">
        <f>116</f>
        <v>116</v>
      </c>
      <c r="C135" s="19">
        <f ca="1">EDATE(C14,116)</f>
        <v>49265</v>
      </c>
      <c r="D135" s="31">
        <f>F10</f>
        <v>-1910.1162171782241</v>
      </c>
      <c r="E135" s="31">
        <f t="shared" si="3"/>
        <v>-4007.2878071245286</v>
      </c>
      <c r="F135" s="31">
        <f>H135*C11/C13</f>
        <v>2097.1715899463047</v>
      </c>
      <c r="G135" s="32">
        <f t="shared" si="4"/>
        <v>461571.99834086373</v>
      </c>
      <c r="H135">
        <f t="shared" si="5"/>
        <v>457564.71053373918</v>
      </c>
    </row>
    <row r="136" spans="2:8">
      <c r="B136" s="18">
        <f>117</f>
        <v>117</v>
      </c>
      <c r="C136" s="19">
        <f ca="1">EDATE(C14,117)</f>
        <v>49295</v>
      </c>
      <c r="D136" s="31">
        <f>F10</f>
        <v>-1910.1162171782241</v>
      </c>
      <c r="E136" s="31">
        <f t="shared" si="3"/>
        <v>-4025.654542907183</v>
      </c>
      <c r="F136" s="31">
        <f>H136*C11/C13</f>
        <v>2115.5383257289591</v>
      </c>
      <c r="G136" s="32">
        <f t="shared" si="4"/>
        <v>465597.65288377093</v>
      </c>
      <c r="H136">
        <f t="shared" si="5"/>
        <v>461571.99834086373</v>
      </c>
    </row>
    <row r="137" spans="2:8">
      <c r="B137" s="18">
        <f>118</f>
        <v>118</v>
      </c>
      <c r="C137" s="19">
        <f ca="1">EDATE(C14,118)</f>
        <v>49326</v>
      </c>
      <c r="D137" s="31">
        <f>F10</f>
        <v>-1910.1162171782241</v>
      </c>
      <c r="E137" s="31">
        <f t="shared" si="3"/>
        <v>-4044.1054595621745</v>
      </c>
      <c r="F137" s="31">
        <f>H137*C11/C13</f>
        <v>2133.9892423839501</v>
      </c>
      <c r="G137" s="32">
        <f t="shared" si="4"/>
        <v>469641.75834333309</v>
      </c>
      <c r="H137">
        <f t="shared" si="5"/>
        <v>465597.65288377093</v>
      </c>
    </row>
    <row r="138" spans="2:8">
      <c r="B138" s="18">
        <f>119</f>
        <v>119</v>
      </c>
      <c r="C138" s="19">
        <f ca="1">EDATE(C14,119)</f>
        <v>49357</v>
      </c>
      <c r="D138" s="31">
        <f>F10</f>
        <v>-1910.1162171782241</v>
      </c>
      <c r="E138" s="31">
        <f t="shared" si="3"/>
        <v>-4062.6409429185005</v>
      </c>
      <c r="F138" s="31">
        <f>H138*C11/C13</f>
        <v>2152.5247257402766</v>
      </c>
      <c r="G138" s="32">
        <f t="shared" si="4"/>
        <v>473704.39928625157</v>
      </c>
      <c r="H138">
        <f t="shared" si="5"/>
        <v>469641.75834333309</v>
      </c>
    </row>
    <row r="139" spans="2:8">
      <c r="B139" s="18">
        <f>120</f>
        <v>120</v>
      </c>
      <c r="C139" s="19">
        <f ca="1">EDATE(C14,120)</f>
        <v>49385</v>
      </c>
      <c r="D139" s="31">
        <f>F10</f>
        <v>-1910.1162171782241</v>
      </c>
      <c r="E139" s="31">
        <f t="shared" si="3"/>
        <v>-4081.2613805735436</v>
      </c>
      <c r="F139" s="31">
        <f>H139*C11/C13</f>
        <v>2171.1451633953197</v>
      </c>
      <c r="G139" s="32">
        <f t="shared" si="4"/>
        <v>477785.66066682513</v>
      </c>
      <c r="H139">
        <f t="shared" si="5"/>
        <v>473704.39928625157</v>
      </c>
    </row>
    <row r="140" spans="2:8">
      <c r="B140" s="18">
        <f>121</f>
        <v>121</v>
      </c>
      <c r="C140" s="19">
        <f ca="1">EDATE(C14,121)</f>
        <v>49416</v>
      </c>
      <c r="D140" s="31">
        <f>F10</f>
        <v>-1910.1162171782241</v>
      </c>
      <c r="E140" s="31">
        <f t="shared" si="3"/>
        <v>-4099.9671619011724</v>
      </c>
      <c r="F140" s="31">
        <f>H140*C11/C13</f>
        <v>2189.8509447229485</v>
      </c>
      <c r="G140" s="32">
        <f t="shared" si="4"/>
        <v>481885.62782872631</v>
      </c>
      <c r="H140">
        <f t="shared" si="5"/>
        <v>477785.66066682513</v>
      </c>
    </row>
    <row r="141" spans="2:8">
      <c r="B141" s="18">
        <f>122</f>
        <v>122</v>
      </c>
      <c r="C141" s="19">
        <f ca="1">EDATE(C14,122)</f>
        <v>49446</v>
      </c>
      <c r="D141" s="31">
        <f>F10</f>
        <v>-1910.1162171782241</v>
      </c>
      <c r="E141" s="31">
        <f t="shared" si="3"/>
        <v>-4118.7586780598867</v>
      </c>
      <c r="F141" s="31">
        <f>H141*C11/C13</f>
        <v>2208.6424608816624</v>
      </c>
      <c r="G141" s="32">
        <f t="shared" si="4"/>
        <v>486004.38650678622</v>
      </c>
      <c r="H141">
        <f t="shared" si="5"/>
        <v>481885.62782872631</v>
      </c>
    </row>
    <row r="142" spans="2:8">
      <c r="B142" s="18">
        <f>123</f>
        <v>123</v>
      </c>
      <c r="C142" s="19">
        <f ca="1">EDATE(C14,123)</f>
        <v>49477</v>
      </c>
      <c r="D142" s="31">
        <f>F10</f>
        <v>-1910.1162171782241</v>
      </c>
      <c r="E142" s="31">
        <f t="shared" si="3"/>
        <v>-4137.6363220009944</v>
      </c>
      <c r="F142" s="31">
        <f>H142*C11/C13</f>
        <v>2227.5201048227705</v>
      </c>
      <c r="G142" s="32">
        <f t="shared" si="4"/>
        <v>490142.02282878722</v>
      </c>
      <c r="H142">
        <f t="shared" si="5"/>
        <v>486004.38650678622</v>
      </c>
    </row>
    <row r="143" spans="2:8">
      <c r="B143" s="18">
        <f>124</f>
        <v>124</v>
      </c>
      <c r="C143" s="19">
        <f ca="1">EDATE(C14,124)</f>
        <v>49507</v>
      </c>
      <c r="D143" s="31">
        <f>F10</f>
        <v>-1910.1162171782241</v>
      </c>
      <c r="E143" s="31">
        <f t="shared" si="3"/>
        <v>-4156.6004884768317</v>
      </c>
      <c r="F143" s="31">
        <f>H143*C11/C13</f>
        <v>2246.4842712986078</v>
      </c>
      <c r="G143" s="32">
        <f t="shared" si="4"/>
        <v>494298.62331726402</v>
      </c>
      <c r="H143">
        <f t="shared" si="5"/>
        <v>490142.02282878722</v>
      </c>
    </row>
    <row r="144" spans="2:8">
      <c r="B144" s="18">
        <f>125</f>
        <v>125</v>
      </c>
      <c r="C144" s="19">
        <f ca="1">EDATE(C14,125)</f>
        <v>49538</v>
      </c>
      <c r="D144" s="31">
        <f>F10</f>
        <v>-1910.1162171782241</v>
      </c>
      <c r="E144" s="31">
        <f t="shared" si="3"/>
        <v>-4175.6515740490177</v>
      </c>
      <c r="F144" s="31">
        <f>H144*C11/C13</f>
        <v>2265.5353568707933</v>
      </c>
      <c r="G144" s="32">
        <f t="shared" si="4"/>
        <v>498474.27489131305</v>
      </c>
      <c r="H144">
        <f t="shared" si="5"/>
        <v>494298.62331726402</v>
      </c>
    </row>
    <row r="145" spans="2:8">
      <c r="B145" s="18">
        <f>126</f>
        <v>126</v>
      </c>
      <c r="C145" s="19">
        <f ca="1">EDATE(C14,126)</f>
        <v>49569</v>
      </c>
      <c r="D145" s="31">
        <f>F10</f>
        <v>-1910.1162171782241</v>
      </c>
      <c r="E145" s="31">
        <f t="shared" si="3"/>
        <v>-4194.7899770967424</v>
      </c>
      <c r="F145" s="31">
        <f>H145*C11/C13</f>
        <v>2284.673759918518</v>
      </c>
      <c r="G145" s="32">
        <f t="shared" si="4"/>
        <v>502669.06486840977</v>
      </c>
      <c r="H145">
        <f t="shared" si="5"/>
        <v>498474.27489131305</v>
      </c>
    </row>
    <row r="146" spans="2:8">
      <c r="B146" s="18">
        <f>127</f>
        <v>127</v>
      </c>
      <c r="C146" s="19">
        <f ca="1">EDATE(C14,127)</f>
        <v>49599</v>
      </c>
      <c r="D146" s="31">
        <f>F10</f>
        <v>-1910.1162171782241</v>
      </c>
      <c r="E146" s="31">
        <f t="shared" si="3"/>
        <v>-4214.0160978251024</v>
      </c>
      <c r="F146" s="31">
        <f>H146*C11/C13</f>
        <v>2303.899880646878</v>
      </c>
      <c r="G146" s="32">
        <f t="shared" si="4"/>
        <v>506883.08096623485</v>
      </c>
      <c r="H146">
        <f t="shared" si="5"/>
        <v>502669.06486840977</v>
      </c>
    </row>
    <row r="147" spans="2:8">
      <c r="B147" s="18">
        <f>128</f>
        <v>128</v>
      </c>
      <c r="C147" s="19">
        <f ca="1">EDATE(C14,128)</f>
        <v>49630</v>
      </c>
      <c r="D147" s="31">
        <f>F10</f>
        <v>-1910.1162171782241</v>
      </c>
      <c r="E147" s="31">
        <f t="shared" si="3"/>
        <v>-4233.3303382734675</v>
      </c>
      <c r="F147" s="31">
        <f>H147*C11/C13</f>
        <v>2323.2141210952432</v>
      </c>
      <c r="G147" s="32">
        <f t="shared" si="4"/>
        <v>511116.41130450834</v>
      </c>
      <c r="H147">
        <f t="shared" si="5"/>
        <v>506883.08096623485</v>
      </c>
    </row>
    <row r="148" spans="2:8">
      <c r="B148" s="18">
        <f>129</f>
        <v>129</v>
      </c>
      <c r="C148" s="19">
        <f ca="1">EDATE(C14,129)</f>
        <v>49660</v>
      </c>
      <c r="D148" s="31">
        <f>F10</f>
        <v>-1910.1162171782241</v>
      </c>
      <c r="E148" s="31">
        <f t="shared" ref="E148:E211" si="6">D148-F148</f>
        <v>-4252.7331023238876</v>
      </c>
      <c r="F148" s="31">
        <f>H148*C11/C13</f>
        <v>2342.6168851456632</v>
      </c>
      <c r="G148" s="32">
        <f t="shared" si="4"/>
        <v>515369.14440683223</v>
      </c>
      <c r="H148">
        <f t="shared" si="5"/>
        <v>511116.41130450834</v>
      </c>
    </row>
    <row r="149" spans="2:8">
      <c r="B149" s="18">
        <f>130</f>
        <v>130</v>
      </c>
      <c r="C149" s="19">
        <f ca="1">EDATE(C14,130)</f>
        <v>49691</v>
      </c>
      <c r="D149" s="31">
        <f>F10</f>
        <v>-1910.1162171782241</v>
      </c>
      <c r="E149" s="31">
        <f t="shared" si="6"/>
        <v>-4272.2247957095387</v>
      </c>
      <c r="F149" s="31">
        <f>H149*C11/C13</f>
        <v>2362.1085785313144</v>
      </c>
      <c r="G149" s="32">
        <f t="shared" ref="G149:G212" si="7">G148-E149</f>
        <v>519641.36920254177</v>
      </c>
      <c r="H149">
        <f t="shared" ref="H149:H212" si="8">G148</f>
        <v>515369.14440683223</v>
      </c>
    </row>
    <row r="150" spans="2:8">
      <c r="B150" s="18">
        <f>131</f>
        <v>131</v>
      </c>
      <c r="C150" s="19">
        <f ca="1">EDATE(C14,131)</f>
        <v>49722</v>
      </c>
      <c r="D150" s="31">
        <f>F10</f>
        <v>-1910.1162171782241</v>
      </c>
      <c r="E150" s="31">
        <f t="shared" si="6"/>
        <v>-4291.8058260232074</v>
      </c>
      <c r="F150" s="31">
        <f>H150*C11/C13</f>
        <v>2381.689608844983</v>
      </c>
      <c r="G150" s="32">
        <f t="shared" si="7"/>
        <v>523933.17502856499</v>
      </c>
      <c r="H150">
        <f t="shared" si="8"/>
        <v>519641.36920254177</v>
      </c>
    </row>
    <row r="151" spans="2:8">
      <c r="B151" s="18">
        <f>132</f>
        <v>132</v>
      </c>
      <c r="C151" s="19">
        <f ca="1">EDATE(C14,132)</f>
        <v>49751</v>
      </c>
      <c r="D151" s="31">
        <f>F10</f>
        <v>-1910.1162171782241</v>
      </c>
      <c r="E151" s="31">
        <f t="shared" si="6"/>
        <v>-4311.4766027258138</v>
      </c>
      <c r="F151" s="31">
        <f>H151*C11/C13</f>
        <v>2401.3603855475894</v>
      </c>
      <c r="G151" s="32">
        <f t="shared" si="7"/>
        <v>528244.65163129079</v>
      </c>
      <c r="H151">
        <f t="shared" si="8"/>
        <v>523933.17502856499</v>
      </c>
    </row>
    <row r="152" spans="2:8">
      <c r="B152" s="18">
        <f>133</f>
        <v>133</v>
      </c>
      <c r="C152" s="19">
        <f ca="1">EDATE(C14,133)</f>
        <v>49782</v>
      </c>
      <c r="D152" s="31">
        <f>F10</f>
        <v>-1910.1162171782241</v>
      </c>
      <c r="E152" s="31">
        <f t="shared" si="6"/>
        <v>-4331.2375371549733</v>
      </c>
      <c r="F152" s="31">
        <f>H152*C11/C13</f>
        <v>2421.1213199767494</v>
      </c>
      <c r="G152" s="32">
        <f t="shared" si="7"/>
        <v>532575.88916844572</v>
      </c>
      <c r="H152">
        <f t="shared" si="8"/>
        <v>528244.65163129079</v>
      </c>
    </row>
    <row r="153" spans="2:8">
      <c r="B153" s="18">
        <f>134</f>
        <v>134</v>
      </c>
      <c r="C153" s="19">
        <f ca="1">EDATE(C14,134)</f>
        <v>49812</v>
      </c>
      <c r="D153" s="31">
        <f>F10</f>
        <v>-1910.1162171782241</v>
      </c>
      <c r="E153" s="31">
        <f t="shared" si="6"/>
        <v>-4351.0890425336001</v>
      </c>
      <c r="F153" s="31">
        <f>H153*C11/C13</f>
        <v>2440.9728253553762</v>
      </c>
      <c r="G153" s="32">
        <f t="shared" si="7"/>
        <v>536926.97821097937</v>
      </c>
      <c r="H153">
        <f t="shared" si="8"/>
        <v>532575.88916844572</v>
      </c>
    </row>
    <row r="154" spans="2:8">
      <c r="B154" s="18">
        <f>135</f>
        <v>135</v>
      </c>
      <c r="C154" s="19">
        <f ca="1">EDATE(C14,135)</f>
        <v>49843</v>
      </c>
      <c r="D154" s="31">
        <f>F10</f>
        <v>-1910.1162171782241</v>
      </c>
      <c r="E154" s="31">
        <f t="shared" si="6"/>
        <v>-4371.0315339785466</v>
      </c>
      <c r="F154" s="31">
        <f>H154*C11/C13</f>
        <v>2460.9153168003222</v>
      </c>
      <c r="G154" s="32">
        <f t="shared" si="7"/>
        <v>541298.0097449579</v>
      </c>
      <c r="H154">
        <f t="shared" si="8"/>
        <v>536926.97821097937</v>
      </c>
    </row>
    <row r="155" spans="2:8">
      <c r="B155" s="18">
        <f>136</f>
        <v>136</v>
      </c>
      <c r="C155" s="19">
        <f ca="1">EDATE(C14,136)</f>
        <v>49873</v>
      </c>
      <c r="D155" s="31">
        <f>F10</f>
        <v>-1910.1162171782241</v>
      </c>
      <c r="E155" s="31">
        <f t="shared" si="6"/>
        <v>-4391.0654285092814</v>
      </c>
      <c r="F155" s="31">
        <f>H155*C11/C13</f>
        <v>2480.9492113310571</v>
      </c>
      <c r="G155" s="32">
        <f t="shared" si="7"/>
        <v>545689.07517346716</v>
      </c>
      <c r="H155">
        <f t="shared" si="8"/>
        <v>541298.0097449579</v>
      </c>
    </row>
    <row r="156" spans="2:8">
      <c r="B156" s="18">
        <f>137</f>
        <v>137</v>
      </c>
      <c r="C156" s="19">
        <f ca="1">EDATE(C14,137)</f>
        <v>49904</v>
      </c>
      <c r="D156" s="31">
        <f>F10</f>
        <v>-1910.1162171782241</v>
      </c>
      <c r="E156" s="31">
        <f t="shared" si="6"/>
        <v>-4411.1911450566149</v>
      </c>
      <c r="F156" s="31">
        <f>H156*C11/C13</f>
        <v>2501.074927878391</v>
      </c>
      <c r="G156" s="32">
        <f t="shared" si="7"/>
        <v>550100.26631852379</v>
      </c>
      <c r="H156">
        <f t="shared" si="8"/>
        <v>545689.07517346716</v>
      </c>
    </row>
    <row r="157" spans="2:8">
      <c r="B157" s="18">
        <f>138</f>
        <v>138</v>
      </c>
      <c r="C157" s="19">
        <f ca="1">EDATE(C14,138)</f>
        <v>49935</v>
      </c>
      <c r="D157" s="31">
        <f>F10</f>
        <v>-1910.1162171782241</v>
      </c>
      <c r="E157" s="31">
        <f t="shared" si="6"/>
        <v>-4431.4091044714578</v>
      </c>
      <c r="F157" s="31">
        <f>H157*C11/C13</f>
        <v>2521.2928872932339</v>
      </c>
      <c r="G157" s="32">
        <f t="shared" si="7"/>
        <v>554531.67542299523</v>
      </c>
      <c r="H157">
        <f t="shared" si="8"/>
        <v>550100.26631852379</v>
      </c>
    </row>
    <row r="158" spans="2:8">
      <c r="B158" s="18">
        <f>139</f>
        <v>139</v>
      </c>
      <c r="C158" s="19">
        <f ca="1">EDATE(C14,139)</f>
        <v>49965</v>
      </c>
      <c r="D158" s="31">
        <f>F10</f>
        <v>-1910.1162171782241</v>
      </c>
      <c r="E158" s="31">
        <f t="shared" si="6"/>
        <v>-4451.7197295336191</v>
      </c>
      <c r="F158" s="31">
        <f>H158*C11/C13</f>
        <v>2541.6035123553947</v>
      </c>
      <c r="G158" s="32">
        <f t="shared" si="7"/>
        <v>558983.39515252889</v>
      </c>
      <c r="H158">
        <f t="shared" si="8"/>
        <v>554531.67542299523</v>
      </c>
    </row>
    <row r="159" spans="2:8">
      <c r="B159" s="18">
        <f>140</f>
        <v>140</v>
      </c>
      <c r="C159" s="19">
        <f ca="1">EDATE(C14,140)</f>
        <v>49996</v>
      </c>
      <c r="D159" s="31">
        <f>F10</f>
        <v>-1910.1162171782241</v>
      </c>
      <c r="E159" s="31">
        <f t="shared" si="6"/>
        <v>-4472.1234449606482</v>
      </c>
      <c r="F159" s="31">
        <f>H159*C11/C13</f>
        <v>2562.0072277824243</v>
      </c>
      <c r="G159" s="32">
        <f t="shared" si="7"/>
        <v>563455.51859748957</v>
      </c>
      <c r="H159">
        <f t="shared" si="8"/>
        <v>558983.39515252889</v>
      </c>
    </row>
    <row r="160" spans="2:8">
      <c r="B160" s="18">
        <f>141</f>
        <v>141</v>
      </c>
      <c r="C160" s="19">
        <f ca="1">EDATE(C14,141)</f>
        <v>50026</v>
      </c>
      <c r="D160" s="31">
        <f>F10</f>
        <v>-1910.1162171782241</v>
      </c>
      <c r="E160" s="31">
        <f t="shared" si="6"/>
        <v>-4492.6206774167176</v>
      </c>
      <c r="F160" s="31">
        <f>H160*C11/C13</f>
        <v>2582.5044602384937</v>
      </c>
      <c r="G160" s="32">
        <f t="shared" si="7"/>
        <v>567948.13927490625</v>
      </c>
      <c r="H160">
        <f t="shared" si="8"/>
        <v>563455.51859748957</v>
      </c>
    </row>
    <row r="161" spans="2:8">
      <c r="B161" s="18">
        <f>142</f>
        <v>142</v>
      </c>
      <c r="C161" s="19">
        <f ca="1">EDATE(C14,142)</f>
        <v>50057</v>
      </c>
      <c r="D161" s="20">
        <f>F10</f>
        <v>-1910.1162171782241</v>
      </c>
      <c r="E161" s="20">
        <f t="shared" si="6"/>
        <v>-4513.2118555215447</v>
      </c>
      <c r="F161" s="20">
        <f>H161*C11/C13</f>
        <v>2603.0956383433204</v>
      </c>
      <c r="G161" s="21">
        <f t="shared" si="7"/>
        <v>572461.35113042779</v>
      </c>
      <c r="H161">
        <f t="shared" si="8"/>
        <v>567948.13927490625</v>
      </c>
    </row>
    <row r="162" spans="2:8">
      <c r="B162" s="18">
        <f>143</f>
        <v>143</v>
      </c>
      <c r="C162" s="19">
        <f ca="1">EDATE(C14,143)</f>
        <v>50088</v>
      </c>
      <c r="D162" s="20">
        <f>F10</f>
        <v>-1910.1162171782241</v>
      </c>
      <c r="E162" s="20">
        <f t="shared" si="6"/>
        <v>-4533.8974098593517</v>
      </c>
      <c r="F162" s="20">
        <f>H162*C11/C13</f>
        <v>2623.7811926811273</v>
      </c>
      <c r="G162" s="21">
        <f t="shared" si="7"/>
        <v>576995.24854028714</v>
      </c>
      <c r="H162">
        <f t="shared" si="8"/>
        <v>572461.35113042779</v>
      </c>
    </row>
    <row r="163" spans="2:8">
      <c r="B163" s="18">
        <f>144</f>
        <v>144</v>
      </c>
      <c r="C163" s="19">
        <f ca="1">EDATE(C14,144)</f>
        <v>50116</v>
      </c>
      <c r="D163" s="20">
        <f>F10</f>
        <v>-1910.1162171782241</v>
      </c>
      <c r="E163" s="20">
        <f t="shared" si="6"/>
        <v>-4554.6777729878731</v>
      </c>
      <c r="F163" s="20">
        <f>H163*C11/C13</f>
        <v>2644.5615558096492</v>
      </c>
      <c r="G163" s="21">
        <f t="shared" si="7"/>
        <v>581549.92631327501</v>
      </c>
      <c r="H163">
        <f t="shared" si="8"/>
        <v>576995.24854028714</v>
      </c>
    </row>
    <row r="164" spans="2:8">
      <c r="B164" s="18">
        <f>145</f>
        <v>145</v>
      </c>
      <c r="C164" s="19">
        <f ca="1">EDATE(C14,145)</f>
        <v>50147</v>
      </c>
      <c r="D164" s="20">
        <f>F10</f>
        <v>-1910.1162171782241</v>
      </c>
      <c r="E164" s="20">
        <f t="shared" si="6"/>
        <v>-4575.5533794474013</v>
      </c>
      <c r="F164" s="20">
        <f>H164*C11/C13</f>
        <v>2665.4371622691774</v>
      </c>
      <c r="G164" s="21">
        <f t="shared" si="7"/>
        <v>586125.47969272244</v>
      </c>
      <c r="H164">
        <f t="shared" si="8"/>
        <v>581549.92631327501</v>
      </c>
    </row>
    <row r="165" spans="2:8">
      <c r="B165" s="18">
        <f>146</f>
        <v>146</v>
      </c>
      <c r="C165" s="19">
        <f ca="1">EDATE(C14,146)</f>
        <v>50177</v>
      </c>
      <c r="D165" s="20">
        <f>F10</f>
        <v>-1910.1162171782241</v>
      </c>
      <c r="E165" s="20">
        <f t="shared" si="6"/>
        <v>-4596.524665769869</v>
      </c>
      <c r="F165" s="20">
        <f>H165*C11/C13</f>
        <v>2686.4084485916446</v>
      </c>
      <c r="G165" s="21">
        <f t="shared" si="7"/>
        <v>590722.00435849233</v>
      </c>
      <c r="H165">
        <f t="shared" si="8"/>
        <v>586125.47969272244</v>
      </c>
    </row>
    <row r="166" spans="2:8">
      <c r="B166" s="18">
        <f>147</f>
        <v>147</v>
      </c>
      <c r="C166" s="19">
        <f ca="1">EDATE(C14,147)</f>
        <v>50208</v>
      </c>
      <c r="D166" s="20">
        <f>F10</f>
        <v>-1910.1162171782241</v>
      </c>
      <c r="E166" s="20">
        <f t="shared" si="6"/>
        <v>-4617.5920704879809</v>
      </c>
      <c r="F166" s="20">
        <f>H166*C11/C13</f>
        <v>2707.4758533097565</v>
      </c>
      <c r="G166" s="21">
        <f t="shared" si="7"/>
        <v>595339.59642898035</v>
      </c>
      <c r="H166">
        <f t="shared" si="8"/>
        <v>590722.00435849233</v>
      </c>
    </row>
    <row r="167" spans="2:8">
      <c r="B167" s="18">
        <f>148</f>
        <v>148</v>
      </c>
      <c r="C167" s="19">
        <f ca="1">EDATE(C14,148)</f>
        <v>50238</v>
      </c>
      <c r="D167" s="20">
        <f>F10</f>
        <v>-1910.1162171782241</v>
      </c>
      <c r="E167" s="20">
        <f t="shared" si="6"/>
        <v>-4638.7560341443841</v>
      </c>
      <c r="F167" s="20">
        <f>H167*C11/C13</f>
        <v>2728.6398169661602</v>
      </c>
      <c r="G167" s="21">
        <f t="shared" si="7"/>
        <v>599978.35246312479</v>
      </c>
      <c r="H167">
        <f t="shared" si="8"/>
        <v>595339.59642898035</v>
      </c>
    </row>
    <row r="168" spans="2:8">
      <c r="B168" s="18">
        <f>149</f>
        <v>149</v>
      </c>
      <c r="C168" s="19">
        <f ca="1">EDATE(C14,149)</f>
        <v>50269</v>
      </c>
      <c r="D168" s="20">
        <f>F10</f>
        <v>-1910.1162171782241</v>
      </c>
      <c r="E168" s="20">
        <f t="shared" si="6"/>
        <v>-4660.0169993008794</v>
      </c>
      <c r="F168" s="20">
        <f>H168*C11/C13</f>
        <v>2749.9007821226551</v>
      </c>
      <c r="G168" s="21">
        <f t="shared" si="7"/>
        <v>604638.3694624257</v>
      </c>
      <c r="H168">
        <f t="shared" si="8"/>
        <v>599978.35246312479</v>
      </c>
    </row>
    <row r="169" spans="2:8">
      <c r="B169" s="18">
        <f>150</f>
        <v>150</v>
      </c>
      <c r="C169" s="19">
        <f ca="1">EDATE(C14,150)</f>
        <v>50300</v>
      </c>
      <c r="D169" s="20">
        <f>F10</f>
        <v>-1910.1162171782241</v>
      </c>
      <c r="E169" s="20">
        <f t="shared" si="6"/>
        <v>-4681.3754105476755</v>
      </c>
      <c r="F169" s="20">
        <f>H169*C11/C13</f>
        <v>2771.2591933694512</v>
      </c>
      <c r="G169" s="21">
        <f t="shared" si="7"/>
        <v>609319.74487297342</v>
      </c>
      <c r="H169">
        <f t="shared" si="8"/>
        <v>604638.3694624257</v>
      </c>
    </row>
    <row r="170" spans="2:8">
      <c r="B170" s="18">
        <f>151</f>
        <v>151</v>
      </c>
      <c r="C170" s="19">
        <f ca="1">EDATE(C14,151)</f>
        <v>50330</v>
      </c>
      <c r="D170" s="20">
        <f>F10</f>
        <v>-1910.1162171782241</v>
      </c>
      <c r="E170" s="20">
        <f t="shared" si="6"/>
        <v>-4702.8317145126857</v>
      </c>
      <c r="F170" s="20">
        <f>H170*C11/C13</f>
        <v>2792.7154973344618</v>
      </c>
      <c r="G170" s="21">
        <f t="shared" si="7"/>
        <v>614022.57658748608</v>
      </c>
      <c r="H170">
        <f t="shared" si="8"/>
        <v>609319.74487297342</v>
      </c>
    </row>
    <row r="171" spans="2:8">
      <c r="B171" s="18">
        <f>152</f>
        <v>152</v>
      </c>
      <c r="C171" s="19">
        <f ca="1">EDATE(C14,152)</f>
        <v>50361</v>
      </c>
      <c r="D171" s="20">
        <f>F10</f>
        <v>-1910.1162171782241</v>
      </c>
      <c r="E171" s="20">
        <f t="shared" si="6"/>
        <v>-4724.3863598708685</v>
      </c>
      <c r="F171" s="20">
        <f>H171*C11/C13</f>
        <v>2814.2701426926446</v>
      </c>
      <c r="G171" s="21">
        <f t="shared" si="7"/>
        <v>618746.96294735698</v>
      </c>
      <c r="H171">
        <f t="shared" si="8"/>
        <v>614022.57658748608</v>
      </c>
    </row>
    <row r="172" spans="2:8">
      <c r="B172" s="18">
        <f>153</f>
        <v>153</v>
      </c>
      <c r="C172" s="19">
        <f ca="1">EDATE(C14,153)</f>
        <v>50391</v>
      </c>
      <c r="D172" s="20">
        <f>F10</f>
        <v>-1910.1162171782241</v>
      </c>
      <c r="E172" s="20">
        <f t="shared" si="6"/>
        <v>-4746.0397973536101</v>
      </c>
      <c r="F172" s="20">
        <f>H172*C11/C13</f>
        <v>2835.9235801753862</v>
      </c>
      <c r="G172" s="21">
        <f t="shared" si="7"/>
        <v>623493.00274471054</v>
      </c>
      <c r="H172">
        <f t="shared" si="8"/>
        <v>618746.96294735698</v>
      </c>
    </row>
    <row r="173" spans="2:8">
      <c r="B173" s="18">
        <f>154</f>
        <v>154</v>
      </c>
      <c r="C173" s="19">
        <f ca="1">EDATE(C14,154)</f>
        <v>50422</v>
      </c>
      <c r="D173" s="20">
        <f>F10</f>
        <v>-1910.1162171782241</v>
      </c>
      <c r="E173" s="20">
        <f t="shared" si="6"/>
        <v>-4767.7924797581472</v>
      </c>
      <c r="F173" s="20">
        <f>H173*C11/C13</f>
        <v>2857.6762625799233</v>
      </c>
      <c r="G173" s="21">
        <f t="shared" si="7"/>
        <v>628260.79522446869</v>
      </c>
      <c r="H173">
        <f t="shared" si="8"/>
        <v>623493.00274471054</v>
      </c>
    </row>
    <row r="174" spans="2:8">
      <c r="B174" s="18">
        <f>155</f>
        <v>155</v>
      </c>
      <c r="C174" s="19">
        <f ca="1">EDATE(C14,155)</f>
        <v>50453</v>
      </c>
      <c r="D174" s="20">
        <f>F10</f>
        <v>-1910.1162171782241</v>
      </c>
      <c r="E174" s="20">
        <f t="shared" si="6"/>
        <v>-4789.6448619570392</v>
      </c>
      <c r="F174" s="20">
        <f>H174*C11/C13</f>
        <v>2879.5286447788149</v>
      </c>
      <c r="G174" s="21">
        <f t="shared" si="7"/>
        <v>633050.44008642575</v>
      </c>
      <c r="H174">
        <f t="shared" si="8"/>
        <v>628260.79522446869</v>
      </c>
    </row>
    <row r="175" spans="2:8">
      <c r="B175" s="18">
        <f>156</f>
        <v>156</v>
      </c>
      <c r="C175" s="19">
        <f ca="1">EDATE(C14,156)</f>
        <v>50481</v>
      </c>
      <c r="D175" s="20">
        <f>F10</f>
        <v>-1910.1162171782241</v>
      </c>
      <c r="E175" s="20">
        <f t="shared" si="6"/>
        <v>-4811.5974009076754</v>
      </c>
      <c r="F175" s="20">
        <f>H175*C11/C13</f>
        <v>2901.4811837294515</v>
      </c>
      <c r="G175" s="21">
        <f t="shared" si="7"/>
        <v>637862.03748733341</v>
      </c>
      <c r="H175">
        <f t="shared" si="8"/>
        <v>633050.44008642575</v>
      </c>
    </row>
    <row r="176" spans="2:8">
      <c r="B176" s="18">
        <f>157</f>
        <v>157</v>
      </c>
      <c r="C176" s="19">
        <f ca="1">EDATE(C14,157)</f>
        <v>50512</v>
      </c>
      <c r="D176" s="20">
        <f>F10</f>
        <v>-1910.1162171782241</v>
      </c>
      <c r="E176" s="20">
        <f t="shared" si="6"/>
        <v>-4833.6505556618358</v>
      </c>
      <c r="F176" s="20">
        <f>H176*C11/C13</f>
        <v>2923.5343384836119</v>
      </c>
      <c r="G176" s="21">
        <f t="shared" si="7"/>
        <v>642695.68804299529</v>
      </c>
      <c r="H176">
        <f t="shared" si="8"/>
        <v>637862.03748733341</v>
      </c>
    </row>
    <row r="177" spans="2:8">
      <c r="B177" s="18">
        <f>158</f>
        <v>158</v>
      </c>
      <c r="C177" s="19">
        <f ca="1">EDATE(C14,158)</f>
        <v>50542</v>
      </c>
      <c r="D177" s="20">
        <f>F10</f>
        <v>-1910.1162171782241</v>
      </c>
      <c r="E177" s="20">
        <f t="shared" si="6"/>
        <v>-4855.8047873752857</v>
      </c>
      <c r="F177" s="20">
        <f>H177*C11/C13</f>
        <v>2945.6885701970618</v>
      </c>
      <c r="G177" s="21">
        <f t="shared" si="7"/>
        <v>647551.49283037055</v>
      </c>
      <c r="H177">
        <f t="shared" si="8"/>
        <v>642695.68804299529</v>
      </c>
    </row>
    <row r="178" spans="2:8">
      <c r="B178" s="18">
        <f>159</f>
        <v>159</v>
      </c>
      <c r="C178" s="19">
        <f ca="1">EDATE(C14,159)</f>
        <v>50573</v>
      </c>
      <c r="D178" s="20">
        <f>F10</f>
        <v>-1910.1162171782241</v>
      </c>
      <c r="E178" s="20">
        <f t="shared" si="6"/>
        <v>-4878.0605593174223</v>
      </c>
      <c r="F178" s="20">
        <f>H178*C11/C13</f>
        <v>2967.9443421391984</v>
      </c>
      <c r="G178" s="21">
        <f t="shared" si="7"/>
        <v>652429.55338968802</v>
      </c>
      <c r="H178">
        <f t="shared" si="8"/>
        <v>647551.49283037055</v>
      </c>
    </row>
    <row r="179" spans="2:8">
      <c r="B179" s="18">
        <f>160</f>
        <v>160</v>
      </c>
      <c r="C179" s="19">
        <f ca="1">EDATE(C14,160)</f>
        <v>50603</v>
      </c>
      <c r="D179" s="20">
        <f>F10</f>
        <v>-1910.1162171782241</v>
      </c>
      <c r="E179" s="20">
        <f t="shared" si="6"/>
        <v>-4900.4183368809609</v>
      </c>
      <c r="F179" s="20">
        <f>H179*C11/C13</f>
        <v>2990.3021197027369</v>
      </c>
      <c r="G179" s="21">
        <f t="shared" si="7"/>
        <v>657329.971726569</v>
      </c>
      <c r="H179">
        <f t="shared" si="8"/>
        <v>652429.55338968802</v>
      </c>
    </row>
    <row r="180" spans="2:8">
      <c r="B180" s="18">
        <f>161</f>
        <v>161</v>
      </c>
      <c r="C180" s="19">
        <f ca="1">EDATE(C14,161)</f>
        <v>50634</v>
      </c>
      <c r="D180" s="20">
        <f>F10</f>
        <v>-1910.1162171782241</v>
      </c>
      <c r="E180" s="20">
        <f t="shared" si="6"/>
        <v>-4922.8785875916656</v>
      </c>
      <c r="F180" s="20">
        <f>H180*C11/C13</f>
        <v>3012.7623704134417</v>
      </c>
      <c r="G180" s="21">
        <f t="shared" si="7"/>
        <v>662252.85031416069</v>
      </c>
      <c r="H180">
        <f t="shared" si="8"/>
        <v>657329.971726569</v>
      </c>
    </row>
    <row r="181" spans="2:8">
      <c r="B181" s="18">
        <f>162</f>
        <v>162</v>
      </c>
      <c r="C181" s="19">
        <f ca="1">EDATE(C14,162)</f>
        <v>50665</v>
      </c>
      <c r="D181" s="20">
        <f>F10</f>
        <v>-1910.1162171782241</v>
      </c>
      <c r="E181" s="20">
        <f t="shared" si="6"/>
        <v>-4945.4417811181274</v>
      </c>
      <c r="F181" s="20">
        <f>H181*C11/C13</f>
        <v>3035.3255639399031</v>
      </c>
      <c r="G181" s="21">
        <f t="shared" si="7"/>
        <v>667198.29209527886</v>
      </c>
      <c r="H181">
        <f t="shared" si="8"/>
        <v>662252.85031416069</v>
      </c>
    </row>
    <row r="182" spans="2:8">
      <c r="B182" s="18">
        <f>163</f>
        <v>163</v>
      </c>
      <c r="C182" s="19">
        <f ca="1">EDATE(C14,163)</f>
        <v>50695</v>
      </c>
      <c r="D182" s="20">
        <f>F10</f>
        <v>-1910.1162171782241</v>
      </c>
      <c r="E182" s="20">
        <f t="shared" si="6"/>
        <v>-4968.108389281585</v>
      </c>
      <c r="F182" s="20">
        <f>H182*C11/C13</f>
        <v>3057.9921721033611</v>
      </c>
      <c r="G182" s="21">
        <f t="shared" si="7"/>
        <v>672166.40048456041</v>
      </c>
      <c r="H182">
        <f t="shared" si="8"/>
        <v>667198.29209527886</v>
      </c>
    </row>
    <row r="183" spans="2:8">
      <c r="B183" s="18">
        <f>164</f>
        <v>164</v>
      </c>
      <c r="C183" s="19">
        <f ca="1">EDATE(C14,164)</f>
        <v>50726</v>
      </c>
      <c r="D183" s="20">
        <f>F10</f>
        <v>-1910.1162171782241</v>
      </c>
      <c r="E183" s="20">
        <f t="shared" si="6"/>
        <v>-4990.8788860657924</v>
      </c>
      <c r="F183" s="20">
        <f>H183*C11/C13</f>
        <v>3080.7626688875685</v>
      </c>
      <c r="G183" s="21">
        <f t="shared" si="7"/>
        <v>677157.2793706262</v>
      </c>
      <c r="H183">
        <f t="shared" si="8"/>
        <v>672166.40048456041</v>
      </c>
    </row>
    <row r="184" spans="2:8">
      <c r="B184" s="18">
        <f>165</f>
        <v>165</v>
      </c>
      <c r="C184" s="19">
        <f ca="1">EDATE(C14,165)</f>
        <v>50756</v>
      </c>
      <c r="D184" s="20">
        <f>F10</f>
        <v>-1910.1162171782241</v>
      </c>
      <c r="E184" s="20">
        <f t="shared" si="6"/>
        <v>-5013.7537476269272</v>
      </c>
      <c r="F184" s="20">
        <f>H184*C11/C13</f>
        <v>3103.6375304487033</v>
      </c>
      <c r="G184" s="21">
        <f t="shared" si="7"/>
        <v>682171.03311825311</v>
      </c>
      <c r="H184">
        <f t="shared" si="8"/>
        <v>677157.2793706262</v>
      </c>
    </row>
    <row r="185" spans="2:8">
      <c r="B185" s="18">
        <f>166</f>
        <v>166</v>
      </c>
      <c r="C185" s="19">
        <f ca="1">EDATE(C14,166)</f>
        <v>50787</v>
      </c>
      <c r="D185" s="20">
        <f>F10</f>
        <v>-1910.1162171782241</v>
      </c>
      <c r="E185" s="20">
        <f t="shared" si="6"/>
        <v>-5036.7334523035506</v>
      </c>
      <c r="F185" s="20">
        <f>H185*C11/C13</f>
        <v>3126.6172351253267</v>
      </c>
      <c r="G185" s="21">
        <f t="shared" si="7"/>
        <v>687207.76657055668</v>
      </c>
      <c r="H185">
        <f t="shared" si="8"/>
        <v>682171.03311825311</v>
      </c>
    </row>
    <row r="186" spans="2:8">
      <c r="B186" s="18">
        <f>167</f>
        <v>167</v>
      </c>
      <c r="C186" s="19">
        <f ca="1">EDATE(C14,167)</f>
        <v>50818</v>
      </c>
      <c r="D186" s="20">
        <f>F10</f>
        <v>-1910.1162171782241</v>
      </c>
      <c r="E186" s="20">
        <f t="shared" si="6"/>
        <v>-5059.818480626609</v>
      </c>
      <c r="F186" s="20">
        <f>H186*C11/C13</f>
        <v>3149.7022634483851</v>
      </c>
      <c r="G186" s="21">
        <f t="shared" si="7"/>
        <v>692267.58505118324</v>
      </c>
      <c r="H186">
        <f t="shared" si="8"/>
        <v>687207.76657055668</v>
      </c>
    </row>
    <row r="187" spans="2:8">
      <c r="B187" s="18">
        <f>168</f>
        <v>168</v>
      </c>
      <c r="C187" s="19">
        <f ca="1">EDATE(C14,168)</f>
        <v>50846</v>
      </c>
      <c r="D187" s="20">
        <f>F10</f>
        <v>-1910.1162171782241</v>
      </c>
      <c r="E187" s="20">
        <f t="shared" si="6"/>
        <v>-5083.0093153294811</v>
      </c>
      <c r="F187" s="20">
        <f>H187*C11/C13</f>
        <v>3172.8930981512567</v>
      </c>
      <c r="G187" s="21">
        <f t="shared" si="7"/>
        <v>697350.59436651273</v>
      </c>
      <c r="H187">
        <f t="shared" si="8"/>
        <v>692267.58505118324</v>
      </c>
    </row>
    <row r="188" spans="2:8">
      <c r="B188" s="18">
        <f>169</f>
        <v>169</v>
      </c>
      <c r="C188" s="19">
        <f ca="1">EDATE(C14,169)</f>
        <v>50877</v>
      </c>
      <c r="D188" s="20">
        <f>F10</f>
        <v>-1910.1162171782241</v>
      </c>
      <c r="E188" s="20">
        <f t="shared" si="6"/>
        <v>-5106.3064413580742</v>
      </c>
      <c r="F188" s="20">
        <f>H188*C11/C13</f>
        <v>3196.1902241798502</v>
      </c>
      <c r="G188" s="21">
        <f t="shared" si="7"/>
        <v>702456.90080787078</v>
      </c>
      <c r="H188">
        <f t="shared" si="8"/>
        <v>697350.59436651273</v>
      </c>
    </row>
    <row r="189" spans="2:8">
      <c r="B189" s="18">
        <f>170</f>
        <v>170</v>
      </c>
      <c r="C189" s="19">
        <f ca="1">EDATE(C14,170)</f>
        <v>50907</v>
      </c>
      <c r="D189" s="20">
        <f>F10</f>
        <v>-1910.1162171782241</v>
      </c>
      <c r="E189" s="20">
        <f t="shared" si="6"/>
        <v>-5129.7103458809652</v>
      </c>
      <c r="F189" s="20">
        <f>H189*C11/C13</f>
        <v>3219.5941287027413</v>
      </c>
      <c r="G189" s="21">
        <f t="shared" si="7"/>
        <v>707586.61115375173</v>
      </c>
      <c r="H189">
        <f t="shared" si="8"/>
        <v>702456.90080787078</v>
      </c>
    </row>
    <row r="190" spans="2:8">
      <c r="B190" s="18">
        <f>171</f>
        <v>171</v>
      </c>
      <c r="C190" s="19">
        <f ca="1">EDATE(C14,171)</f>
        <v>50938</v>
      </c>
      <c r="D190" s="20">
        <f>F10</f>
        <v>-1910.1162171782241</v>
      </c>
      <c r="E190" s="20">
        <f t="shared" si="6"/>
        <v>-5153.221518299586</v>
      </c>
      <c r="F190" s="20">
        <f>H190*C11/C13</f>
        <v>3243.1053011213621</v>
      </c>
      <c r="G190" s="21">
        <f t="shared" si="7"/>
        <v>712739.83267205127</v>
      </c>
      <c r="H190">
        <f t="shared" si="8"/>
        <v>707586.61115375173</v>
      </c>
    </row>
    <row r="191" spans="2:8">
      <c r="B191" s="18">
        <f>172</f>
        <v>172</v>
      </c>
      <c r="C191" s="19">
        <f ca="1">EDATE(C14,172)</f>
        <v>50968</v>
      </c>
      <c r="D191" s="20">
        <f>F10</f>
        <v>-1910.1162171782241</v>
      </c>
      <c r="E191" s="20">
        <f t="shared" si="6"/>
        <v>-5176.840450258459</v>
      </c>
      <c r="F191" s="20">
        <f>H191*C11/C13</f>
        <v>3266.7242330802351</v>
      </c>
      <c r="G191" s="21">
        <f t="shared" si="7"/>
        <v>717916.67312230973</v>
      </c>
      <c r="H191">
        <f t="shared" si="8"/>
        <v>712739.83267205127</v>
      </c>
    </row>
    <row r="192" spans="2:8">
      <c r="B192" s="18">
        <f>173</f>
        <v>173</v>
      </c>
      <c r="C192" s="19">
        <f ca="1">EDATE(C14,173)</f>
        <v>50999</v>
      </c>
      <c r="D192" s="20">
        <f>F10</f>
        <v>-1910.1162171782241</v>
      </c>
      <c r="E192" s="20">
        <f t="shared" si="6"/>
        <v>-5200.5676356554768</v>
      </c>
      <c r="F192" s="20">
        <f>H192*C11/C13</f>
        <v>3290.4514184772529</v>
      </c>
      <c r="G192" s="21">
        <f t="shared" si="7"/>
        <v>723117.24075796525</v>
      </c>
      <c r="H192">
        <f t="shared" si="8"/>
        <v>717916.67312230973</v>
      </c>
    </row>
    <row r="193" spans="2:8">
      <c r="B193" s="18">
        <f>174</f>
        <v>174</v>
      </c>
      <c r="C193" s="19">
        <f ca="1">EDATE(C14,174)</f>
        <v>51030</v>
      </c>
      <c r="D193" s="20">
        <f>F10</f>
        <v>-1910.1162171782241</v>
      </c>
      <c r="E193" s="20">
        <f t="shared" si="6"/>
        <v>-5224.4035706522309</v>
      </c>
      <c r="F193" s="20">
        <f>H193*C11/C13</f>
        <v>3314.287353474007</v>
      </c>
      <c r="G193" s="21">
        <f t="shared" si="7"/>
        <v>728341.64432861749</v>
      </c>
      <c r="H193">
        <f t="shared" si="8"/>
        <v>723117.24075796525</v>
      </c>
    </row>
    <row r="194" spans="2:8">
      <c r="B194" s="18">
        <f>175</f>
        <v>175</v>
      </c>
      <c r="C194" s="19">
        <f ca="1">EDATE(C14,175)</f>
        <v>51060</v>
      </c>
      <c r="D194" s="20">
        <f>F10</f>
        <v>-1910.1162171782241</v>
      </c>
      <c r="E194" s="20">
        <f t="shared" si="6"/>
        <v>-5248.3487536843877</v>
      </c>
      <c r="F194" s="20">
        <f>H194*C11/C13</f>
        <v>3338.2325365061638</v>
      </c>
      <c r="G194" s="21">
        <f t="shared" si="7"/>
        <v>733589.99308230192</v>
      </c>
      <c r="H194">
        <f t="shared" si="8"/>
        <v>728341.64432861749</v>
      </c>
    </row>
    <row r="195" spans="2:8">
      <c r="B195" s="18">
        <f>176</f>
        <v>176</v>
      </c>
      <c r="C195" s="19">
        <f ca="1">EDATE(C14,176)</f>
        <v>51091</v>
      </c>
      <c r="D195" s="20">
        <f>F10</f>
        <v>-1910.1162171782241</v>
      </c>
      <c r="E195" s="20">
        <f t="shared" si="6"/>
        <v>-5272.403685472108</v>
      </c>
      <c r="F195" s="20">
        <f>H195*C11/C13</f>
        <v>3362.2874682938836</v>
      </c>
      <c r="G195" s="21">
        <f t="shared" si="7"/>
        <v>738862.39676777401</v>
      </c>
      <c r="H195">
        <f t="shared" si="8"/>
        <v>733589.99308230192</v>
      </c>
    </row>
    <row r="196" spans="2:8">
      <c r="B196" s="18">
        <f>177</f>
        <v>177</v>
      </c>
      <c r="C196" s="19">
        <f ca="1">EDATE(C14,177)</f>
        <v>51121</v>
      </c>
      <c r="D196" s="20">
        <f>F10</f>
        <v>-1910.1162171782241</v>
      </c>
      <c r="E196" s="20">
        <f t="shared" si="6"/>
        <v>-5296.5688690305215</v>
      </c>
      <c r="F196" s="20">
        <f>H196*C11/C13</f>
        <v>3386.4526518522975</v>
      </c>
      <c r="G196" s="21">
        <f t="shared" si="7"/>
        <v>744158.96563680458</v>
      </c>
      <c r="H196">
        <f t="shared" si="8"/>
        <v>738862.39676777401</v>
      </c>
    </row>
    <row r="197" spans="2:8">
      <c r="B197" s="18">
        <f>178</f>
        <v>178</v>
      </c>
      <c r="C197" s="19">
        <f ca="1">EDATE(C14,178)</f>
        <v>51152</v>
      </c>
      <c r="D197" s="20">
        <f>F10</f>
        <v>-1910.1162171782241</v>
      </c>
      <c r="E197" s="20">
        <f t="shared" si="6"/>
        <v>-5320.8448096802449</v>
      </c>
      <c r="F197" s="20">
        <f>H197*C11/C13</f>
        <v>3410.728592502021</v>
      </c>
      <c r="G197" s="21">
        <f t="shared" si="7"/>
        <v>749479.81044648483</v>
      </c>
      <c r="H197">
        <f t="shared" si="8"/>
        <v>744158.96563680458</v>
      </c>
    </row>
    <row r="198" spans="2:8">
      <c r="B198" s="18">
        <f>179</f>
        <v>179</v>
      </c>
      <c r="C198" s="19">
        <f ca="1">EDATE(C14,179)</f>
        <v>51183</v>
      </c>
      <c r="D198" s="20">
        <f>F10</f>
        <v>-1910.1162171782241</v>
      </c>
      <c r="E198" s="20">
        <f t="shared" si="6"/>
        <v>-5345.2320150579462</v>
      </c>
      <c r="F198" s="20">
        <f>H198*C11/C13</f>
        <v>3435.1157978797219</v>
      </c>
      <c r="G198" s="21">
        <f t="shared" si="7"/>
        <v>754825.04246154276</v>
      </c>
      <c r="H198">
        <f t="shared" si="8"/>
        <v>749479.81044648483</v>
      </c>
    </row>
    <row r="199" spans="2:8">
      <c r="B199" s="18">
        <f>180</f>
        <v>180</v>
      </c>
      <c r="C199" s="19">
        <f ca="1">EDATE(C14,180)</f>
        <v>51212</v>
      </c>
      <c r="D199" s="20">
        <f>F10</f>
        <v>-1910.1162171782241</v>
      </c>
      <c r="E199" s="20">
        <f t="shared" si="6"/>
        <v>-5369.7309951269617</v>
      </c>
      <c r="F199" s="20">
        <f>H199*C11/C13</f>
        <v>3459.6147779487378</v>
      </c>
      <c r="G199" s="21">
        <f t="shared" si="7"/>
        <v>760194.77345666976</v>
      </c>
      <c r="H199">
        <f t="shared" si="8"/>
        <v>754825.04246154276</v>
      </c>
    </row>
    <row r="200" spans="2:8">
      <c r="B200" s="18">
        <f>181</f>
        <v>181</v>
      </c>
      <c r="C200" s="19">
        <f ca="1">EDATE(C14,181)</f>
        <v>51243</v>
      </c>
      <c r="D200" s="20">
        <f>F10</f>
        <v>-1910.1162171782241</v>
      </c>
      <c r="E200" s="20">
        <f t="shared" si="6"/>
        <v>-5394.3422621879608</v>
      </c>
      <c r="F200" s="20">
        <f>H200*C11/C13</f>
        <v>3484.2260450097365</v>
      </c>
      <c r="G200" s="21">
        <f t="shared" si="7"/>
        <v>765589.11571885773</v>
      </c>
      <c r="H200">
        <f t="shared" si="8"/>
        <v>760194.77345666976</v>
      </c>
    </row>
    <row r="201" spans="2:8">
      <c r="B201" s="18">
        <f>182</f>
        <v>182</v>
      </c>
      <c r="C201" s="19">
        <f ca="1">EDATE(C14,182)</f>
        <v>51273</v>
      </c>
      <c r="D201" s="20">
        <f>F10</f>
        <v>-1910.1162171782241</v>
      </c>
      <c r="E201" s="20">
        <f t="shared" si="6"/>
        <v>-5419.0663308896555</v>
      </c>
      <c r="F201" s="20">
        <f>H201*C11/C13</f>
        <v>3508.9501137114312</v>
      </c>
      <c r="G201" s="21">
        <f t="shared" si="7"/>
        <v>771008.18204974744</v>
      </c>
      <c r="H201">
        <f t="shared" si="8"/>
        <v>765589.11571885773</v>
      </c>
    </row>
    <row r="202" spans="2:8">
      <c r="B202" s="18">
        <f>183</f>
        <v>183</v>
      </c>
      <c r="C202" s="19">
        <f ca="1">EDATE(C14,183)</f>
        <v>51304</v>
      </c>
      <c r="D202" s="20">
        <f>F10</f>
        <v>-1910.1162171782241</v>
      </c>
      <c r="E202" s="20">
        <f t="shared" si="6"/>
        <v>-5443.9037182395668</v>
      </c>
      <c r="F202" s="20">
        <f>H202*C11/C13</f>
        <v>3533.7875010613425</v>
      </c>
      <c r="G202" s="21">
        <f t="shared" si="7"/>
        <v>776452.08576798695</v>
      </c>
      <c r="H202">
        <f t="shared" si="8"/>
        <v>771008.18204974744</v>
      </c>
    </row>
    <row r="203" spans="2:8">
      <c r="B203" s="18">
        <f>184</f>
        <v>184</v>
      </c>
      <c r="C203" s="19">
        <f ca="1">EDATE(C14,184)</f>
        <v>51334</v>
      </c>
      <c r="D203" s="20">
        <f>F10</f>
        <v>-1910.1162171782241</v>
      </c>
      <c r="E203" s="20">
        <f t="shared" si="6"/>
        <v>-5468.8549436148305</v>
      </c>
      <c r="F203" s="20">
        <f>H203*C11/C13</f>
        <v>3558.7387264366066</v>
      </c>
      <c r="G203" s="21">
        <f t="shared" si="7"/>
        <v>781920.94071160175</v>
      </c>
      <c r="H203">
        <f t="shared" si="8"/>
        <v>776452.08576798695</v>
      </c>
    </row>
    <row r="204" spans="2:8">
      <c r="B204" s="18">
        <f>185</f>
        <v>185</v>
      </c>
      <c r="C204" s="19">
        <f ca="1">EDATE(C14,185)</f>
        <v>51365</v>
      </c>
      <c r="D204" s="20">
        <f>F10</f>
        <v>-1910.1162171782241</v>
      </c>
      <c r="E204" s="20">
        <f t="shared" si="6"/>
        <v>-5493.9205287730656</v>
      </c>
      <c r="F204" s="20">
        <f>H204*C11/C13</f>
        <v>3583.8043115948417</v>
      </c>
      <c r="G204" s="21">
        <f t="shared" si="7"/>
        <v>787414.86124037486</v>
      </c>
      <c r="H204">
        <f t="shared" si="8"/>
        <v>781920.94071160175</v>
      </c>
    </row>
    <row r="205" spans="2:8">
      <c r="B205" s="18">
        <f>186</f>
        <v>186</v>
      </c>
      <c r="C205" s="19">
        <f ca="1">EDATE(C14,186)</f>
        <v>51396</v>
      </c>
      <c r="D205" s="20">
        <f>F10</f>
        <v>-1910.1162171782241</v>
      </c>
      <c r="E205" s="20">
        <f t="shared" si="6"/>
        <v>-5519.1009978632756</v>
      </c>
      <c r="F205" s="20">
        <f>H205*C11/C13</f>
        <v>3608.9847806850516</v>
      </c>
      <c r="G205" s="21">
        <f t="shared" si="7"/>
        <v>792933.96223823808</v>
      </c>
      <c r="H205">
        <f t="shared" si="8"/>
        <v>787414.86124037486</v>
      </c>
    </row>
    <row r="206" spans="2:8">
      <c r="B206" s="18">
        <f>187</f>
        <v>187</v>
      </c>
      <c r="C206" s="19">
        <f ca="1">EDATE(C14,187)</f>
        <v>51426</v>
      </c>
      <c r="D206" s="20">
        <f>F10</f>
        <v>-1910.1162171782241</v>
      </c>
      <c r="E206" s="20">
        <f t="shared" si="6"/>
        <v>-5544.396877436815</v>
      </c>
      <c r="F206" s="20">
        <f>H206*C11/C13</f>
        <v>3634.2806602585911</v>
      </c>
      <c r="G206" s="21">
        <f t="shared" si="7"/>
        <v>798478.35911567486</v>
      </c>
      <c r="H206">
        <f t="shared" si="8"/>
        <v>792933.96223823808</v>
      </c>
    </row>
    <row r="207" spans="2:8">
      <c r="B207" s="18">
        <f>188</f>
        <v>188</v>
      </c>
      <c r="C207" s="19">
        <f ca="1">EDATE(C14,188)</f>
        <v>51457</v>
      </c>
      <c r="D207" s="20">
        <f>F10</f>
        <v>-1910.1162171782241</v>
      </c>
      <c r="E207" s="20">
        <f t="shared" si="6"/>
        <v>-5569.8086964584008</v>
      </c>
      <c r="F207" s="20">
        <f>H207*C11/C13</f>
        <v>3659.6924792801765</v>
      </c>
      <c r="G207" s="21">
        <f t="shared" si="7"/>
        <v>804048.16781213321</v>
      </c>
      <c r="H207">
        <f t="shared" si="8"/>
        <v>798478.35911567486</v>
      </c>
    </row>
    <row r="208" spans="2:8">
      <c r="B208" s="18">
        <f>189</f>
        <v>189</v>
      </c>
      <c r="C208" s="19">
        <f ca="1">EDATE(C14,189)</f>
        <v>51487</v>
      </c>
      <c r="D208" s="20">
        <f>F10</f>
        <v>-1910.1162171782241</v>
      </c>
      <c r="E208" s="20">
        <f t="shared" si="6"/>
        <v>-5595.3369863171674</v>
      </c>
      <c r="F208" s="20">
        <f>H208*C11/C13</f>
        <v>3685.2207691389435</v>
      </c>
      <c r="G208" s="21">
        <f t="shared" si="7"/>
        <v>809643.50479845039</v>
      </c>
      <c r="H208">
        <f t="shared" si="8"/>
        <v>804048.16781213321</v>
      </c>
    </row>
    <row r="209" spans="2:8">
      <c r="B209" s="18">
        <f>190</f>
        <v>190</v>
      </c>
      <c r="C209" s="19">
        <f ca="1">EDATE(C14,190)</f>
        <v>51518</v>
      </c>
      <c r="D209" s="20">
        <f>F10</f>
        <v>-1910.1162171782241</v>
      </c>
      <c r="E209" s="20">
        <f t="shared" si="6"/>
        <v>-5620.9822808377885</v>
      </c>
      <c r="F209" s="20">
        <f>H209*C11/C13</f>
        <v>3710.8660636595646</v>
      </c>
      <c r="G209" s="21">
        <f t="shared" si="7"/>
        <v>815264.48707928823</v>
      </c>
      <c r="H209">
        <f t="shared" si="8"/>
        <v>809643.50479845039</v>
      </c>
    </row>
    <row r="210" spans="2:8">
      <c r="B210" s="18">
        <f>191</f>
        <v>191</v>
      </c>
      <c r="C210" s="19">
        <f ca="1">EDATE(C14,191)</f>
        <v>51549</v>
      </c>
      <c r="D210" s="20">
        <f>F10</f>
        <v>-1910.1162171782241</v>
      </c>
      <c r="E210" s="20">
        <f t="shared" si="6"/>
        <v>-5646.7451162916286</v>
      </c>
      <c r="F210" s="20">
        <f>H210*C11/C13</f>
        <v>3736.6288991134043</v>
      </c>
      <c r="G210" s="21">
        <f t="shared" si="7"/>
        <v>820911.23219557991</v>
      </c>
      <c r="H210">
        <f t="shared" si="8"/>
        <v>815264.48707928823</v>
      </c>
    </row>
    <row r="211" spans="2:8">
      <c r="B211" s="18">
        <f>192</f>
        <v>192</v>
      </c>
      <c r="C211" s="19">
        <f ca="1">EDATE(C14,192)</f>
        <v>51577</v>
      </c>
      <c r="D211" s="20">
        <f>F10</f>
        <v>-1910.1162171782241</v>
      </c>
      <c r="E211" s="20">
        <f t="shared" si="6"/>
        <v>-5672.6260314079655</v>
      </c>
      <c r="F211" s="20">
        <f>H211*C11/C13</f>
        <v>3762.5098142297411</v>
      </c>
      <c r="G211" s="21">
        <f t="shared" si="7"/>
        <v>826583.85822698788</v>
      </c>
      <c r="H211">
        <f t="shared" si="8"/>
        <v>820911.23219557991</v>
      </c>
    </row>
    <row r="212" spans="2:8">
      <c r="B212" s="18">
        <f>193</f>
        <v>193</v>
      </c>
      <c r="C212" s="19">
        <f ca="1">EDATE(C14,193)</f>
        <v>51608</v>
      </c>
      <c r="D212" s="20">
        <f>F10</f>
        <v>-1910.1162171782241</v>
      </c>
      <c r="E212" s="20">
        <f t="shared" ref="E212:E275" si="9">D212-F212</f>
        <v>-5698.625567385252</v>
      </c>
      <c r="F212" s="20">
        <f>H212*C11/C13</f>
        <v>3788.5093502070281</v>
      </c>
      <c r="G212" s="21">
        <f t="shared" si="7"/>
        <v>832282.48379437311</v>
      </c>
      <c r="H212">
        <f t="shared" si="8"/>
        <v>826583.85822698788</v>
      </c>
    </row>
    <row r="213" spans="2:8">
      <c r="B213" s="18">
        <f>194</f>
        <v>194</v>
      </c>
      <c r="C213" s="19">
        <f ca="1">EDATE(C14,194)</f>
        <v>51638</v>
      </c>
      <c r="D213" s="20">
        <f>F10</f>
        <v>-1910.1162171782241</v>
      </c>
      <c r="E213" s="20">
        <f t="shared" si="9"/>
        <v>-5724.7442679024343</v>
      </c>
      <c r="F213" s="20">
        <f>H213*C11/C13</f>
        <v>3814.62805072421</v>
      </c>
      <c r="G213" s="21">
        <f t="shared" ref="G213:G276" si="10">G212-E213</f>
        <v>838007.22806227556</v>
      </c>
      <c r="H213">
        <f t="shared" ref="H213:H276" si="11">G212</f>
        <v>832282.48379437311</v>
      </c>
    </row>
    <row r="214" spans="2:8">
      <c r="B214" s="18">
        <f>195</f>
        <v>195</v>
      </c>
      <c r="C214" s="19">
        <f ca="1">EDATE(C14,195)</f>
        <v>51669</v>
      </c>
      <c r="D214" s="20">
        <f>F10</f>
        <v>-1910.1162171782241</v>
      </c>
      <c r="E214" s="20">
        <f t="shared" si="9"/>
        <v>-5750.9826791303203</v>
      </c>
      <c r="F214" s="20">
        <f>H214*C11/C13</f>
        <v>3840.8664619520964</v>
      </c>
      <c r="G214" s="21">
        <f t="shared" si="10"/>
        <v>843758.21074140584</v>
      </c>
      <c r="H214">
        <f t="shared" si="11"/>
        <v>838007.22806227556</v>
      </c>
    </row>
    <row r="215" spans="2:8">
      <c r="B215" s="18">
        <f>196</f>
        <v>196</v>
      </c>
      <c r="C215" s="19">
        <f ca="1">EDATE(C14,196)</f>
        <v>51699</v>
      </c>
      <c r="D215" s="20">
        <f>F10</f>
        <v>-1910.1162171782241</v>
      </c>
      <c r="E215" s="20">
        <f t="shared" si="9"/>
        <v>-5777.341349743001</v>
      </c>
      <c r="F215" s="20">
        <f>H215*C11/C13</f>
        <v>3867.2251325647771</v>
      </c>
      <c r="G215" s="21">
        <f t="shared" si="10"/>
        <v>849535.5520911488</v>
      </c>
      <c r="H215">
        <f t="shared" si="11"/>
        <v>843758.21074140584</v>
      </c>
    </row>
    <row r="216" spans="2:8">
      <c r="B216" s="18">
        <f>197</f>
        <v>197</v>
      </c>
      <c r="C216" s="19">
        <f ca="1">EDATE(C14,197)</f>
        <v>51730</v>
      </c>
      <c r="D216" s="20">
        <f>F10</f>
        <v>-1910.1162171782241</v>
      </c>
      <c r="E216" s="20">
        <f t="shared" si="9"/>
        <v>-5803.8208309293232</v>
      </c>
      <c r="F216" s="20">
        <f>H216*C11/C13</f>
        <v>3893.7046137510988</v>
      </c>
      <c r="G216" s="21">
        <f t="shared" si="10"/>
        <v>855339.37292207812</v>
      </c>
      <c r="H216">
        <f t="shared" si="11"/>
        <v>849535.5520911488</v>
      </c>
    </row>
    <row r="217" spans="2:8">
      <c r="B217" s="18">
        <f>198</f>
        <v>198</v>
      </c>
      <c r="C217" s="19">
        <f ca="1">EDATE(C14,198)</f>
        <v>51761</v>
      </c>
      <c r="D217" s="20">
        <f>F10</f>
        <v>-1910.1162171782241</v>
      </c>
      <c r="E217" s="20">
        <f t="shared" si="9"/>
        <v>-5830.4216764044149</v>
      </c>
      <c r="F217" s="20">
        <f>H217*C11/C13</f>
        <v>3920.305459226191</v>
      </c>
      <c r="G217" s="21">
        <f t="shared" si="10"/>
        <v>861169.79459848255</v>
      </c>
      <c r="H217">
        <f t="shared" si="11"/>
        <v>855339.37292207812</v>
      </c>
    </row>
    <row r="218" spans="2:8">
      <c r="B218" s="18">
        <f>199</f>
        <v>199</v>
      </c>
      <c r="C218" s="19">
        <f ca="1">EDATE(C14,199)</f>
        <v>51791</v>
      </c>
      <c r="D218" s="20">
        <f>F10</f>
        <v>-1910.1162171782241</v>
      </c>
      <c r="E218" s="20">
        <f t="shared" si="9"/>
        <v>-5857.1444424212686</v>
      </c>
      <c r="F218" s="20">
        <f>H218*C11/C13</f>
        <v>3947.0282252430447</v>
      </c>
      <c r="G218" s="21">
        <f t="shared" si="10"/>
        <v>867026.93904090382</v>
      </c>
      <c r="H218">
        <f t="shared" si="11"/>
        <v>861169.79459848255</v>
      </c>
    </row>
    <row r="219" spans="2:8">
      <c r="B219" s="18">
        <f>200</f>
        <v>200</v>
      </c>
      <c r="C219" s="19">
        <f ca="1">EDATE(C14,200)</f>
        <v>51822</v>
      </c>
      <c r="D219" s="20">
        <f>F10</f>
        <v>-1910.1162171782241</v>
      </c>
      <c r="E219" s="20">
        <f t="shared" si="9"/>
        <v>-5883.9896877823667</v>
      </c>
      <c r="F219" s="20">
        <f>H219*C11/C13</f>
        <v>3973.8734706041428</v>
      </c>
      <c r="G219" s="21">
        <f t="shared" si="10"/>
        <v>872910.92872868618</v>
      </c>
      <c r="H219">
        <f t="shared" si="11"/>
        <v>867026.93904090382</v>
      </c>
    </row>
    <row r="220" spans="2:8">
      <c r="B220" s="18">
        <f>201</f>
        <v>201</v>
      </c>
      <c r="C220" s="19">
        <f ca="1">EDATE(C14,201)</f>
        <v>51852</v>
      </c>
      <c r="D220" s="20">
        <f>F10</f>
        <v>-1910.1162171782241</v>
      </c>
      <c r="E220" s="20">
        <f t="shared" si="9"/>
        <v>-5910.9579738513685</v>
      </c>
      <c r="F220" s="20">
        <f>H220*C11/C13</f>
        <v>4000.8417566731446</v>
      </c>
      <c r="G220" s="21">
        <f t="shared" si="10"/>
        <v>878821.88670253754</v>
      </c>
      <c r="H220">
        <f t="shared" si="11"/>
        <v>872910.92872868618</v>
      </c>
    </row>
    <row r="221" spans="2:8">
      <c r="B221" s="18">
        <f>202</f>
        <v>202</v>
      </c>
      <c r="C221" s="19">
        <f ca="1">EDATE(C14,202)</f>
        <v>51883</v>
      </c>
      <c r="D221" s="20">
        <f>F10</f>
        <v>-1910.1162171782241</v>
      </c>
      <c r="E221" s="20">
        <f t="shared" si="9"/>
        <v>-5938.049864564854</v>
      </c>
      <c r="F221" s="20">
        <f>H221*C11/C13</f>
        <v>4027.9336473866301</v>
      </c>
      <c r="G221" s="21">
        <f t="shared" si="10"/>
        <v>884759.93656710244</v>
      </c>
      <c r="H221">
        <f t="shared" si="11"/>
        <v>878821.88670253754</v>
      </c>
    </row>
    <row r="222" spans="2:8">
      <c r="B222" s="18">
        <f>203</f>
        <v>203</v>
      </c>
      <c r="C222" s="19">
        <f ca="1">EDATE(C14,203)</f>
        <v>51914</v>
      </c>
      <c r="D222" s="20">
        <f>F10</f>
        <v>-1910.1162171782241</v>
      </c>
      <c r="E222" s="20">
        <f t="shared" si="9"/>
        <v>-5965.2659264441108</v>
      </c>
      <c r="F222" s="20">
        <f>H222*C11/C13</f>
        <v>4055.1497092658865</v>
      </c>
      <c r="G222" s="21">
        <f t="shared" si="10"/>
        <v>890725.20249354653</v>
      </c>
      <c r="H222">
        <f t="shared" si="11"/>
        <v>884759.93656710244</v>
      </c>
    </row>
    <row r="223" spans="2:8">
      <c r="B223" s="18">
        <f>204</f>
        <v>204</v>
      </c>
      <c r="C223" s="19">
        <f ca="1">EDATE(C14,204)</f>
        <v>51942</v>
      </c>
      <c r="D223" s="20">
        <f>F10</f>
        <v>-1910.1162171782241</v>
      </c>
      <c r="E223" s="20">
        <f t="shared" si="9"/>
        <v>-5992.6067286069792</v>
      </c>
      <c r="F223" s="20">
        <f>H223*C11/C13</f>
        <v>4082.4905114287553</v>
      </c>
      <c r="G223" s="21">
        <f t="shared" si="10"/>
        <v>896717.8092221535</v>
      </c>
      <c r="H223">
        <f t="shared" si="11"/>
        <v>890725.20249354653</v>
      </c>
    </row>
    <row r="224" spans="2:8">
      <c r="B224" s="18">
        <f>205</f>
        <v>205</v>
      </c>
      <c r="C224" s="19">
        <f ca="1">EDATE(C14,205)</f>
        <v>51973</v>
      </c>
      <c r="D224" s="20">
        <f>F10</f>
        <v>-1910.1162171782241</v>
      </c>
      <c r="E224" s="20">
        <f t="shared" si="9"/>
        <v>-6020.0728427797612</v>
      </c>
      <c r="F224" s="20">
        <f>H224*C11/C13</f>
        <v>4109.9566256015369</v>
      </c>
      <c r="G224" s="21">
        <f t="shared" si="10"/>
        <v>902737.88206493331</v>
      </c>
      <c r="H224">
        <f t="shared" si="11"/>
        <v>896717.8092221535</v>
      </c>
    </row>
    <row r="225" spans="2:8">
      <c r="B225" s="18">
        <f>206</f>
        <v>206</v>
      </c>
      <c r="C225" s="19">
        <f ca="1">EDATE(C14,206)</f>
        <v>52003</v>
      </c>
      <c r="D225" s="20">
        <f>F10</f>
        <v>-1910.1162171782241</v>
      </c>
      <c r="E225" s="20">
        <f t="shared" si="9"/>
        <v>-6047.6648433091686</v>
      </c>
      <c r="F225" s="20">
        <f>H225*C11/C13</f>
        <v>4137.5486261309443</v>
      </c>
      <c r="G225" s="21">
        <f t="shared" si="10"/>
        <v>908785.54690824251</v>
      </c>
      <c r="H225">
        <f t="shared" si="11"/>
        <v>902737.88206493331</v>
      </c>
    </row>
    <row r="226" spans="2:8">
      <c r="B226" s="18">
        <f>207</f>
        <v>207</v>
      </c>
      <c r="C226" s="19">
        <f ca="1">EDATE(C14,207)</f>
        <v>52034</v>
      </c>
      <c r="D226" s="20">
        <f>F10</f>
        <v>-1910.1162171782241</v>
      </c>
      <c r="E226" s="20">
        <f t="shared" si="9"/>
        <v>-6075.3833071743356</v>
      </c>
      <c r="F226" s="20">
        <f>H226*C11/C13</f>
        <v>4165.2670899961113</v>
      </c>
      <c r="G226" s="21">
        <f t="shared" si="10"/>
        <v>914860.93021541683</v>
      </c>
      <c r="H226">
        <f t="shared" si="11"/>
        <v>908785.54690824251</v>
      </c>
    </row>
    <row r="227" spans="2:8">
      <c r="B227" s="18">
        <f>208</f>
        <v>208</v>
      </c>
      <c r="C227" s="19">
        <f ca="1">EDATE(C14,208)</f>
        <v>52064</v>
      </c>
      <c r="D227" s="20">
        <f>F10</f>
        <v>-1910.1162171782241</v>
      </c>
      <c r="E227" s="20">
        <f t="shared" si="9"/>
        <v>-6103.228813998885</v>
      </c>
      <c r="F227" s="20">
        <f>H227*C11/C13</f>
        <v>4193.1125968206607</v>
      </c>
      <c r="G227" s="21">
        <f t="shared" si="10"/>
        <v>920964.15902941569</v>
      </c>
      <c r="H227">
        <f t="shared" si="11"/>
        <v>914860.93021541683</v>
      </c>
    </row>
    <row r="228" spans="2:8">
      <c r="B228" s="18">
        <f>209</f>
        <v>209</v>
      </c>
      <c r="C228" s="19">
        <f ca="1">EDATE(C14,209)</f>
        <v>52095</v>
      </c>
      <c r="D228" s="20">
        <f>F10</f>
        <v>-1910.1162171782241</v>
      </c>
      <c r="E228" s="20">
        <f t="shared" si="9"/>
        <v>-6131.2019460630463</v>
      </c>
      <c r="F228" s="20">
        <f>H228*C11/C13</f>
        <v>4221.0857288848219</v>
      </c>
      <c r="G228" s="21">
        <f t="shared" si="10"/>
        <v>927095.36097547878</v>
      </c>
      <c r="H228">
        <f t="shared" si="11"/>
        <v>920964.15902941569</v>
      </c>
    </row>
    <row r="229" spans="2:8">
      <c r="B229" s="18">
        <f>210</f>
        <v>210</v>
      </c>
      <c r="C229" s="19">
        <f ca="1">EDATE(C14,210)</f>
        <v>52126</v>
      </c>
      <c r="D229" s="20">
        <f>F10</f>
        <v>-1910.1162171782241</v>
      </c>
      <c r="E229" s="20">
        <f t="shared" si="9"/>
        <v>-6159.3032883158357</v>
      </c>
      <c r="F229" s="20">
        <f>H229*C11/C13</f>
        <v>4249.1870711376114</v>
      </c>
      <c r="G229" s="21">
        <f t="shared" si="10"/>
        <v>933254.66426379466</v>
      </c>
      <c r="H229">
        <f t="shared" si="11"/>
        <v>927095.36097547878</v>
      </c>
    </row>
    <row r="230" spans="2:8">
      <c r="B230" s="18">
        <f>211</f>
        <v>211</v>
      </c>
      <c r="C230" s="19">
        <f ca="1">EDATE(C14,211)</f>
        <v>52156</v>
      </c>
      <c r="D230" s="20">
        <f>F10</f>
        <v>-1910.1162171782241</v>
      </c>
      <c r="E230" s="20">
        <f t="shared" si="9"/>
        <v>-6187.5334283872835</v>
      </c>
      <c r="F230" s="20">
        <f>H230*C11/C13</f>
        <v>4277.4172112090591</v>
      </c>
      <c r="G230" s="21">
        <f t="shared" si="10"/>
        <v>939442.19769218192</v>
      </c>
      <c r="H230">
        <f t="shared" si="11"/>
        <v>933254.66426379466</v>
      </c>
    </row>
    <row r="231" spans="2:8">
      <c r="B231" s="18">
        <f>212</f>
        <v>212</v>
      </c>
      <c r="C231" s="19">
        <f ca="1">EDATE(C14,212)</f>
        <v>52187</v>
      </c>
      <c r="D231" s="20">
        <f>F10</f>
        <v>-1910.1162171782241</v>
      </c>
      <c r="E231" s="20">
        <f t="shared" si="9"/>
        <v>-6215.8929566007246</v>
      </c>
      <c r="F231" s="20">
        <f>H231*C11/C13</f>
        <v>4305.7767394225002</v>
      </c>
      <c r="G231" s="21">
        <f t="shared" si="10"/>
        <v>945658.09064878267</v>
      </c>
      <c r="H231">
        <f t="shared" si="11"/>
        <v>939442.19769218192</v>
      </c>
    </row>
    <row r="232" spans="2:8">
      <c r="B232" s="18">
        <f>213</f>
        <v>213</v>
      </c>
      <c r="C232" s="19">
        <f ca="1">EDATE(C14,213)</f>
        <v>52217</v>
      </c>
      <c r="D232" s="20">
        <f>F10</f>
        <v>-1910.1162171782241</v>
      </c>
      <c r="E232" s="20">
        <f t="shared" si="9"/>
        <v>-6244.3824659851452</v>
      </c>
      <c r="F232" s="20">
        <f>H232*C11/C13</f>
        <v>4334.2662488069209</v>
      </c>
      <c r="G232" s="21">
        <f t="shared" si="10"/>
        <v>951902.47311476781</v>
      </c>
      <c r="H232">
        <f t="shared" si="11"/>
        <v>945658.09064878267</v>
      </c>
    </row>
    <row r="233" spans="2:8">
      <c r="B233" s="18">
        <f>214</f>
        <v>214</v>
      </c>
      <c r="C233" s="19">
        <f ca="1">EDATE(C14,214)</f>
        <v>52248</v>
      </c>
      <c r="D233" s="20">
        <f>F10</f>
        <v>-1910.1162171782241</v>
      </c>
      <c r="E233" s="20">
        <f t="shared" si="9"/>
        <v>-6273.0025522875767</v>
      </c>
      <c r="F233" s="20">
        <f>H233*C11/C13</f>
        <v>4362.8863351093523</v>
      </c>
      <c r="G233" s="21">
        <f t="shared" si="10"/>
        <v>958175.47566705535</v>
      </c>
      <c r="H233">
        <f t="shared" si="11"/>
        <v>951902.47311476781</v>
      </c>
    </row>
    <row r="234" spans="2:8">
      <c r="B234" s="18">
        <f>215</f>
        <v>215</v>
      </c>
      <c r="C234" s="19">
        <f ca="1">EDATE(C14,215)</f>
        <v>52279</v>
      </c>
      <c r="D234" s="20">
        <f>F10</f>
        <v>-1910.1162171782241</v>
      </c>
      <c r="E234" s="20">
        <f t="shared" si="9"/>
        <v>-6301.7538139855615</v>
      </c>
      <c r="F234" s="20">
        <f>H234*C11/C13</f>
        <v>4391.6375968073371</v>
      </c>
      <c r="G234" s="21">
        <f t="shared" si="10"/>
        <v>964477.22948104097</v>
      </c>
      <c r="H234">
        <f t="shared" si="11"/>
        <v>958175.47566705535</v>
      </c>
    </row>
    <row r="235" spans="2:8">
      <c r="B235" s="18">
        <f>216</f>
        <v>216</v>
      </c>
      <c r="C235" s="19">
        <f ca="1">EDATE(C14,216)</f>
        <v>52307</v>
      </c>
      <c r="D235" s="20">
        <f>F10</f>
        <v>-1910.1162171782241</v>
      </c>
      <c r="E235" s="20">
        <f t="shared" si="9"/>
        <v>-6330.6368522996618</v>
      </c>
      <c r="F235" s="20">
        <f>H235*C11/C13</f>
        <v>4420.5206351214374</v>
      </c>
      <c r="G235" s="21">
        <f t="shared" si="10"/>
        <v>970807.86633334064</v>
      </c>
      <c r="H235">
        <f t="shared" si="11"/>
        <v>964477.22948104097</v>
      </c>
    </row>
    <row r="236" spans="2:8">
      <c r="B236" s="18">
        <f>217</f>
        <v>217</v>
      </c>
      <c r="C236" s="19">
        <f ca="1">EDATE(C14,217)</f>
        <v>52338</v>
      </c>
      <c r="D236" s="20">
        <f>F10</f>
        <v>-1910.1162171782241</v>
      </c>
      <c r="E236" s="20">
        <f t="shared" si="9"/>
        <v>-6359.6522712060359</v>
      </c>
      <c r="F236" s="20">
        <f>H236*C11/C13</f>
        <v>4449.5360540278116</v>
      </c>
      <c r="G236" s="21">
        <f t="shared" si="10"/>
        <v>977167.51860454667</v>
      </c>
      <c r="H236">
        <f t="shared" si="11"/>
        <v>970807.86633334064</v>
      </c>
    </row>
    <row r="237" spans="2:8">
      <c r="B237" s="18">
        <f>218</f>
        <v>218</v>
      </c>
      <c r="C237" s="19">
        <f ca="1">EDATE(C14,218)</f>
        <v>52368</v>
      </c>
      <c r="D237" s="20">
        <f>F10</f>
        <v>-1910.1162171782241</v>
      </c>
      <c r="E237" s="20">
        <f t="shared" si="9"/>
        <v>-6388.8006774490632</v>
      </c>
      <c r="F237" s="20">
        <f>H237*C11/C13</f>
        <v>4478.6844602708388</v>
      </c>
      <c r="G237" s="21">
        <f t="shared" si="10"/>
        <v>983556.31928199576</v>
      </c>
      <c r="H237">
        <f t="shared" si="11"/>
        <v>977167.51860454667</v>
      </c>
    </row>
    <row r="238" spans="2:8">
      <c r="B238" s="18">
        <f>219</f>
        <v>219</v>
      </c>
      <c r="C238" s="19">
        <f ca="1">EDATE(C14,219)</f>
        <v>52399</v>
      </c>
      <c r="D238" s="20">
        <f>F10</f>
        <v>-1910.1162171782241</v>
      </c>
      <c r="E238" s="20">
        <f t="shared" si="9"/>
        <v>-6418.0826805540382</v>
      </c>
      <c r="F238" s="20">
        <f>H238*C11/C13</f>
        <v>4507.9664633758139</v>
      </c>
      <c r="G238" s="21">
        <f t="shared" si="10"/>
        <v>989974.40196254977</v>
      </c>
      <c r="H238">
        <f t="shared" si="11"/>
        <v>983556.31928199576</v>
      </c>
    </row>
    <row r="239" spans="2:8">
      <c r="B239" s="18">
        <f>220</f>
        <v>220</v>
      </c>
      <c r="C239" s="19">
        <f ca="1">EDATE(C14,220)</f>
        <v>52429</v>
      </c>
      <c r="D239" s="20">
        <f>F10</f>
        <v>-1910.1162171782241</v>
      </c>
      <c r="E239" s="20">
        <f t="shared" si="9"/>
        <v>-6447.4988928399107</v>
      </c>
      <c r="F239" s="20">
        <f>H239*C11/C13</f>
        <v>4537.3826756616863</v>
      </c>
      <c r="G239" s="21">
        <f t="shared" si="10"/>
        <v>996421.90085538966</v>
      </c>
      <c r="H239">
        <f t="shared" si="11"/>
        <v>989974.40196254977</v>
      </c>
    </row>
    <row r="240" spans="2:8">
      <c r="B240" s="18">
        <f>221</f>
        <v>221</v>
      </c>
      <c r="C240" s="19">
        <f ca="1">EDATE(C14,221)</f>
        <v>52460</v>
      </c>
      <c r="D240" s="20">
        <f>F10</f>
        <v>-1910.1162171782241</v>
      </c>
      <c r="E240" s="20">
        <f t="shared" si="9"/>
        <v>-6477.0499294320934</v>
      </c>
      <c r="F240" s="20">
        <f>H240*C11/C13</f>
        <v>4566.9337122538691</v>
      </c>
      <c r="G240" s="21">
        <f t="shared" si="10"/>
        <v>1002898.9507848218</v>
      </c>
      <c r="H240">
        <f t="shared" si="11"/>
        <v>996421.90085538966</v>
      </c>
    </row>
    <row r="241" spans="2:8">
      <c r="B241" s="18">
        <f>222</f>
        <v>222</v>
      </c>
      <c r="C241" s="19">
        <f ca="1">EDATE(C14,222)</f>
        <v>52491</v>
      </c>
      <c r="D241" s="20">
        <f>F10</f>
        <v>-1910.1162171782241</v>
      </c>
      <c r="E241" s="20">
        <f t="shared" si="9"/>
        <v>-6506.7364082753247</v>
      </c>
      <c r="F241" s="20">
        <f>H241*C11/C13</f>
        <v>4596.6201910971004</v>
      </c>
      <c r="G241" s="21">
        <f t="shared" si="10"/>
        <v>1009405.6871930971</v>
      </c>
      <c r="H241">
        <f t="shared" si="11"/>
        <v>1002898.9507848218</v>
      </c>
    </row>
    <row r="242" spans="2:8">
      <c r="B242" s="18">
        <f>223</f>
        <v>223</v>
      </c>
      <c r="C242" s="19">
        <f ca="1">EDATE(C14,223)</f>
        <v>52521</v>
      </c>
      <c r="D242" s="20">
        <f>F10</f>
        <v>-1910.1162171782241</v>
      </c>
      <c r="E242" s="20">
        <f t="shared" si="9"/>
        <v>-6536.5589501465856</v>
      </c>
      <c r="F242" s="20">
        <f>H242*C11/C13</f>
        <v>4626.4427329683613</v>
      </c>
      <c r="G242" s="21">
        <f t="shared" si="10"/>
        <v>1015942.2461432436</v>
      </c>
      <c r="H242">
        <f t="shared" si="11"/>
        <v>1009405.6871930971</v>
      </c>
    </row>
    <row r="243" spans="2:8">
      <c r="B243" s="18">
        <f>224</f>
        <v>224</v>
      </c>
      <c r="C243" s="19">
        <f ca="1">EDATE(C14,224)</f>
        <v>52552</v>
      </c>
      <c r="D243" s="20">
        <f>F10</f>
        <v>-1910.1162171782241</v>
      </c>
      <c r="E243" s="20">
        <f t="shared" si="9"/>
        <v>-6566.5181786680914</v>
      </c>
      <c r="F243" s="20">
        <f>H243*C11/C13</f>
        <v>4656.4019614898671</v>
      </c>
      <c r="G243" s="21">
        <f t="shared" si="10"/>
        <v>1022508.7643219117</v>
      </c>
      <c r="H243">
        <f t="shared" si="11"/>
        <v>1015942.2461432436</v>
      </c>
    </row>
    <row r="244" spans="2:8">
      <c r="B244" s="18">
        <f>225</f>
        <v>225</v>
      </c>
      <c r="C244" s="19">
        <f ca="1">EDATE(C14,225)</f>
        <v>52582</v>
      </c>
      <c r="D244" s="20">
        <f>F10</f>
        <v>-1910.1162171782241</v>
      </c>
      <c r="E244" s="20">
        <f t="shared" si="9"/>
        <v>-6596.61472032032</v>
      </c>
      <c r="F244" s="20">
        <f>H244*C11/C13</f>
        <v>4686.4985031420956</v>
      </c>
      <c r="G244" s="21">
        <f t="shared" si="10"/>
        <v>1029105.3790422321</v>
      </c>
      <c r="H244">
        <f t="shared" si="11"/>
        <v>1022508.7643219117</v>
      </c>
    </row>
    <row r="245" spans="2:8">
      <c r="B245" s="18">
        <f>226</f>
        <v>226</v>
      </c>
      <c r="C245" s="19">
        <f ca="1">EDATE(C14,226)</f>
        <v>52613</v>
      </c>
      <c r="D245" s="20">
        <f>F10</f>
        <v>-1910.1162171782241</v>
      </c>
      <c r="E245" s="20">
        <f t="shared" si="9"/>
        <v>-6626.8492044551213</v>
      </c>
      <c r="F245" s="20">
        <f>H245*C11/C13</f>
        <v>4716.7329872768969</v>
      </c>
      <c r="G245" s="21">
        <f t="shared" si="10"/>
        <v>1035732.2282466872</v>
      </c>
      <c r="H245">
        <f t="shared" si="11"/>
        <v>1029105.3790422321</v>
      </c>
    </row>
    <row r="246" spans="2:8">
      <c r="B246" s="18">
        <f>227</f>
        <v>227</v>
      </c>
      <c r="C246" s="19">
        <f ca="1">EDATE(C14,227)</f>
        <v>52644</v>
      </c>
      <c r="D246" s="20">
        <f>F10</f>
        <v>-1910.1162171782241</v>
      </c>
      <c r="E246" s="20">
        <f t="shared" si="9"/>
        <v>-6657.2222633088741</v>
      </c>
      <c r="F246" s="20">
        <f>H246*C11/C13</f>
        <v>4747.1060461306497</v>
      </c>
      <c r="G246" s="21">
        <f t="shared" si="10"/>
        <v>1042389.450509996</v>
      </c>
      <c r="H246">
        <f t="shared" si="11"/>
        <v>1035732.2282466872</v>
      </c>
    </row>
    <row r="247" spans="2:8">
      <c r="B247" s="18">
        <f>228</f>
        <v>228</v>
      </c>
      <c r="C247" s="19">
        <f ca="1">EDATE(C14,228)</f>
        <v>52673</v>
      </c>
      <c r="D247" s="20">
        <f>F10</f>
        <v>-1910.1162171782241</v>
      </c>
      <c r="E247" s="20">
        <f t="shared" si="9"/>
        <v>-6687.7345320157065</v>
      </c>
      <c r="F247" s="20">
        <f>H247*C11/C13</f>
        <v>4777.6183148374821</v>
      </c>
      <c r="G247" s="21">
        <f t="shared" si="10"/>
        <v>1049077.1850420118</v>
      </c>
      <c r="H247">
        <f t="shared" si="11"/>
        <v>1042389.450509996</v>
      </c>
    </row>
    <row r="248" spans="2:8">
      <c r="B248" s="18">
        <f>229</f>
        <v>229</v>
      </c>
      <c r="C248" s="19">
        <f ca="1">EDATE(C14,229)</f>
        <v>52704</v>
      </c>
      <c r="D248" s="20">
        <f>F10</f>
        <v>-1910.1162171782241</v>
      </c>
      <c r="E248" s="20">
        <f t="shared" si="9"/>
        <v>-6718.3866486207789</v>
      </c>
      <c r="F248" s="20">
        <f>H248*C11/C13</f>
        <v>4808.2704314425546</v>
      </c>
      <c r="G248" s="21">
        <f t="shared" si="10"/>
        <v>1055795.5716906325</v>
      </c>
      <c r="H248">
        <f t="shared" si="11"/>
        <v>1049077.1850420118</v>
      </c>
    </row>
    <row r="249" spans="2:8">
      <c r="B249" s="18">
        <f>230</f>
        <v>230</v>
      </c>
      <c r="C249" s="19">
        <f ca="1">EDATE(C14,230)</f>
        <v>52734</v>
      </c>
      <c r="D249" s="20">
        <f>F10</f>
        <v>-1910.1162171782241</v>
      </c>
      <c r="E249" s="20">
        <f t="shared" si="9"/>
        <v>-6749.1792540936231</v>
      </c>
      <c r="F249" s="20">
        <f>H249*C11/C13</f>
        <v>4839.0630369153987</v>
      </c>
      <c r="G249" s="21">
        <f t="shared" si="10"/>
        <v>1062544.7509447262</v>
      </c>
      <c r="H249">
        <f t="shared" si="11"/>
        <v>1055795.5716906325</v>
      </c>
    </row>
    <row r="250" spans="2:8">
      <c r="B250" s="18">
        <f>231</f>
        <v>231</v>
      </c>
      <c r="C250" s="19">
        <f ca="1">EDATE(C14,231)</f>
        <v>52765</v>
      </c>
      <c r="D250" s="20">
        <f>F10</f>
        <v>-1910.1162171782241</v>
      </c>
      <c r="E250" s="20">
        <f t="shared" si="9"/>
        <v>-6780.1129923415529</v>
      </c>
      <c r="F250" s="20">
        <f>H250*C11/C13</f>
        <v>4869.9967751633285</v>
      </c>
      <c r="G250" s="21">
        <f t="shared" si="10"/>
        <v>1069324.8639370678</v>
      </c>
      <c r="H250">
        <f t="shared" si="11"/>
        <v>1062544.7509447262</v>
      </c>
    </row>
    <row r="251" spans="2:8">
      <c r="B251" s="18">
        <f>232</f>
        <v>232</v>
      </c>
      <c r="C251" s="19">
        <f ca="1">EDATE(C14,232)</f>
        <v>52795</v>
      </c>
      <c r="D251" s="20">
        <f>F10</f>
        <v>-1910.1162171782241</v>
      </c>
      <c r="E251" s="20">
        <f t="shared" si="9"/>
        <v>-6811.188510223119</v>
      </c>
      <c r="F251" s="20">
        <f>H251*C11/C13</f>
        <v>4901.0722930448946</v>
      </c>
      <c r="G251" s="21">
        <f t="shared" si="10"/>
        <v>1076136.0524472909</v>
      </c>
      <c r="H251">
        <f t="shared" si="11"/>
        <v>1069324.8639370678</v>
      </c>
    </row>
    <row r="252" spans="2:8">
      <c r="B252" s="18">
        <f>233</f>
        <v>233</v>
      </c>
      <c r="C252" s="19">
        <f ca="1">EDATE(C14,233)</f>
        <v>52826</v>
      </c>
      <c r="D252" s="20">
        <f>F10</f>
        <v>-1910.1162171782241</v>
      </c>
      <c r="E252" s="20">
        <f t="shared" si="9"/>
        <v>-6842.4064575616412</v>
      </c>
      <c r="F252" s="20">
        <f>H252*C11/C13</f>
        <v>4932.2902403834169</v>
      </c>
      <c r="G252" s="21">
        <f t="shared" si="10"/>
        <v>1082978.4589048524</v>
      </c>
      <c r="H252">
        <f t="shared" si="11"/>
        <v>1076136.0524472909</v>
      </c>
    </row>
    <row r="253" spans="2:8">
      <c r="B253" s="18">
        <f>234</f>
        <v>234</v>
      </c>
      <c r="C253" s="19">
        <f ca="1">EDATE(C14,234)</f>
        <v>52857</v>
      </c>
      <c r="D253" s="20">
        <f>F10</f>
        <v>-1910.1162171782241</v>
      </c>
      <c r="E253" s="20">
        <f t="shared" si="9"/>
        <v>-6873.7674871587978</v>
      </c>
      <c r="F253" s="20">
        <f>H253*C11/C13</f>
        <v>4963.6512699805735</v>
      </c>
      <c r="G253" s="21">
        <f t="shared" si="10"/>
        <v>1089852.2263920112</v>
      </c>
      <c r="H253">
        <f t="shared" si="11"/>
        <v>1082978.4589048524</v>
      </c>
    </row>
    <row r="254" spans="2:8">
      <c r="B254" s="18">
        <f>235</f>
        <v>235</v>
      </c>
      <c r="C254" s="19">
        <f ca="1">EDATE(C14,235)</f>
        <v>52887</v>
      </c>
      <c r="D254" s="20">
        <f>F10</f>
        <v>-1910.1162171782241</v>
      </c>
      <c r="E254" s="20">
        <f t="shared" si="9"/>
        <v>-6905.2722548082756</v>
      </c>
      <c r="F254" s="20">
        <f>H254*C11/C13</f>
        <v>4995.1560376300513</v>
      </c>
      <c r="G254" s="21">
        <f t="shared" si="10"/>
        <v>1096757.4986468195</v>
      </c>
      <c r="H254">
        <f t="shared" si="11"/>
        <v>1089852.2263920112</v>
      </c>
    </row>
    <row r="255" spans="2:8">
      <c r="B255" s="18">
        <f>236</f>
        <v>236</v>
      </c>
      <c r="C255" s="19">
        <f ca="1">EDATE(C14,236)</f>
        <v>52918</v>
      </c>
      <c r="D255" s="20">
        <f>F10</f>
        <v>-1910.1162171782241</v>
      </c>
      <c r="E255" s="20">
        <f t="shared" si="9"/>
        <v>-6936.9214193094804</v>
      </c>
      <c r="F255" s="20">
        <f>H255*C11/C13</f>
        <v>5026.805202131256</v>
      </c>
      <c r="G255" s="21">
        <f t="shared" si="10"/>
        <v>1103694.420066129</v>
      </c>
      <c r="H255">
        <f t="shared" si="11"/>
        <v>1096757.4986468195</v>
      </c>
    </row>
    <row r="256" spans="2:8">
      <c r="B256" s="18">
        <f>237</f>
        <v>237</v>
      </c>
      <c r="C256" s="19">
        <f ca="1">EDATE(C14,237)</f>
        <v>52948</v>
      </c>
      <c r="D256" s="20">
        <f>F10</f>
        <v>-1910.1162171782241</v>
      </c>
      <c r="E256" s="20">
        <f t="shared" si="9"/>
        <v>-6968.7156424813156</v>
      </c>
      <c r="F256" s="20">
        <f>H256*C11/C13</f>
        <v>5058.5994253030913</v>
      </c>
      <c r="G256" s="21">
        <f t="shared" si="10"/>
        <v>1110663.1357086103</v>
      </c>
      <c r="H256">
        <f t="shared" si="11"/>
        <v>1103694.420066129</v>
      </c>
    </row>
    <row r="257" spans="2:8">
      <c r="B257" s="18">
        <f>238</f>
        <v>238</v>
      </c>
      <c r="C257" s="19">
        <f ca="1">EDATE(C14,238)</f>
        <v>52979</v>
      </c>
      <c r="D257" s="20">
        <f>F10</f>
        <v>-1910.1162171782241</v>
      </c>
      <c r="E257" s="20">
        <f t="shared" si="9"/>
        <v>-7000.6555891760217</v>
      </c>
      <c r="F257" s="20">
        <f>H257*C11/C13</f>
        <v>5090.5393719977974</v>
      </c>
      <c r="G257" s="21">
        <f t="shared" si="10"/>
        <v>1117663.7912977864</v>
      </c>
      <c r="H257">
        <f t="shared" si="11"/>
        <v>1110663.1357086103</v>
      </c>
    </row>
    <row r="258" spans="2:8">
      <c r="B258" s="18">
        <f>239</f>
        <v>239</v>
      </c>
      <c r="C258" s="19">
        <f ca="1">EDATE(C14,239)</f>
        <v>53010</v>
      </c>
      <c r="D258" s="20">
        <f>F10</f>
        <v>-1910.1162171782241</v>
      </c>
      <c r="E258" s="20">
        <f t="shared" si="9"/>
        <v>-7032.7419272930783</v>
      </c>
      <c r="F258" s="20">
        <f>H258*C11/C13</f>
        <v>5122.625710114854</v>
      </c>
      <c r="G258" s="21">
        <f t="shared" si="10"/>
        <v>1124696.5332250795</v>
      </c>
      <c r="H258">
        <f t="shared" si="11"/>
        <v>1117663.7912977864</v>
      </c>
    </row>
    <row r="259" spans="2:8">
      <c r="B259" s="18">
        <f>240</f>
        <v>240</v>
      </c>
      <c r="C259" s="19">
        <f ca="1">EDATE(C14,240)</f>
        <v>53038</v>
      </c>
      <c r="D259" s="20">
        <f>F10</f>
        <v>-1910.1162171782241</v>
      </c>
      <c r="E259" s="20">
        <f t="shared" si="9"/>
        <v>-7064.9753277931723</v>
      </c>
      <c r="F259" s="20">
        <f>H259*C11/C13</f>
        <v>5154.8591106149479</v>
      </c>
      <c r="G259" s="21">
        <f t="shared" si="10"/>
        <v>1131761.5085528728</v>
      </c>
      <c r="H259">
        <f t="shared" si="11"/>
        <v>1124696.5332250795</v>
      </c>
    </row>
    <row r="260" spans="2:8">
      <c r="B260" s="18">
        <f>241</f>
        <v>241</v>
      </c>
      <c r="C260" s="19">
        <f ca="1">EDATE(C14,241)</f>
        <v>53069</v>
      </c>
      <c r="D260" s="20">
        <f>F10</f>
        <v>-1910.1162171782241</v>
      </c>
      <c r="E260" s="20">
        <f t="shared" si="9"/>
        <v>-7097.3564647122248</v>
      </c>
      <c r="F260" s="20">
        <f>H260*C11/C13</f>
        <v>5187.2402475340004</v>
      </c>
      <c r="G260" s="21">
        <f t="shared" si="10"/>
        <v>1138858.865017585</v>
      </c>
      <c r="H260">
        <f t="shared" si="11"/>
        <v>1131761.5085528728</v>
      </c>
    </row>
    <row r="261" spans="2:8">
      <c r="B261" s="18">
        <f>242</f>
        <v>242</v>
      </c>
      <c r="C261" s="19">
        <f ca="1">EDATE(C14,242)</f>
        <v>53099</v>
      </c>
      <c r="D261" s="20">
        <f>F10</f>
        <v>-1910.1162171782241</v>
      </c>
      <c r="E261" s="20">
        <f t="shared" si="9"/>
        <v>-7129.8860151754889</v>
      </c>
      <c r="F261" s="20">
        <f>H261*C11/C13</f>
        <v>5219.7697979972645</v>
      </c>
      <c r="G261" s="21">
        <f t="shared" si="10"/>
        <v>1145988.7510327604</v>
      </c>
      <c r="H261">
        <f t="shared" si="11"/>
        <v>1138858.865017585</v>
      </c>
    </row>
    <row r="262" spans="2:8">
      <c r="B262" s="18">
        <f>243</f>
        <v>243</v>
      </c>
      <c r="C262" s="19">
        <f ca="1">EDATE(C14,243)</f>
        <v>53130</v>
      </c>
      <c r="D262" s="20">
        <f>F10</f>
        <v>-1910.1162171782241</v>
      </c>
      <c r="E262" s="20">
        <f t="shared" si="9"/>
        <v>-7162.5646594117097</v>
      </c>
      <c r="F262" s="20">
        <f>H262*C11/C13</f>
        <v>5252.4484422334854</v>
      </c>
      <c r="G262" s="21">
        <f t="shared" si="10"/>
        <v>1153151.3156921722</v>
      </c>
      <c r="H262">
        <f t="shared" si="11"/>
        <v>1145988.7510327604</v>
      </c>
    </row>
    <row r="263" spans="2:8">
      <c r="B263" s="18">
        <f>244</f>
        <v>244</v>
      </c>
      <c r="C263" s="19">
        <f ca="1">EDATE(C14,244)</f>
        <v>53160</v>
      </c>
      <c r="D263" s="20">
        <f>F10</f>
        <v>-1910.1162171782241</v>
      </c>
      <c r="E263" s="20">
        <f t="shared" si="9"/>
        <v>-7195.3930807673469</v>
      </c>
      <c r="F263" s="20">
        <f>H263*C11/C13</f>
        <v>5285.2768635891225</v>
      </c>
      <c r="G263" s="21">
        <f t="shared" si="10"/>
        <v>1160346.7087729394</v>
      </c>
      <c r="H263">
        <f t="shared" si="11"/>
        <v>1153151.3156921722</v>
      </c>
    </row>
    <row r="264" spans="2:8">
      <c r="B264" s="18">
        <f>245</f>
        <v>245</v>
      </c>
      <c r="C264" s="19">
        <f ca="1">EDATE(C14,245)</f>
        <v>53191</v>
      </c>
      <c r="D264" s="20">
        <f>F10</f>
        <v>-1910.1162171782241</v>
      </c>
      <c r="E264" s="20">
        <f t="shared" si="9"/>
        <v>-7228.371965720863</v>
      </c>
      <c r="F264" s="20">
        <f>H264*C11/C13</f>
        <v>5318.2557485426387</v>
      </c>
      <c r="G264" s="21">
        <f t="shared" si="10"/>
        <v>1167575.0807386602</v>
      </c>
      <c r="H264">
        <f t="shared" si="11"/>
        <v>1160346.7087729394</v>
      </c>
    </row>
    <row r="265" spans="2:8">
      <c r="B265" s="18">
        <f>246</f>
        <v>246</v>
      </c>
      <c r="C265" s="19">
        <f ca="1">EDATE(C14,246)</f>
        <v>53222</v>
      </c>
      <c r="D265" s="20">
        <f>F10</f>
        <v>-1910.1162171782241</v>
      </c>
      <c r="E265" s="20">
        <f t="shared" si="9"/>
        <v>-7261.5020038970833</v>
      </c>
      <c r="F265" s="20">
        <f>H265*C11/C13</f>
        <v>5351.385786718859</v>
      </c>
      <c r="G265" s="21">
        <f t="shared" si="10"/>
        <v>1174836.5827425572</v>
      </c>
      <c r="H265">
        <f t="shared" si="11"/>
        <v>1167575.0807386602</v>
      </c>
    </row>
    <row r="266" spans="2:8">
      <c r="B266" s="18">
        <f>247</f>
        <v>247</v>
      </c>
      <c r="C266" s="19">
        <f ca="1">EDATE(C14,247)</f>
        <v>53252</v>
      </c>
      <c r="D266" s="20">
        <f>F10</f>
        <v>-1910.1162171782241</v>
      </c>
      <c r="E266" s="20">
        <f t="shared" si="9"/>
        <v>-7294.7838880816116</v>
      </c>
      <c r="F266" s="20">
        <f>H266*C11/C13</f>
        <v>5384.6676709033873</v>
      </c>
      <c r="G266" s="21">
        <f t="shared" si="10"/>
        <v>1182131.3666306387</v>
      </c>
      <c r="H266">
        <f t="shared" si="11"/>
        <v>1174836.5827425572</v>
      </c>
    </row>
    <row r="267" spans="2:8">
      <c r="B267" s="18">
        <f>248</f>
        <v>248</v>
      </c>
      <c r="C267" s="19">
        <f ca="1">EDATE(C14,248)</f>
        <v>53283</v>
      </c>
      <c r="D267" s="20">
        <f>F10</f>
        <v>-1910.1162171782241</v>
      </c>
      <c r="E267" s="20">
        <f t="shared" si="9"/>
        <v>-7328.2183142353188</v>
      </c>
      <c r="F267" s="20">
        <f>H267*C11/C13</f>
        <v>5418.1020970570944</v>
      </c>
      <c r="G267" s="21">
        <f t="shared" si="10"/>
        <v>1189459.584944874</v>
      </c>
      <c r="H267">
        <f t="shared" si="11"/>
        <v>1182131.3666306387</v>
      </c>
    </row>
    <row r="268" spans="2:8">
      <c r="B268" s="18">
        <f>249</f>
        <v>249</v>
      </c>
      <c r="C268" s="19">
        <f ca="1">EDATE(C14,249)</f>
        <v>53313</v>
      </c>
      <c r="D268" s="20">
        <f>F10</f>
        <v>-1910.1162171782241</v>
      </c>
      <c r="E268" s="20">
        <f t="shared" si="9"/>
        <v>-7361.8059815088973</v>
      </c>
      <c r="F268" s="20">
        <f>H268*C11/C13</f>
        <v>5451.6897643306729</v>
      </c>
      <c r="G268" s="21">
        <f t="shared" si="10"/>
        <v>1196821.390926383</v>
      </c>
      <c r="H268">
        <f t="shared" si="11"/>
        <v>1189459.584944874</v>
      </c>
    </row>
    <row r="269" spans="2:8">
      <c r="B269" s="18">
        <f>250</f>
        <v>250</v>
      </c>
      <c r="C269" s="19">
        <f ca="1">EDATE(C14,250)</f>
        <v>53344</v>
      </c>
      <c r="D269" s="20">
        <f>F10</f>
        <v>-1910.1162171782241</v>
      </c>
      <c r="E269" s="20">
        <f t="shared" si="9"/>
        <v>-7395.5475922574806</v>
      </c>
      <c r="F269" s="20">
        <f>H269*C11/C13</f>
        <v>5485.4313750792562</v>
      </c>
      <c r="G269" s="21">
        <f t="shared" si="10"/>
        <v>1204216.9385186404</v>
      </c>
      <c r="H269">
        <f t="shared" si="11"/>
        <v>1196821.390926383</v>
      </c>
    </row>
    <row r="270" spans="2:8">
      <c r="B270" s="18">
        <f>251</f>
        <v>251</v>
      </c>
      <c r="C270" s="19">
        <f ca="1">EDATE(C14,251)</f>
        <v>53375</v>
      </c>
      <c r="D270" s="20">
        <f>F10</f>
        <v>-1910.1162171782241</v>
      </c>
      <c r="E270" s="20">
        <f t="shared" si="9"/>
        <v>-7429.4438520553267</v>
      </c>
      <c r="F270" s="20">
        <f>H270*C11/C13</f>
        <v>5519.3276348771024</v>
      </c>
      <c r="G270" s="21">
        <f t="shared" si="10"/>
        <v>1211646.3823706957</v>
      </c>
      <c r="H270">
        <f t="shared" si="11"/>
        <v>1204216.9385186404</v>
      </c>
    </row>
    <row r="271" spans="2:8">
      <c r="B271" s="18">
        <f>252</f>
        <v>252</v>
      </c>
      <c r="C271" s="19">
        <f ca="1">EDATE(C14,252)</f>
        <v>53403</v>
      </c>
      <c r="D271" s="20">
        <f>F10</f>
        <v>-1910.1162171782241</v>
      </c>
      <c r="E271" s="20">
        <f t="shared" si="9"/>
        <v>-7463.4954697105795</v>
      </c>
      <c r="F271" s="20">
        <f>H271*C11/C13</f>
        <v>5553.3792525323552</v>
      </c>
      <c r="G271" s="21">
        <f t="shared" si="10"/>
        <v>1219109.8778404063</v>
      </c>
      <c r="H271">
        <f t="shared" si="11"/>
        <v>1211646.3823706957</v>
      </c>
    </row>
    <row r="272" spans="2:8">
      <c r="B272" s="18">
        <f>253</f>
        <v>253</v>
      </c>
      <c r="C272" s="19">
        <f ca="1">EDATE(C14,253)</f>
        <v>53434</v>
      </c>
      <c r="D272" s="20">
        <f>F10</f>
        <v>-1910.1162171782241</v>
      </c>
      <c r="E272" s="20">
        <f t="shared" si="9"/>
        <v>-7497.7031572800861</v>
      </c>
      <c r="F272" s="20">
        <f>H272*C11/C13</f>
        <v>5587.5869401018617</v>
      </c>
      <c r="G272" s="21">
        <f t="shared" si="10"/>
        <v>1226607.5809976864</v>
      </c>
      <c r="H272">
        <f t="shared" si="11"/>
        <v>1219109.8778404063</v>
      </c>
    </row>
    <row r="273" spans="2:8">
      <c r="B273" s="18">
        <f>254</f>
        <v>254</v>
      </c>
      <c r="C273" s="19">
        <f ca="1">EDATE(C14,254)</f>
        <v>53464</v>
      </c>
      <c r="D273" s="20">
        <f>F10</f>
        <v>-1910.1162171782241</v>
      </c>
      <c r="E273" s="20">
        <f t="shared" si="9"/>
        <v>-7532.067630084287</v>
      </c>
      <c r="F273" s="20">
        <f>H273*C11/C13</f>
        <v>5621.9514129060626</v>
      </c>
      <c r="G273" s="21">
        <f t="shared" si="10"/>
        <v>1234139.6486277706</v>
      </c>
      <c r="H273">
        <f t="shared" si="11"/>
        <v>1226607.5809976864</v>
      </c>
    </row>
    <row r="274" spans="2:8">
      <c r="B274" s="18">
        <f>255</f>
        <v>255</v>
      </c>
      <c r="C274" s="19">
        <f ca="1">EDATE(C14,255)</f>
        <v>53495</v>
      </c>
      <c r="D274" s="20">
        <f>F10</f>
        <v>-1910.1162171782241</v>
      </c>
      <c r="E274" s="20">
        <f t="shared" si="9"/>
        <v>-7566.5896067221729</v>
      </c>
      <c r="F274" s="20">
        <f>H274*C11/C13</f>
        <v>5656.4733895439485</v>
      </c>
      <c r="G274" s="21">
        <f t="shared" si="10"/>
        <v>1241706.2382344927</v>
      </c>
      <c r="H274">
        <f t="shared" si="11"/>
        <v>1234139.6486277706</v>
      </c>
    </row>
    <row r="275" spans="2:8">
      <c r="B275" s="18">
        <f>256</f>
        <v>256</v>
      </c>
      <c r="C275" s="19">
        <f ca="1">EDATE(C14,256)</f>
        <v>53525</v>
      </c>
      <c r="D275" s="20">
        <f>F10</f>
        <v>-1910.1162171782241</v>
      </c>
      <c r="E275" s="20">
        <f t="shared" si="9"/>
        <v>-7601.2698090863159</v>
      </c>
      <c r="F275" s="20">
        <f>H275*C11/C13</f>
        <v>5691.1535919080916</v>
      </c>
      <c r="G275" s="21">
        <f t="shared" si="10"/>
        <v>1249307.5080435791</v>
      </c>
      <c r="H275">
        <f t="shared" si="11"/>
        <v>1241706.2382344927</v>
      </c>
    </row>
    <row r="276" spans="2:8">
      <c r="B276" s="18">
        <f>257</f>
        <v>257</v>
      </c>
      <c r="C276" s="19">
        <f ca="1">EDATE(C14,257)</f>
        <v>53556</v>
      </c>
      <c r="D276" s="20">
        <f>F10</f>
        <v>-1910.1162171782241</v>
      </c>
      <c r="E276" s="20">
        <f t="shared" ref="E276:E339" si="12">D276-F276</f>
        <v>-7636.1089623779626</v>
      </c>
      <c r="F276" s="20">
        <f>H276*C11/C13</f>
        <v>5725.9927451997382</v>
      </c>
      <c r="G276" s="21">
        <f t="shared" si="10"/>
        <v>1256943.6170059571</v>
      </c>
      <c r="H276">
        <f t="shared" si="11"/>
        <v>1249307.5080435791</v>
      </c>
    </row>
    <row r="277" spans="2:8">
      <c r="B277" s="18">
        <f>258</f>
        <v>258</v>
      </c>
      <c r="C277" s="19">
        <f ca="1">EDATE(C14,258)</f>
        <v>53587</v>
      </c>
      <c r="D277" s="20">
        <f>F10</f>
        <v>-1910.1162171782241</v>
      </c>
      <c r="E277" s="20">
        <f t="shared" si="12"/>
        <v>-7671.1077951221941</v>
      </c>
      <c r="F277" s="20">
        <f>H277*C11/C13</f>
        <v>5760.9915779439698</v>
      </c>
      <c r="G277" s="21">
        <f t="shared" ref="G277:G340" si="13">G276-E277</f>
        <v>1264614.7248010791</v>
      </c>
      <c r="H277">
        <f t="shared" ref="H277:H340" si="14">G276</f>
        <v>1256943.6170059571</v>
      </c>
    </row>
    <row r="278" spans="2:8">
      <c r="B278" s="18">
        <f>259</f>
        <v>259</v>
      </c>
      <c r="C278" s="19">
        <f ca="1">EDATE(C14,259)</f>
        <v>53617</v>
      </c>
      <c r="D278" s="20">
        <f>F10</f>
        <v>-1910.1162171782241</v>
      </c>
      <c r="E278" s="20">
        <f t="shared" si="12"/>
        <v>-7706.2670391831707</v>
      </c>
      <c r="F278" s="20">
        <f>H278*C11/C13</f>
        <v>5796.1508220049463</v>
      </c>
      <c r="G278" s="21">
        <f t="shared" si="13"/>
        <v>1272320.9918402622</v>
      </c>
      <c r="H278">
        <f t="shared" si="14"/>
        <v>1264614.7248010791</v>
      </c>
    </row>
    <row r="279" spans="2:8">
      <c r="B279" s="18">
        <f>260</f>
        <v>260</v>
      </c>
      <c r="C279" s="19">
        <f ca="1">EDATE(C14,260)</f>
        <v>53648</v>
      </c>
      <c r="D279" s="20">
        <f>F10</f>
        <v>-1910.1162171782241</v>
      </c>
      <c r="E279" s="20">
        <f t="shared" si="12"/>
        <v>-7741.5874297794262</v>
      </c>
      <c r="F279" s="20">
        <f>H279*C11/C13</f>
        <v>5831.4712126012018</v>
      </c>
      <c r="G279" s="21">
        <f t="shared" si="13"/>
        <v>1280062.5792700415</v>
      </c>
      <c r="H279">
        <f t="shared" si="14"/>
        <v>1272320.9918402622</v>
      </c>
    </row>
    <row r="280" spans="2:8">
      <c r="B280" s="18">
        <f>261</f>
        <v>261</v>
      </c>
      <c r="C280" s="19">
        <f ca="1">EDATE(C14,261)</f>
        <v>53678</v>
      </c>
      <c r="D280" s="20">
        <f>F10</f>
        <v>-1910.1162171782241</v>
      </c>
      <c r="E280" s="20">
        <f t="shared" si="12"/>
        <v>-7777.0697054992488</v>
      </c>
      <c r="F280" s="20">
        <f>H280*C11/C13</f>
        <v>5866.9534883210245</v>
      </c>
      <c r="G280" s="21">
        <f t="shared" si="13"/>
        <v>1287839.6489755409</v>
      </c>
      <c r="H280">
        <f t="shared" si="14"/>
        <v>1280062.5792700415</v>
      </c>
    </row>
    <row r="281" spans="2:8">
      <c r="B281" s="18">
        <f>262</f>
        <v>262</v>
      </c>
      <c r="C281" s="19">
        <f ca="1">EDATE(C14,262)</f>
        <v>53709</v>
      </c>
      <c r="D281" s="20">
        <f>F10</f>
        <v>-1910.1162171782241</v>
      </c>
      <c r="E281" s="20">
        <f t="shared" si="12"/>
        <v>-7812.7146083161206</v>
      </c>
      <c r="F281" s="20">
        <f>H281*C11/C13</f>
        <v>5902.5983911378962</v>
      </c>
      <c r="G281" s="21">
        <f t="shared" si="13"/>
        <v>1295652.363583857</v>
      </c>
      <c r="H281">
        <f t="shared" si="14"/>
        <v>1287839.6489755409</v>
      </c>
    </row>
    <row r="282" spans="2:8">
      <c r="B282" s="18">
        <f>263</f>
        <v>263</v>
      </c>
      <c r="C282" s="19">
        <f ca="1">EDATE(C14,263)</f>
        <v>53740</v>
      </c>
      <c r="D282" s="20">
        <f>F10</f>
        <v>-1910.1162171782241</v>
      </c>
      <c r="E282" s="20">
        <f t="shared" si="12"/>
        <v>-7848.5228836042352</v>
      </c>
      <c r="F282" s="20">
        <f>H282*C11/C13</f>
        <v>5938.4066664260108</v>
      </c>
      <c r="G282" s="21">
        <f t="shared" si="13"/>
        <v>1303500.8864674612</v>
      </c>
      <c r="H282">
        <f t="shared" si="14"/>
        <v>1295652.363583857</v>
      </c>
    </row>
    <row r="283" spans="2:8">
      <c r="B283" s="18">
        <f>264</f>
        <v>264</v>
      </c>
      <c r="C283" s="19">
        <f ca="1">EDATE(C14,264)</f>
        <v>53768</v>
      </c>
      <c r="D283" s="20">
        <f>F10</f>
        <v>-1910.1162171782241</v>
      </c>
      <c r="E283" s="20">
        <f t="shared" si="12"/>
        <v>-7884.4952801540876</v>
      </c>
      <c r="F283" s="20">
        <f>H283*C11/C13</f>
        <v>5974.3790629758632</v>
      </c>
      <c r="G283" s="21">
        <f t="shared" si="13"/>
        <v>1311385.3817476153</v>
      </c>
      <c r="H283">
        <f t="shared" si="14"/>
        <v>1303500.8864674612</v>
      </c>
    </row>
    <row r="284" spans="2:8">
      <c r="B284" s="18">
        <f>265</f>
        <v>265</v>
      </c>
      <c r="C284" s="19">
        <f ca="1">EDATE(C14,265)</f>
        <v>53799</v>
      </c>
      <c r="D284" s="20">
        <f>F10</f>
        <v>-1910.1162171782241</v>
      </c>
      <c r="E284" s="20">
        <f t="shared" si="12"/>
        <v>-7920.6325501881274</v>
      </c>
      <c r="F284" s="20">
        <f>H284*C11/C13</f>
        <v>6010.5163330099031</v>
      </c>
      <c r="G284" s="21">
        <f t="shared" si="13"/>
        <v>1319306.0142978034</v>
      </c>
      <c r="H284">
        <f t="shared" si="14"/>
        <v>1311385.3817476153</v>
      </c>
    </row>
    <row r="285" spans="2:8">
      <c r="B285" s="18">
        <f>266</f>
        <v>266</v>
      </c>
      <c r="C285" s="19">
        <f ca="1">EDATE(C14,266)</f>
        <v>53829</v>
      </c>
      <c r="D285" s="20">
        <f>F10</f>
        <v>-1910.1162171782241</v>
      </c>
      <c r="E285" s="20">
        <f t="shared" si="12"/>
        <v>-7956.9354493764895</v>
      </c>
      <c r="F285" s="20">
        <f>H285*C11/C13</f>
        <v>6046.8192321982651</v>
      </c>
      <c r="G285" s="21">
        <f t="shared" si="13"/>
        <v>1327262.9497471799</v>
      </c>
      <c r="H285">
        <f t="shared" si="14"/>
        <v>1319306.0142978034</v>
      </c>
    </row>
    <row r="286" spans="2:8">
      <c r="B286" s="18">
        <f>267</f>
        <v>267</v>
      </c>
      <c r="C286" s="19">
        <f ca="1">EDATE(C14,267)</f>
        <v>53860</v>
      </c>
      <c r="D286" s="20">
        <f>F10</f>
        <v>-1910.1162171782241</v>
      </c>
      <c r="E286" s="20">
        <f t="shared" si="12"/>
        <v>-7993.404736852799</v>
      </c>
      <c r="F286" s="20">
        <f>H286*C11/C13</f>
        <v>6083.2885196745747</v>
      </c>
      <c r="G286" s="21">
        <f t="shared" si="13"/>
        <v>1335256.3544840326</v>
      </c>
      <c r="H286">
        <f t="shared" si="14"/>
        <v>1327262.9497471799</v>
      </c>
    </row>
    <row r="287" spans="2:8">
      <c r="B287" s="18">
        <f>268</f>
        <v>268</v>
      </c>
      <c r="C287" s="19">
        <f ca="1">EDATE(C14,268)</f>
        <v>53890</v>
      </c>
      <c r="D287" s="20">
        <f>F10</f>
        <v>-1910.1162171782241</v>
      </c>
      <c r="E287" s="20">
        <f t="shared" si="12"/>
        <v>-8030.0411752300406</v>
      </c>
      <c r="F287" s="20">
        <f>H287*C11/C13</f>
        <v>6119.9249580518162</v>
      </c>
      <c r="G287" s="21">
        <f t="shared" si="13"/>
        <v>1343286.3956592625</v>
      </c>
      <c r="H287">
        <f t="shared" si="14"/>
        <v>1335256.3544840326</v>
      </c>
    </row>
    <row r="288" spans="2:8">
      <c r="B288" s="18">
        <f>269</f>
        <v>269</v>
      </c>
      <c r="C288" s="19">
        <f ca="1">EDATE(C14,269)</f>
        <v>53921</v>
      </c>
      <c r="D288" s="20">
        <f>F10</f>
        <v>-1910.1162171782241</v>
      </c>
      <c r="E288" s="20">
        <f t="shared" si="12"/>
        <v>-8066.8455306165106</v>
      </c>
      <c r="F288" s="20">
        <f>H288*C11/C13</f>
        <v>6156.7293134382862</v>
      </c>
      <c r="G288" s="21">
        <f t="shared" si="13"/>
        <v>1351353.2411898791</v>
      </c>
      <c r="H288">
        <f t="shared" si="14"/>
        <v>1343286.3956592625</v>
      </c>
    </row>
    <row r="289" spans="2:8">
      <c r="B289" s="18">
        <f>270</f>
        <v>270</v>
      </c>
      <c r="C289" s="19">
        <f ca="1">EDATE(C14,270)</f>
        <v>53952</v>
      </c>
      <c r="D289" s="20">
        <f>F10</f>
        <v>-1910.1162171782241</v>
      </c>
      <c r="E289" s="20">
        <f t="shared" si="12"/>
        <v>-8103.818572631837</v>
      </c>
      <c r="F289" s="20">
        <f>H289*C11/C13</f>
        <v>6193.7023554536127</v>
      </c>
      <c r="G289" s="21">
        <f t="shared" si="13"/>
        <v>1359457.0597625109</v>
      </c>
      <c r="H289">
        <f t="shared" si="14"/>
        <v>1351353.2411898791</v>
      </c>
    </row>
    <row r="290" spans="2:8">
      <c r="B290" s="18">
        <f>271</f>
        <v>271</v>
      </c>
      <c r="C290" s="19">
        <f ca="1">EDATE(C14,271)</f>
        <v>53982</v>
      </c>
      <c r="D290" s="20">
        <f>F10</f>
        <v>-1910.1162171782241</v>
      </c>
      <c r="E290" s="20">
        <f t="shared" si="12"/>
        <v>-8140.9610744230667</v>
      </c>
      <c r="F290" s="20">
        <f>H290*C11/C13</f>
        <v>6230.8448572448424</v>
      </c>
      <c r="G290" s="21">
        <f t="shared" si="13"/>
        <v>1367598.020836934</v>
      </c>
      <c r="H290">
        <f t="shared" si="14"/>
        <v>1359457.0597625109</v>
      </c>
    </row>
    <row r="291" spans="2:8">
      <c r="B291" s="18">
        <f>272</f>
        <v>272</v>
      </c>
      <c r="C291" s="19">
        <f ca="1">EDATE(C14,272)</f>
        <v>54013</v>
      </c>
      <c r="D291" s="20">
        <f>F10</f>
        <v>-1910.1162171782241</v>
      </c>
      <c r="E291" s="20">
        <f t="shared" si="12"/>
        <v>-8178.2738126808381</v>
      </c>
      <c r="F291" s="20">
        <f>H291*C11/C13</f>
        <v>6268.1575955026137</v>
      </c>
      <c r="G291" s="21">
        <f t="shared" si="13"/>
        <v>1375776.2946496147</v>
      </c>
      <c r="H291">
        <f t="shared" si="14"/>
        <v>1367598.020836934</v>
      </c>
    </row>
    <row r="292" spans="2:8">
      <c r="B292" s="18">
        <f>273</f>
        <v>273</v>
      </c>
      <c r="C292" s="19">
        <f ca="1">EDATE(C14,273)</f>
        <v>54043</v>
      </c>
      <c r="D292" s="20">
        <f>F10</f>
        <v>-1910.1162171782241</v>
      </c>
      <c r="E292" s="20">
        <f t="shared" si="12"/>
        <v>-8215.7575676556244</v>
      </c>
      <c r="F292" s="20">
        <f>H292*C11/C13</f>
        <v>6305.6413504774</v>
      </c>
      <c r="G292" s="21">
        <f t="shared" si="13"/>
        <v>1383992.0522172702</v>
      </c>
      <c r="H292">
        <f t="shared" si="14"/>
        <v>1375776.2946496147</v>
      </c>
    </row>
    <row r="293" spans="2:8">
      <c r="B293" s="18">
        <f>274</f>
        <v>274</v>
      </c>
      <c r="C293" s="19">
        <f ca="1">EDATE(C14,274)</f>
        <v>54074</v>
      </c>
      <c r="D293" s="20">
        <f>F10</f>
        <v>-1910.1162171782241</v>
      </c>
      <c r="E293" s="20">
        <f t="shared" si="12"/>
        <v>-8253.4131231740466</v>
      </c>
      <c r="F293" s="20">
        <f>H293*C11/C13</f>
        <v>6343.2969059958223</v>
      </c>
      <c r="G293" s="21">
        <f t="shared" si="13"/>
        <v>1392245.4653404444</v>
      </c>
      <c r="H293">
        <f t="shared" si="14"/>
        <v>1383992.0522172702</v>
      </c>
    </row>
    <row r="294" spans="2:8">
      <c r="B294" s="18">
        <f>275</f>
        <v>275</v>
      </c>
      <c r="C294" s="19">
        <f ca="1">EDATE(C14,275)</f>
        <v>54105</v>
      </c>
      <c r="D294" s="20">
        <f>F10</f>
        <v>-1910.1162171782241</v>
      </c>
      <c r="E294" s="20">
        <f t="shared" si="12"/>
        <v>-8291.2412666552609</v>
      </c>
      <c r="F294" s="20">
        <f>H294*C11/C13</f>
        <v>6381.1250494770366</v>
      </c>
      <c r="G294" s="21">
        <f t="shared" si="13"/>
        <v>1400536.7066070996</v>
      </c>
      <c r="H294">
        <f t="shared" si="14"/>
        <v>1392245.4653404444</v>
      </c>
    </row>
    <row r="295" spans="2:8">
      <c r="B295" s="18">
        <f>276</f>
        <v>276</v>
      </c>
      <c r="C295" s="19">
        <f ca="1">EDATE(C14,276)</f>
        <v>54134</v>
      </c>
      <c r="D295" s="20">
        <f>F10</f>
        <v>-1910.1162171782241</v>
      </c>
      <c r="E295" s="20">
        <f t="shared" si="12"/>
        <v>-8329.242789127431</v>
      </c>
      <c r="F295" s="20">
        <f>H295*C11/C13</f>
        <v>6419.1265719492067</v>
      </c>
      <c r="G295" s="21">
        <f t="shared" si="13"/>
        <v>1408865.949396227</v>
      </c>
      <c r="H295">
        <f t="shared" si="14"/>
        <v>1400536.7066070996</v>
      </c>
    </row>
    <row r="296" spans="2:8">
      <c r="B296" s="18">
        <f>277</f>
        <v>277</v>
      </c>
      <c r="C296" s="19">
        <f ca="1">EDATE(C14,277)</f>
        <v>54165</v>
      </c>
      <c r="D296" s="20">
        <f>F10</f>
        <v>-1910.1162171782241</v>
      </c>
      <c r="E296" s="20">
        <f t="shared" si="12"/>
        <v>-8367.418485244265</v>
      </c>
      <c r="F296" s="20">
        <f>H296*C11/C13</f>
        <v>6457.3022680660406</v>
      </c>
      <c r="G296" s="21">
        <f t="shared" si="13"/>
        <v>1417233.3678814713</v>
      </c>
      <c r="H296">
        <f t="shared" si="14"/>
        <v>1408865.949396227</v>
      </c>
    </row>
    <row r="297" spans="2:8">
      <c r="B297" s="18">
        <f>278</f>
        <v>278</v>
      </c>
      <c r="C297" s="19">
        <f ca="1">EDATE(C14,278)</f>
        <v>54195</v>
      </c>
      <c r="D297" s="20">
        <f>F10</f>
        <v>-1910.1162171782241</v>
      </c>
      <c r="E297" s="20">
        <f t="shared" si="12"/>
        <v>-8405.7691533016332</v>
      </c>
      <c r="F297" s="20">
        <f>H297*C11/C13</f>
        <v>6495.6529361234097</v>
      </c>
      <c r="G297" s="21">
        <f t="shared" si="13"/>
        <v>1425639.1370347729</v>
      </c>
      <c r="H297">
        <f t="shared" si="14"/>
        <v>1417233.3678814713</v>
      </c>
    </row>
    <row r="298" spans="2:8">
      <c r="B298" s="18">
        <f>279</f>
        <v>279</v>
      </c>
      <c r="C298" s="19">
        <f ca="1">EDATE(C14,279)</f>
        <v>54226</v>
      </c>
      <c r="D298" s="20">
        <f>F10</f>
        <v>-1910.1162171782241</v>
      </c>
      <c r="E298" s="20">
        <f t="shared" si="12"/>
        <v>-8444.295595254267</v>
      </c>
      <c r="F298" s="20">
        <f>H298*C11/C13</f>
        <v>6534.1793780760427</v>
      </c>
      <c r="G298" s="21">
        <f t="shared" si="13"/>
        <v>1434083.4326300272</v>
      </c>
      <c r="H298">
        <f t="shared" si="14"/>
        <v>1425639.1370347729</v>
      </c>
    </row>
    <row r="299" spans="2:8">
      <c r="B299" s="18">
        <f>280</f>
        <v>280</v>
      </c>
      <c r="C299" s="19">
        <f ca="1">EDATE(C14,280)</f>
        <v>54256</v>
      </c>
      <c r="D299" s="20">
        <f>F10</f>
        <v>-1910.1162171782241</v>
      </c>
      <c r="E299" s="20">
        <f t="shared" si="12"/>
        <v>-8482.9986167325151</v>
      </c>
      <c r="F299" s="20">
        <f>H299*C11/C13</f>
        <v>6572.8823995542916</v>
      </c>
      <c r="G299" s="21">
        <f t="shared" si="13"/>
        <v>1442566.4312467596</v>
      </c>
      <c r="H299">
        <f t="shared" si="14"/>
        <v>1434083.4326300272</v>
      </c>
    </row>
    <row r="300" spans="2:8">
      <c r="B300" s="18">
        <f>281</f>
        <v>281</v>
      </c>
      <c r="C300" s="19">
        <f ca="1">EDATE(C14,281)</f>
        <v>54287</v>
      </c>
      <c r="D300" s="20">
        <f>F10</f>
        <v>-1910.1162171782241</v>
      </c>
      <c r="E300" s="20">
        <f t="shared" si="12"/>
        <v>-8521.8790270592053</v>
      </c>
      <c r="F300" s="20">
        <f>H300*C11/C13</f>
        <v>6611.762809880981</v>
      </c>
      <c r="G300" s="21">
        <f t="shared" si="13"/>
        <v>1451088.3102738189</v>
      </c>
      <c r="H300">
        <f t="shared" si="14"/>
        <v>1442566.4312467596</v>
      </c>
    </row>
    <row r="301" spans="2:8">
      <c r="B301" s="18">
        <f>282</f>
        <v>282</v>
      </c>
      <c r="C301" s="19">
        <f ca="1">EDATE(C14,282)</f>
        <v>54318</v>
      </c>
      <c r="D301" s="20">
        <f>F10</f>
        <v>-1910.1162171782241</v>
      </c>
      <c r="E301" s="20">
        <f t="shared" si="12"/>
        <v>-8560.9376392665617</v>
      </c>
      <c r="F301" s="20">
        <f>H301*C11/C13</f>
        <v>6650.8214220883374</v>
      </c>
      <c r="G301" s="21">
        <f t="shared" si="13"/>
        <v>1459649.2479130854</v>
      </c>
      <c r="H301">
        <f t="shared" si="14"/>
        <v>1451088.3102738189</v>
      </c>
    </row>
    <row r="302" spans="2:8">
      <c r="B302" s="18">
        <f>283</f>
        <v>283</v>
      </c>
      <c r="C302" s="19">
        <f ca="1">EDATE(C14,283)</f>
        <v>54348</v>
      </c>
      <c r="D302" s="20">
        <f>F10</f>
        <v>-1910.1162171782241</v>
      </c>
      <c r="E302" s="20">
        <f t="shared" si="12"/>
        <v>-8600.1752701131991</v>
      </c>
      <c r="F302" s="20">
        <f>H302*C11/C13</f>
        <v>6690.0590529349747</v>
      </c>
      <c r="G302" s="21">
        <f t="shared" si="13"/>
        <v>1468249.4231831986</v>
      </c>
      <c r="H302">
        <f t="shared" si="14"/>
        <v>1459649.2479130854</v>
      </c>
    </row>
    <row r="303" spans="2:8">
      <c r="B303" s="18">
        <f>284</f>
        <v>284</v>
      </c>
      <c r="C303" s="19">
        <f ca="1">EDATE(C14,284)</f>
        <v>54379</v>
      </c>
      <c r="D303" s="20">
        <f>F10</f>
        <v>-1910.1162171782241</v>
      </c>
      <c r="E303" s="20">
        <f t="shared" si="12"/>
        <v>-8639.5927401012177</v>
      </c>
      <c r="F303" s="20">
        <f>H303*C11/C13</f>
        <v>6729.4765229229934</v>
      </c>
      <c r="G303" s="21">
        <f t="shared" si="13"/>
        <v>1476889.0159232998</v>
      </c>
      <c r="H303">
        <f t="shared" si="14"/>
        <v>1468249.4231831986</v>
      </c>
    </row>
    <row r="304" spans="2:8">
      <c r="B304" s="18">
        <f>285</f>
        <v>285</v>
      </c>
      <c r="C304" s="19">
        <f ca="1">EDATE(C14,285)</f>
        <v>54409</v>
      </c>
      <c r="D304" s="20">
        <f>F10</f>
        <v>-1910.1162171782241</v>
      </c>
      <c r="E304" s="20">
        <f t="shared" si="12"/>
        <v>-8679.1908734933495</v>
      </c>
      <c r="F304" s="20">
        <f>H304*C11/C13</f>
        <v>6769.0746563151251</v>
      </c>
      <c r="G304" s="21">
        <f t="shared" si="13"/>
        <v>1485568.2067967933</v>
      </c>
      <c r="H304">
        <f t="shared" si="14"/>
        <v>1476889.0159232998</v>
      </c>
    </row>
    <row r="305" spans="2:8">
      <c r="B305" s="18">
        <f>286</f>
        <v>286</v>
      </c>
      <c r="C305" s="19">
        <f ca="1">EDATE(C14,286)</f>
        <v>54440</v>
      </c>
      <c r="D305" s="20">
        <f>F10</f>
        <v>-1910.1162171782241</v>
      </c>
      <c r="E305" s="20">
        <f t="shared" si="12"/>
        <v>-8718.9704983301926</v>
      </c>
      <c r="F305" s="20">
        <f>H305*C11/C13</f>
        <v>6808.8542811519692</v>
      </c>
      <c r="G305" s="21">
        <f t="shared" si="13"/>
        <v>1494287.1772951235</v>
      </c>
      <c r="H305">
        <f t="shared" si="14"/>
        <v>1485568.2067967933</v>
      </c>
    </row>
    <row r="306" spans="2:8">
      <c r="B306" s="18">
        <f>287</f>
        <v>287</v>
      </c>
      <c r="C306" s="19">
        <f ca="1">EDATE(C14,287)</f>
        <v>54471</v>
      </c>
      <c r="D306" s="20">
        <f>F10</f>
        <v>-1910.1162171782241</v>
      </c>
      <c r="E306" s="20">
        <f t="shared" si="12"/>
        <v>-8758.9324464475394</v>
      </c>
      <c r="F306" s="20">
        <f>H306*C11/C13</f>
        <v>6848.816229269316</v>
      </c>
      <c r="G306" s="21">
        <f t="shared" si="13"/>
        <v>1503046.1097415709</v>
      </c>
      <c r="H306">
        <f t="shared" si="14"/>
        <v>1494287.1772951235</v>
      </c>
    </row>
    <row r="307" spans="2:8">
      <c r="B307" s="18">
        <f>288</f>
        <v>288</v>
      </c>
      <c r="C307" s="19">
        <f ca="1">EDATE(C14,288)</f>
        <v>54499</v>
      </c>
      <c r="D307" s="20">
        <f>F10</f>
        <v>-1910.1162171782241</v>
      </c>
      <c r="E307" s="20">
        <f t="shared" si="12"/>
        <v>-8799.0775534937566</v>
      </c>
      <c r="F307" s="20">
        <f>H307*C11/C13</f>
        <v>6888.9613363155331</v>
      </c>
      <c r="G307" s="21">
        <f t="shared" si="13"/>
        <v>1511845.1872950646</v>
      </c>
      <c r="H307">
        <f t="shared" si="14"/>
        <v>1503046.1097415709</v>
      </c>
    </row>
    <row r="308" spans="2:8">
      <c r="B308" s="18">
        <f>289</f>
        <v>289</v>
      </c>
      <c r="C308" s="19">
        <f ca="1">EDATE(C14,289)</f>
        <v>54530</v>
      </c>
      <c r="D308" s="20">
        <f>F10</f>
        <v>-1910.1162171782241</v>
      </c>
      <c r="E308" s="20">
        <f t="shared" si="12"/>
        <v>-8839.4066589472695</v>
      </c>
      <c r="F308" s="20">
        <f>H308*C11/C13</f>
        <v>6929.2904417690452</v>
      </c>
      <c r="G308" s="21">
        <f t="shared" si="13"/>
        <v>1520684.5939540118</v>
      </c>
      <c r="H308">
        <f t="shared" si="14"/>
        <v>1511845.1872950646</v>
      </c>
    </row>
    <row r="309" spans="2:8">
      <c r="B309" s="18">
        <f>290</f>
        <v>290</v>
      </c>
      <c r="C309" s="19">
        <f ca="1">EDATE(C14,290)</f>
        <v>54560</v>
      </c>
      <c r="D309" s="20">
        <f>F10</f>
        <v>-1910.1162171782241</v>
      </c>
      <c r="E309" s="20">
        <f t="shared" si="12"/>
        <v>-8879.9206061341119</v>
      </c>
      <c r="F309" s="20">
        <f>H309*C11/C13</f>
        <v>6969.8043889558876</v>
      </c>
      <c r="G309" s="21">
        <f t="shared" si="13"/>
        <v>1529564.514560146</v>
      </c>
      <c r="H309">
        <f t="shared" si="14"/>
        <v>1520684.5939540118</v>
      </c>
    </row>
    <row r="310" spans="2:8">
      <c r="B310" s="18">
        <f>291</f>
        <v>291</v>
      </c>
      <c r="C310" s="19">
        <f ca="1">EDATE(C14,291)</f>
        <v>54591</v>
      </c>
      <c r="D310" s="20">
        <f>F10</f>
        <v>-1910.1162171782241</v>
      </c>
      <c r="E310" s="20">
        <f t="shared" si="12"/>
        <v>-8920.6202422455608</v>
      </c>
      <c r="F310" s="20">
        <f>H310*C11/C13</f>
        <v>7010.5040250673364</v>
      </c>
      <c r="G310" s="21">
        <f t="shared" si="13"/>
        <v>1538485.1348023915</v>
      </c>
      <c r="H310">
        <f t="shared" si="14"/>
        <v>1529564.514560146</v>
      </c>
    </row>
    <row r="311" spans="2:8">
      <c r="B311" s="18">
        <f>292</f>
        <v>292</v>
      </c>
      <c r="C311" s="19">
        <f ca="1">EDATE(C14,292)</f>
        <v>54621</v>
      </c>
      <c r="D311" s="20">
        <f>F10</f>
        <v>-1910.1162171782241</v>
      </c>
      <c r="E311" s="20">
        <f t="shared" si="12"/>
        <v>-8961.5064183558516</v>
      </c>
      <c r="F311" s="20">
        <f>H311*C11/C13</f>
        <v>7051.3902011776272</v>
      </c>
      <c r="G311" s="21">
        <f t="shared" si="13"/>
        <v>1547446.6412207473</v>
      </c>
      <c r="H311">
        <f t="shared" si="14"/>
        <v>1538485.1348023915</v>
      </c>
    </row>
    <row r="312" spans="2:8">
      <c r="B312" s="18">
        <f>293</f>
        <v>293</v>
      </c>
      <c r="C312" s="19">
        <f ca="1">EDATE(C14,293)</f>
        <v>54652</v>
      </c>
      <c r="D312" s="20">
        <f>F10</f>
        <v>-1910.1162171782241</v>
      </c>
      <c r="E312" s="20">
        <f t="shared" si="12"/>
        <v>-9002.5799894399825</v>
      </c>
      <c r="F312" s="20">
        <f>H312*C11/C13</f>
        <v>7092.4637722617581</v>
      </c>
      <c r="G312" s="21">
        <f t="shared" si="13"/>
        <v>1556449.2212101873</v>
      </c>
      <c r="H312">
        <f t="shared" si="14"/>
        <v>1547446.6412207473</v>
      </c>
    </row>
    <row r="313" spans="2:8">
      <c r="B313" s="18">
        <f>294</f>
        <v>294</v>
      </c>
      <c r="C313" s="19">
        <f ca="1">EDATE(C14,294)</f>
        <v>54683</v>
      </c>
      <c r="D313" s="20">
        <f>F10</f>
        <v>-1910.1162171782241</v>
      </c>
      <c r="E313" s="20">
        <f t="shared" si="12"/>
        <v>-9043.8418143915824</v>
      </c>
      <c r="F313" s="20">
        <f>H313*C11/C13</f>
        <v>7133.725597213358</v>
      </c>
      <c r="G313" s="21">
        <f t="shared" si="13"/>
        <v>1565493.0630245788</v>
      </c>
      <c r="H313">
        <f t="shared" si="14"/>
        <v>1556449.2212101873</v>
      </c>
    </row>
    <row r="314" spans="2:8">
      <c r="B314" s="18">
        <f>295</f>
        <v>295</v>
      </c>
      <c r="C314" s="19">
        <f ca="1">EDATE(C14,295)</f>
        <v>54713</v>
      </c>
      <c r="D314" s="20">
        <f>F10</f>
        <v>-1910.1162171782241</v>
      </c>
      <c r="E314" s="20">
        <f t="shared" si="12"/>
        <v>-9085.2927560408771</v>
      </c>
      <c r="F314" s="20">
        <f>H314*C11/C13</f>
        <v>7175.1765388626527</v>
      </c>
      <c r="G314" s="21">
        <f t="shared" si="13"/>
        <v>1574578.3557806197</v>
      </c>
      <c r="H314">
        <f t="shared" si="14"/>
        <v>1565493.0630245788</v>
      </c>
    </row>
    <row r="315" spans="2:8">
      <c r="B315" s="18">
        <f>296</f>
        <v>296</v>
      </c>
      <c r="C315" s="19">
        <f ca="1">EDATE(C14,296)</f>
        <v>54744</v>
      </c>
      <c r="D315" s="20">
        <f>F10</f>
        <v>-1910.1162171782241</v>
      </c>
      <c r="E315" s="20">
        <f t="shared" si="12"/>
        <v>-9126.9336811727298</v>
      </c>
      <c r="F315" s="20">
        <f>H315*C11/C13</f>
        <v>7216.8174639945064</v>
      </c>
      <c r="G315" s="21">
        <f t="shared" si="13"/>
        <v>1583705.2894617924</v>
      </c>
      <c r="H315">
        <f t="shared" si="14"/>
        <v>1574578.3557806197</v>
      </c>
    </row>
    <row r="316" spans="2:8">
      <c r="B316" s="18">
        <f>297</f>
        <v>297</v>
      </c>
      <c r="C316" s="19">
        <f ca="1">EDATE(C14,297)</f>
        <v>54774</v>
      </c>
      <c r="D316" s="20">
        <f>F10</f>
        <v>-1910.1162171782241</v>
      </c>
      <c r="E316" s="20">
        <f t="shared" si="12"/>
        <v>-9168.7654605447733</v>
      </c>
      <c r="F316" s="20">
        <f>H316*C11/C13</f>
        <v>7258.6492433665489</v>
      </c>
      <c r="G316" s="21">
        <f t="shared" si="13"/>
        <v>1592874.0549223372</v>
      </c>
      <c r="H316">
        <f t="shared" si="14"/>
        <v>1583705.2894617924</v>
      </c>
    </row>
    <row r="317" spans="2:8">
      <c r="B317" s="18">
        <f>298</f>
        <v>298</v>
      </c>
      <c r="C317" s="19">
        <f ca="1">EDATE(C14,298)</f>
        <v>54805</v>
      </c>
      <c r="D317" s="20">
        <f>F10</f>
        <v>-1910.1162171782241</v>
      </c>
      <c r="E317" s="20">
        <f t="shared" si="12"/>
        <v>-9210.7889689056028</v>
      </c>
      <c r="F317" s="20">
        <f>H317*C11/C13</f>
        <v>7300.6727517273794</v>
      </c>
      <c r="G317" s="21">
        <f t="shared" si="13"/>
        <v>1602084.8438912428</v>
      </c>
      <c r="H317">
        <f t="shared" si="14"/>
        <v>1592874.0549223372</v>
      </c>
    </row>
    <row r="318" spans="2:8">
      <c r="B318" s="18">
        <f>299</f>
        <v>299</v>
      </c>
      <c r="C318" s="19">
        <f ca="1">EDATE(C14,299)</f>
        <v>54836</v>
      </c>
      <c r="D318" s="20">
        <f>F10</f>
        <v>-1910.1162171782241</v>
      </c>
      <c r="E318" s="20">
        <f t="shared" si="12"/>
        <v>-9253.0050850130865</v>
      </c>
      <c r="F318" s="20">
        <f>H318*C11/C13</f>
        <v>7342.888867834863</v>
      </c>
      <c r="G318" s="21">
        <f t="shared" si="13"/>
        <v>1611337.8489762559</v>
      </c>
      <c r="H318">
        <f t="shared" si="14"/>
        <v>1602084.8438912428</v>
      </c>
    </row>
    <row r="319" spans="2:8">
      <c r="B319" s="18">
        <f>300</f>
        <v>300</v>
      </c>
      <c r="C319" s="19">
        <f ca="1">EDATE(C14,300)</f>
        <v>54864</v>
      </c>
      <c r="D319" s="20">
        <f>F10</f>
        <v>-1910.1162171782241</v>
      </c>
      <c r="E319" s="20">
        <f t="shared" si="12"/>
        <v>-9295.4146916527297</v>
      </c>
      <c r="F319" s="20">
        <f>H319*C11/C13</f>
        <v>7385.2984744745054</v>
      </c>
      <c r="G319" s="21">
        <f t="shared" si="13"/>
        <v>1620633.2636679085</v>
      </c>
      <c r="H319">
        <f t="shared" si="14"/>
        <v>1611337.8489762559</v>
      </c>
    </row>
    <row r="320" spans="2:8">
      <c r="B320" s="18">
        <f>301</f>
        <v>301</v>
      </c>
      <c r="C320" s="19">
        <f ca="1">EDATE(C14,301)</f>
        <v>54895</v>
      </c>
      <c r="D320" s="20">
        <f>F10</f>
        <v>-1910.1162171782241</v>
      </c>
      <c r="E320" s="20">
        <f t="shared" si="12"/>
        <v>-9338.0186756561379</v>
      </c>
      <c r="F320" s="20">
        <f>H320*C11/C13</f>
        <v>7427.9024584779145</v>
      </c>
      <c r="G320" s="21">
        <f t="shared" si="13"/>
        <v>1629971.2823435646</v>
      </c>
      <c r="H320">
        <f t="shared" si="14"/>
        <v>1620633.2636679085</v>
      </c>
    </row>
    <row r="321" spans="2:8">
      <c r="B321" s="18">
        <f>302</f>
        <v>302</v>
      </c>
      <c r="C321" s="19">
        <f ca="1">EDATE(C14,302)</f>
        <v>54925</v>
      </c>
      <c r="D321" s="20">
        <f>F10</f>
        <v>-1910.1162171782241</v>
      </c>
      <c r="E321" s="20">
        <f t="shared" si="12"/>
        <v>-9380.817927919561</v>
      </c>
      <c r="F321" s="20">
        <f>H321*C11/C13</f>
        <v>7470.7017107413376</v>
      </c>
      <c r="G321" s="21">
        <f t="shared" si="13"/>
        <v>1639352.1002714841</v>
      </c>
      <c r="H321">
        <f t="shared" si="14"/>
        <v>1629971.2823435646</v>
      </c>
    </row>
    <row r="322" spans="2:8">
      <c r="B322" s="18">
        <f>303</f>
        <v>303</v>
      </c>
      <c r="C322" s="19">
        <f ca="1">EDATE(C14,303)</f>
        <v>54956</v>
      </c>
      <c r="D322" s="20">
        <f>F10</f>
        <v>-1910.1162171782241</v>
      </c>
      <c r="E322" s="20">
        <f t="shared" si="12"/>
        <v>-9423.8133434225274</v>
      </c>
      <c r="F322" s="20">
        <f>H322*C11/C13</f>
        <v>7513.697126244303</v>
      </c>
      <c r="G322" s="21">
        <f t="shared" si="13"/>
        <v>1648775.9136149066</v>
      </c>
      <c r="H322">
        <f t="shared" si="14"/>
        <v>1639352.1002714841</v>
      </c>
    </row>
    <row r="323" spans="2:8">
      <c r="B323" s="18">
        <f>304</f>
        <v>304</v>
      </c>
      <c r="C323" s="19">
        <f ca="1">EDATE(C14,304)</f>
        <v>54986</v>
      </c>
      <c r="D323" s="20">
        <f>F10</f>
        <v>-1910.1162171782241</v>
      </c>
      <c r="E323" s="20">
        <f t="shared" si="12"/>
        <v>-9467.0058212465465</v>
      </c>
      <c r="F323" s="20">
        <f>H323*C11/C13</f>
        <v>7556.8896040683221</v>
      </c>
      <c r="G323" s="21">
        <f t="shared" si="13"/>
        <v>1658242.9194361533</v>
      </c>
      <c r="H323">
        <f t="shared" si="14"/>
        <v>1648775.9136149066</v>
      </c>
    </row>
    <row r="324" spans="2:8">
      <c r="B324" s="18">
        <f>305</f>
        <v>305</v>
      </c>
      <c r="C324" s="19">
        <f ca="1">EDATE(C14,305)</f>
        <v>55017</v>
      </c>
      <c r="D324" s="20">
        <f>F10</f>
        <v>-1910.1162171782241</v>
      </c>
      <c r="E324" s="20">
        <f t="shared" si="12"/>
        <v>-9510.3962645939264</v>
      </c>
      <c r="F324" s="20">
        <f>H324*C11/C13</f>
        <v>7600.280047415702</v>
      </c>
      <c r="G324" s="21">
        <f t="shared" si="13"/>
        <v>1667753.3157007471</v>
      </c>
      <c r="H324">
        <f t="shared" si="14"/>
        <v>1658242.9194361533</v>
      </c>
    </row>
    <row r="325" spans="2:8">
      <c r="B325" s="18">
        <f>306</f>
        <v>306</v>
      </c>
      <c r="C325" s="19">
        <f ca="1">EDATE(C14,306)</f>
        <v>55048</v>
      </c>
      <c r="D325" s="20">
        <f>F10</f>
        <v>-1910.1162171782241</v>
      </c>
      <c r="E325" s="20">
        <f t="shared" si="12"/>
        <v>-9553.9855808066477</v>
      </c>
      <c r="F325" s="20">
        <f>H325*C11/C13</f>
        <v>7643.8693636284233</v>
      </c>
      <c r="G325" s="21">
        <f t="shared" si="13"/>
        <v>1677307.3012815537</v>
      </c>
      <c r="H325">
        <f t="shared" si="14"/>
        <v>1667753.3157007471</v>
      </c>
    </row>
    <row r="326" spans="2:8">
      <c r="B326" s="18">
        <f>307</f>
        <v>307</v>
      </c>
      <c r="C326" s="19">
        <f ca="1">EDATE(C14,307)</f>
        <v>55078</v>
      </c>
      <c r="D326" s="20">
        <f>F10</f>
        <v>-1910.1162171782241</v>
      </c>
      <c r="E326" s="20">
        <f t="shared" si="12"/>
        <v>-9597.7746813853446</v>
      </c>
      <c r="F326" s="20">
        <f>H326*C11/C13</f>
        <v>7687.6584642071211</v>
      </c>
      <c r="G326" s="21">
        <f t="shared" si="13"/>
        <v>1686905.0759629391</v>
      </c>
      <c r="H326">
        <f t="shared" si="14"/>
        <v>1677307.3012815537</v>
      </c>
    </row>
    <row r="327" spans="2:8">
      <c r="B327" s="18">
        <f>308</f>
        <v>308</v>
      </c>
      <c r="C327" s="19">
        <f ca="1">EDATE(C14,308)</f>
        <v>55109</v>
      </c>
      <c r="D327" s="20">
        <f>F10</f>
        <v>-1910.1162171782241</v>
      </c>
      <c r="E327" s="20">
        <f t="shared" si="12"/>
        <v>-9641.7644820083624</v>
      </c>
      <c r="F327" s="20">
        <f>H327*C11/C13</f>
        <v>7731.648264830138</v>
      </c>
      <c r="G327" s="21">
        <f t="shared" si="13"/>
        <v>1696546.8404449474</v>
      </c>
      <c r="H327">
        <f t="shared" si="14"/>
        <v>1686905.0759629391</v>
      </c>
    </row>
    <row r="328" spans="2:8">
      <c r="B328" s="18">
        <f>309</f>
        <v>309</v>
      </c>
      <c r="C328" s="19">
        <f ca="1">EDATE(C14,309)</f>
        <v>55139</v>
      </c>
      <c r="D328" s="20">
        <f>F10</f>
        <v>-1910.1162171782241</v>
      </c>
      <c r="E328" s="20">
        <f t="shared" si="12"/>
        <v>-9685.9559025509006</v>
      </c>
      <c r="F328" s="20">
        <f>H328*C11/C13</f>
        <v>7775.8396853726763</v>
      </c>
      <c r="G328" s="21">
        <f t="shared" si="13"/>
        <v>1706232.7963474982</v>
      </c>
      <c r="H328">
        <f t="shared" si="14"/>
        <v>1696546.8404449474</v>
      </c>
    </row>
    <row r="329" spans="2:8">
      <c r="B329" s="18">
        <f>310</f>
        <v>310</v>
      </c>
      <c r="C329" s="19">
        <f ca="1">EDATE(C14,310)</f>
        <v>55170</v>
      </c>
      <c r="D329" s="20">
        <f>F10</f>
        <v>-1910.1162171782241</v>
      </c>
      <c r="E329" s="20">
        <f t="shared" si="12"/>
        <v>-9730.349867104258</v>
      </c>
      <c r="F329" s="20">
        <f>H329*C11/C13</f>
        <v>7820.2336499260336</v>
      </c>
      <c r="G329" s="21">
        <f t="shared" si="13"/>
        <v>1715963.1462146025</v>
      </c>
      <c r="H329">
        <f t="shared" si="14"/>
        <v>1706232.7963474982</v>
      </c>
    </row>
    <row r="330" spans="2:8">
      <c r="B330" s="18">
        <f>311</f>
        <v>311</v>
      </c>
      <c r="C330" s="19">
        <f ca="1">EDATE(C14,311)</f>
        <v>55201</v>
      </c>
      <c r="D330" s="20">
        <f>F10</f>
        <v>-1910.1162171782241</v>
      </c>
      <c r="E330" s="20">
        <f t="shared" si="12"/>
        <v>-9774.9473039951517</v>
      </c>
      <c r="F330" s="20">
        <f>H330*C11/C13</f>
        <v>7864.8310868169283</v>
      </c>
      <c r="G330" s="21">
        <f t="shared" si="13"/>
        <v>1725738.0935185978</v>
      </c>
      <c r="H330">
        <f t="shared" si="14"/>
        <v>1715963.1462146025</v>
      </c>
    </row>
    <row r="331" spans="2:8">
      <c r="B331" s="18">
        <f>312</f>
        <v>312</v>
      </c>
      <c r="C331" s="19">
        <f ca="1">EDATE(C14,312)</f>
        <v>55229</v>
      </c>
      <c r="D331" s="20">
        <f>F10</f>
        <v>-1910.1162171782241</v>
      </c>
      <c r="E331" s="20">
        <f t="shared" si="12"/>
        <v>-9819.74914580513</v>
      </c>
      <c r="F331" s="20">
        <f>H331*C11/C13</f>
        <v>7909.6329286269065</v>
      </c>
      <c r="G331" s="21">
        <f t="shared" si="13"/>
        <v>1735557.8426644029</v>
      </c>
      <c r="H331">
        <f t="shared" si="14"/>
        <v>1725738.0935185978</v>
      </c>
    </row>
    <row r="332" spans="2:8">
      <c r="B332" s="18">
        <f>313</f>
        <v>313</v>
      </c>
      <c r="C332" s="19">
        <f ca="1">EDATE(C14,313)</f>
        <v>55260</v>
      </c>
      <c r="D332" s="20">
        <f>F10</f>
        <v>-1910.1162171782241</v>
      </c>
      <c r="E332" s="20">
        <f t="shared" si="12"/>
        <v>-9864.7563293900712</v>
      </c>
      <c r="F332" s="20">
        <f>H332*C11/C13</f>
        <v>7954.6401122118468</v>
      </c>
      <c r="G332" s="21">
        <f t="shared" si="13"/>
        <v>1745422.5989937929</v>
      </c>
      <c r="H332">
        <f t="shared" si="14"/>
        <v>1735557.8426644029</v>
      </c>
    </row>
    <row r="333" spans="2:8">
      <c r="B333" s="18">
        <f>314</f>
        <v>314</v>
      </c>
      <c r="C333" s="19">
        <f ca="1">EDATE(C14,314)</f>
        <v>55290</v>
      </c>
      <c r="D333" s="20">
        <f>F10</f>
        <v>-1910.1162171782241</v>
      </c>
      <c r="E333" s="20">
        <f t="shared" si="12"/>
        <v>-9909.9697958997749</v>
      </c>
      <c r="F333" s="20">
        <f>H333*C11/C13</f>
        <v>7999.8535787215505</v>
      </c>
      <c r="G333" s="21">
        <f t="shared" si="13"/>
        <v>1755332.5687896926</v>
      </c>
      <c r="H333">
        <f t="shared" si="14"/>
        <v>1745422.5989937929</v>
      </c>
    </row>
    <row r="334" spans="2:8">
      <c r="B334" s="18">
        <f>315</f>
        <v>315</v>
      </c>
      <c r="C334" s="19">
        <f ca="1">EDATE(C14,315)</f>
        <v>55321</v>
      </c>
      <c r="D334" s="20">
        <f>F10</f>
        <v>-1910.1162171782241</v>
      </c>
      <c r="E334" s="20">
        <f t="shared" si="12"/>
        <v>-9955.3904907976485</v>
      </c>
      <c r="F334" s="20">
        <f>H334*C11/C13</f>
        <v>8045.2742736194241</v>
      </c>
      <c r="G334" s="21">
        <f t="shared" si="13"/>
        <v>1765287.9592804902</v>
      </c>
      <c r="H334">
        <f t="shared" si="14"/>
        <v>1755332.5687896926</v>
      </c>
    </row>
    <row r="335" spans="2:8">
      <c r="B335" s="18">
        <f>316</f>
        <v>316</v>
      </c>
      <c r="C335" s="19">
        <f ca="1">EDATE(C14,316)</f>
        <v>55351</v>
      </c>
      <c r="D335" s="20">
        <f>F10</f>
        <v>-1910.1162171782241</v>
      </c>
      <c r="E335" s="20">
        <f t="shared" si="12"/>
        <v>-10001.01936388047</v>
      </c>
      <c r="F335" s="20">
        <f>H335*C11/C13</f>
        <v>8090.9031467022469</v>
      </c>
      <c r="G335" s="21">
        <f t="shared" si="13"/>
        <v>1775288.9786443706</v>
      </c>
      <c r="H335">
        <f t="shared" si="14"/>
        <v>1765287.9592804902</v>
      </c>
    </row>
    <row r="336" spans="2:8">
      <c r="B336" s="18">
        <f>317</f>
        <v>317</v>
      </c>
      <c r="C336" s="19">
        <f ca="1">EDATE(C14,317)</f>
        <v>55382</v>
      </c>
      <c r="D336" s="20">
        <f>F10</f>
        <v>-1910.1162171782241</v>
      </c>
      <c r="E336" s="20">
        <f t="shared" si="12"/>
        <v>-10046.857369298255</v>
      </c>
      <c r="F336" s="20">
        <f>H336*C11/C13</f>
        <v>8136.7411521200311</v>
      </c>
      <c r="G336" s="21">
        <f t="shared" si="13"/>
        <v>1785335.8360136689</v>
      </c>
      <c r="H336">
        <f t="shared" si="14"/>
        <v>1775288.9786443706</v>
      </c>
    </row>
    <row r="337" spans="2:8">
      <c r="B337" s="18">
        <f>318</f>
        <v>318</v>
      </c>
      <c r="C337" s="19">
        <f ca="1">EDATE(C14,318)</f>
        <v>55413</v>
      </c>
      <c r="D337" s="20">
        <f>F10</f>
        <v>-1910.1162171782241</v>
      </c>
      <c r="E337" s="20">
        <f t="shared" si="12"/>
        <v>-10092.905465574207</v>
      </c>
      <c r="F337" s="20">
        <f>H337*C11/C13</f>
        <v>8182.7892483959831</v>
      </c>
      <c r="G337" s="21">
        <f t="shared" si="13"/>
        <v>1795428.7414792432</v>
      </c>
      <c r="H337">
        <f t="shared" si="14"/>
        <v>1785335.8360136689</v>
      </c>
    </row>
    <row r="338" spans="2:8">
      <c r="B338" s="18">
        <f>319</f>
        <v>319</v>
      </c>
      <c r="C338" s="19">
        <f ca="1">EDATE(C14,319)</f>
        <v>55443</v>
      </c>
      <c r="D338" s="20">
        <f>F10</f>
        <v>-1910.1162171782241</v>
      </c>
      <c r="E338" s="20">
        <f t="shared" si="12"/>
        <v>-10139.164615624753</v>
      </c>
      <c r="F338" s="20">
        <f>H338*C11/C13</f>
        <v>8229.04839844653</v>
      </c>
      <c r="G338" s="21">
        <f t="shared" si="13"/>
        <v>1805567.906094868</v>
      </c>
      <c r="H338">
        <f t="shared" si="14"/>
        <v>1795428.7414792432</v>
      </c>
    </row>
    <row r="339" spans="2:8">
      <c r="B339" s="18">
        <f>320</f>
        <v>320</v>
      </c>
      <c r="C339" s="19">
        <f ca="1">EDATE(C14,320)</f>
        <v>55474</v>
      </c>
      <c r="D339" s="20">
        <f>F10</f>
        <v>-1910.1162171782241</v>
      </c>
      <c r="E339" s="20">
        <f t="shared" si="12"/>
        <v>-10185.635786779701</v>
      </c>
      <c r="F339" s="20">
        <f>H339*C11/C13</f>
        <v>8275.519569601478</v>
      </c>
      <c r="G339" s="21">
        <f t="shared" si="13"/>
        <v>1815753.5418816477</v>
      </c>
      <c r="H339">
        <f t="shared" si="14"/>
        <v>1805567.906094868</v>
      </c>
    </row>
    <row r="340" spans="2:8">
      <c r="B340" s="18">
        <f>321</f>
        <v>321</v>
      </c>
      <c r="C340" s="19">
        <f ca="1">EDATE(C14,321)</f>
        <v>55504</v>
      </c>
      <c r="D340" s="20">
        <f>F10</f>
        <v>-1910.1162171782241</v>
      </c>
      <c r="E340" s="20">
        <f t="shared" ref="E340:E403" si="15">D340-F340</f>
        <v>-10232.319950802443</v>
      </c>
      <c r="F340" s="20">
        <f>H340*C11/C13</f>
        <v>8322.2037336242192</v>
      </c>
      <c r="G340" s="21">
        <f t="shared" si="13"/>
        <v>1825985.8618324501</v>
      </c>
      <c r="H340">
        <f t="shared" si="14"/>
        <v>1815753.5418816477</v>
      </c>
    </row>
    <row r="341" spans="2:8">
      <c r="B341" s="18">
        <f>322</f>
        <v>322</v>
      </c>
      <c r="C341" s="19">
        <f ca="1">EDATE(C14,322)</f>
        <v>55535</v>
      </c>
      <c r="D341" s="20">
        <f>F10</f>
        <v>-1910.1162171782241</v>
      </c>
      <c r="E341" s="20">
        <f t="shared" si="15"/>
        <v>-10279.218083910286</v>
      </c>
      <c r="F341" s="20">
        <f>H341*C11/C13</f>
        <v>8369.1018667320623</v>
      </c>
      <c r="G341" s="21">
        <f t="shared" ref="G341:G380" si="16">G340-E341</f>
        <v>1836265.0799163603</v>
      </c>
      <c r="H341">
        <f t="shared" ref="H341:H380" si="17">G340</f>
        <v>1825985.8618324501</v>
      </c>
    </row>
    <row r="342" spans="2:8">
      <c r="B342" s="18">
        <f>323</f>
        <v>323</v>
      </c>
      <c r="C342" s="19">
        <f ca="1">EDATE(C14,323)</f>
        <v>55566</v>
      </c>
      <c r="D342" s="20">
        <f>F10</f>
        <v>-1910.1162171782241</v>
      </c>
      <c r="E342" s="20">
        <f t="shared" si="15"/>
        <v>-10326.331166794875</v>
      </c>
      <c r="F342" s="20">
        <f>H342*C11/C13</f>
        <v>8416.2149496166512</v>
      </c>
      <c r="G342" s="21">
        <f t="shared" si="16"/>
        <v>1846591.4110831553</v>
      </c>
      <c r="H342">
        <f t="shared" si="17"/>
        <v>1836265.0799163603</v>
      </c>
    </row>
    <row r="343" spans="2:8">
      <c r="B343" s="18">
        <f>324</f>
        <v>324</v>
      </c>
      <c r="C343" s="19">
        <f ca="1">EDATE(C14,324)</f>
        <v>55595</v>
      </c>
      <c r="D343" s="20">
        <f>F10</f>
        <v>-1910.1162171782241</v>
      </c>
      <c r="E343" s="20">
        <f t="shared" si="15"/>
        <v>-10373.660184642686</v>
      </c>
      <c r="F343" s="20">
        <f>H343*C11/C13</f>
        <v>8463.5439674644622</v>
      </c>
      <c r="G343" s="21">
        <f t="shared" si="16"/>
        <v>1856965.0712677981</v>
      </c>
      <c r="H343">
        <f t="shared" si="17"/>
        <v>1846591.4110831553</v>
      </c>
    </row>
    <row r="344" spans="2:8">
      <c r="B344" s="18">
        <f>325</f>
        <v>325</v>
      </c>
      <c r="C344" s="19">
        <f ca="1">EDATE(C14,325)</f>
        <v>55626</v>
      </c>
      <c r="D344" s="20">
        <f>F10</f>
        <v>-1910.1162171782241</v>
      </c>
      <c r="E344" s="20">
        <f t="shared" si="15"/>
        <v>-10421.206127155632</v>
      </c>
      <c r="F344" s="20">
        <f>H344*C11/C13</f>
        <v>8511.0899099774088</v>
      </c>
      <c r="G344" s="21">
        <f t="shared" si="16"/>
        <v>1867386.2773949536</v>
      </c>
      <c r="H344">
        <f t="shared" si="17"/>
        <v>1856965.0712677981</v>
      </c>
    </row>
    <row r="345" spans="2:8">
      <c r="B345" s="18">
        <f>326</f>
        <v>326</v>
      </c>
      <c r="C345" s="19">
        <f ca="1">EDATE(C14,326)</f>
        <v>55656</v>
      </c>
      <c r="D345" s="20">
        <f>F10</f>
        <v>-1910.1162171782241</v>
      </c>
      <c r="E345" s="20">
        <f t="shared" si="15"/>
        <v>-10468.969988571762</v>
      </c>
      <c r="F345" s="20">
        <f>H345*C11/C13</f>
        <v>8558.8537713935384</v>
      </c>
      <c r="G345" s="21">
        <f t="shared" si="16"/>
        <v>1877855.2473835254</v>
      </c>
      <c r="H345">
        <f t="shared" si="17"/>
        <v>1867386.2773949536</v>
      </c>
    </row>
    <row r="346" spans="2:8">
      <c r="B346" s="18">
        <f>327</f>
        <v>327</v>
      </c>
      <c r="C346" s="19">
        <f ca="1">EDATE(C14,327)</f>
        <v>55687</v>
      </c>
      <c r="D346" s="20">
        <f>F10</f>
        <v>-1910.1162171782241</v>
      </c>
      <c r="E346" s="20">
        <f t="shared" si="15"/>
        <v>-10516.952767686047</v>
      </c>
      <c r="F346" s="20">
        <f>H346*C11/C13</f>
        <v>8606.8365505078236</v>
      </c>
      <c r="G346" s="21">
        <f t="shared" si="16"/>
        <v>1888372.2001512113</v>
      </c>
      <c r="H346">
        <f t="shared" si="17"/>
        <v>1877855.2473835254</v>
      </c>
    </row>
    <row r="347" spans="2:8">
      <c r="B347" s="18">
        <f>328</f>
        <v>328</v>
      </c>
      <c r="C347" s="19">
        <f ca="1">EDATE(C14,328)</f>
        <v>55717</v>
      </c>
      <c r="D347" s="20">
        <f>F10</f>
        <v>-1910.1162171782241</v>
      </c>
      <c r="E347" s="20">
        <f t="shared" si="15"/>
        <v>-10565.155467871276</v>
      </c>
      <c r="F347" s="20">
        <f>H347*C11/C13</f>
        <v>8655.039250693053</v>
      </c>
      <c r="G347" s="21">
        <f t="shared" si="16"/>
        <v>1898937.3556190827</v>
      </c>
      <c r="H347">
        <f t="shared" si="17"/>
        <v>1888372.2001512113</v>
      </c>
    </row>
    <row r="348" spans="2:8">
      <c r="B348" s="18">
        <f>329</f>
        <v>329</v>
      </c>
      <c r="C348" s="19">
        <f ca="1">EDATE(C14,329)</f>
        <v>55748</v>
      </c>
      <c r="D348" s="20">
        <f>F10</f>
        <v>-1910.1162171782241</v>
      </c>
      <c r="E348" s="20">
        <f t="shared" si="15"/>
        <v>-10613.579097099018</v>
      </c>
      <c r="F348" s="20">
        <f>H348*C11/C13</f>
        <v>8703.4628799207949</v>
      </c>
      <c r="G348" s="21">
        <f t="shared" si="16"/>
        <v>1909550.9347161816</v>
      </c>
      <c r="H348">
        <f t="shared" si="17"/>
        <v>1898937.3556190827</v>
      </c>
    </row>
    <row r="349" spans="2:8">
      <c r="B349" s="18">
        <f>330</f>
        <v>330</v>
      </c>
      <c r="C349" s="19">
        <f ca="1">EDATE(C14,330)</f>
        <v>55779</v>
      </c>
      <c r="D349" s="20">
        <f>F10</f>
        <v>-1910.1162171782241</v>
      </c>
      <c r="E349" s="20">
        <f t="shared" si="15"/>
        <v>-10662.224667960721</v>
      </c>
      <c r="F349" s="20">
        <f>H349*C11/C13</f>
        <v>8752.108450782498</v>
      </c>
      <c r="G349" s="21">
        <f t="shared" si="16"/>
        <v>1920213.1593841424</v>
      </c>
      <c r="H349">
        <f t="shared" si="17"/>
        <v>1909550.9347161816</v>
      </c>
    </row>
    <row r="350" spans="2:8">
      <c r="B350" s="18">
        <f>331</f>
        <v>331</v>
      </c>
      <c r="C350" s="19">
        <f ca="1">EDATE(C14,331)</f>
        <v>55809</v>
      </c>
      <c r="D350" s="20">
        <f>F10</f>
        <v>-1910.1162171782241</v>
      </c>
      <c r="E350" s="20">
        <f t="shared" si="15"/>
        <v>-10711.093197688877</v>
      </c>
      <c r="F350" s="20">
        <f>H350*C11/C13</f>
        <v>8800.9769805106534</v>
      </c>
      <c r="G350" s="21">
        <f t="shared" si="16"/>
        <v>1930924.2525818313</v>
      </c>
      <c r="H350">
        <f t="shared" si="17"/>
        <v>1920213.1593841424</v>
      </c>
    </row>
    <row r="351" spans="2:8">
      <c r="B351" s="18">
        <f>332</f>
        <v>332</v>
      </c>
      <c r="C351" s="19">
        <f ca="1">EDATE(C14,332)</f>
        <v>55840</v>
      </c>
      <c r="D351" s="20">
        <f>F10</f>
        <v>-1910.1162171782241</v>
      </c>
      <c r="E351" s="20">
        <f t="shared" si="15"/>
        <v>-10760.185708178284</v>
      </c>
      <c r="F351" s="20">
        <f>H351*C11/C13</f>
        <v>8850.0694910000602</v>
      </c>
      <c r="G351" s="21">
        <f t="shared" si="16"/>
        <v>1941684.4382900095</v>
      </c>
      <c r="H351">
        <f t="shared" si="17"/>
        <v>1930924.2525818313</v>
      </c>
    </row>
    <row r="352" spans="2:8">
      <c r="B352" s="18">
        <f>333</f>
        <v>333</v>
      </c>
      <c r="C352" s="19">
        <f ca="1">EDATE(C14,333)</f>
        <v>55870</v>
      </c>
      <c r="D352" s="20">
        <f>F10</f>
        <v>-1910.1162171782241</v>
      </c>
      <c r="E352" s="20">
        <f t="shared" si="15"/>
        <v>-10809.503226007435</v>
      </c>
      <c r="F352" s="20">
        <f>H352*C11/C13</f>
        <v>8899.3870088292115</v>
      </c>
      <c r="G352" s="21">
        <f t="shared" si="16"/>
        <v>1952493.9415160168</v>
      </c>
      <c r="H352">
        <f t="shared" si="17"/>
        <v>1941684.4382900095</v>
      </c>
    </row>
    <row r="353" spans="2:8">
      <c r="B353" s="18">
        <f>334</f>
        <v>334</v>
      </c>
      <c r="C353" s="19">
        <f ca="1">EDATE(C14,334)</f>
        <v>55901</v>
      </c>
      <c r="D353" s="20">
        <f>F10</f>
        <v>-1910.1162171782241</v>
      </c>
      <c r="E353" s="20">
        <f t="shared" si="15"/>
        <v>-10859.046782459967</v>
      </c>
      <c r="F353" s="20">
        <f>H353*C11/C13</f>
        <v>8948.9305652817438</v>
      </c>
      <c r="G353" s="21">
        <f t="shared" si="16"/>
        <v>1963352.9882984769</v>
      </c>
      <c r="H353">
        <f t="shared" si="17"/>
        <v>1952493.9415160168</v>
      </c>
    </row>
    <row r="354" spans="2:8">
      <c r="B354" s="18">
        <f>335</f>
        <v>335</v>
      </c>
      <c r="C354" s="19">
        <f ca="1">EDATE(C14,335)</f>
        <v>55932</v>
      </c>
      <c r="D354" s="20">
        <f>F10</f>
        <v>-1910.1162171782241</v>
      </c>
      <c r="E354" s="20">
        <f t="shared" si="15"/>
        <v>-10908.817413546243</v>
      </c>
      <c r="F354" s="20">
        <f>H354*C11/C13</f>
        <v>8998.7011963680197</v>
      </c>
      <c r="G354" s="21">
        <f t="shared" si="16"/>
        <v>1974261.8057120231</v>
      </c>
      <c r="H354">
        <f t="shared" si="17"/>
        <v>1963352.9882984769</v>
      </c>
    </row>
    <row r="355" spans="2:8">
      <c r="B355" s="18">
        <f>336</f>
        <v>336</v>
      </c>
      <c r="C355" s="19">
        <f ca="1">EDATE(C14,336)</f>
        <v>55960</v>
      </c>
      <c r="D355" s="20">
        <f>F10</f>
        <v>-1910.1162171782241</v>
      </c>
      <c r="E355" s="20">
        <f t="shared" si="15"/>
        <v>-10958.816160024997</v>
      </c>
      <c r="F355" s="20">
        <f>H355*C11/C13</f>
        <v>9048.6999428467734</v>
      </c>
      <c r="G355" s="21">
        <f t="shared" si="16"/>
        <v>1985220.6218720481</v>
      </c>
      <c r="H355">
        <f t="shared" si="17"/>
        <v>1974261.8057120231</v>
      </c>
    </row>
    <row r="356" spans="2:8">
      <c r="B356" s="18">
        <f>337</f>
        <v>337</v>
      </c>
      <c r="C356" s="19">
        <f ca="1">EDATE(C14,337)</f>
        <v>55991</v>
      </c>
      <c r="D356" s="20">
        <f>F10</f>
        <v>-1910.1162171782241</v>
      </c>
      <c r="E356" s="20">
        <f t="shared" si="15"/>
        <v>-11009.044067425111</v>
      </c>
      <c r="F356" s="20">
        <f>H356*C11/C13</f>
        <v>9098.9278502468878</v>
      </c>
      <c r="G356" s="21">
        <f t="shared" si="16"/>
        <v>1996229.6659394733</v>
      </c>
      <c r="H356">
        <f t="shared" si="17"/>
        <v>1985220.6218720481</v>
      </c>
    </row>
    <row r="357" spans="2:8">
      <c r="B357" s="18">
        <f>338</f>
        <v>338</v>
      </c>
      <c r="C357" s="19">
        <f ca="1">EDATE(C14,338)</f>
        <v>56021</v>
      </c>
      <c r="D357" s="20">
        <f>F10</f>
        <v>-1910.1162171782241</v>
      </c>
      <c r="E357" s="20">
        <f t="shared" si="15"/>
        <v>-11059.502186067477</v>
      </c>
      <c r="F357" s="20">
        <f>H357*C11/C13</f>
        <v>9149.3859688892535</v>
      </c>
      <c r="G357" s="21">
        <f t="shared" si="16"/>
        <v>2007289.1681255407</v>
      </c>
      <c r="H357">
        <f t="shared" si="17"/>
        <v>1996229.6659394733</v>
      </c>
    </row>
    <row r="358" spans="2:8">
      <c r="B358" s="18">
        <f>339</f>
        <v>339</v>
      </c>
      <c r="C358" s="19">
        <f ca="1">EDATE(C14,339)</f>
        <v>56052</v>
      </c>
      <c r="D358" s="20">
        <f>F10</f>
        <v>-1910.1162171782241</v>
      </c>
      <c r="E358" s="20">
        <f t="shared" si="15"/>
        <v>-11110.191571086953</v>
      </c>
      <c r="F358" s="20">
        <f>H358*C11/C13</f>
        <v>9200.0753539087291</v>
      </c>
      <c r="G358" s="21">
        <f t="shared" si="16"/>
        <v>2018399.3596966276</v>
      </c>
      <c r="H358">
        <f t="shared" si="17"/>
        <v>2007289.1681255407</v>
      </c>
    </row>
    <row r="359" spans="2:8">
      <c r="B359" s="18">
        <f>340</f>
        <v>340</v>
      </c>
      <c r="C359" s="19">
        <f ca="1">EDATE(C14,340)</f>
        <v>56082</v>
      </c>
      <c r="D359" s="20">
        <f>F10</f>
        <v>-1910.1162171782241</v>
      </c>
      <c r="E359" s="20">
        <f t="shared" si="15"/>
        <v>-11161.113282454433</v>
      </c>
      <c r="F359" s="20">
        <f>H359*C11/C13</f>
        <v>9250.9970652762095</v>
      </c>
      <c r="G359" s="21">
        <f t="shared" si="16"/>
        <v>2029560.472979082</v>
      </c>
      <c r="H359">
        <f t="shared" si="17"/>
        <v>2018399.3596966276</v>
      </c>
    </row>
    <row r="360" spans="2:8">
      <c r="B360" s="18">
        <f>341</f>
        <v>341</v>
      </c>
      <c r="C360" s="19">
        <f ca="1">EDATE(C14,341)</f>
        <v>56113</v>
      </c>
      <c r="D360" s="20">
        <f>F10</f>
        <v>-1910.1162171782241</v>
      </c>
      <c r="E360" s="20">
        <f t="shared" si="15"/>
        <v>-11212.268384999015</v>
      </c>
      <c r="F360" s="20">
        <f>H360*C11/C13</f>
        <v>9302.1521678207919</v>
      </c>
      <c r="G360" s="21">
        <f t="shared" si="16"/>
        <v>2040772.7413640812</v>
      </c>
      <c r="H360">
        <f t="shared" si="17"/>
        <v>2029560.472979082</v>
      </c>
    </row>
    <row r="361" spans="2:8">
      <c r="B361" s="18">
        <f>342</f>
        <v>342</v>
      </c>
      <c r="C361" s="19">
        <f ca="1">EDATE(C14,342)</f>
        <v>56144</v>
      </c>
      <c r="D361" s="20">
        <f>F10</f>
        <v>-1910.1162171782241</v>
      </c>
      <c r="E361" s="20">
        <f t="shared" si="15"/>
        <v>-11263.657948430262</v>
      </c>
      <c r="F361" s="20">
        <f>H361*C11/C13</f>
        <v>9353.5417312520385</v>
      </c>
      <c r="G361" s="21">
        <f t="shared" si="16"/>
        <v>2052036.3993125113</v>
      </c>
      <c r="H361">
        <f t="shared" si="17"/>
        <v>2040772.7413640812</v>
      </c>
    </row>
    <row r="362" spans="2:8">
      <c r="B362" s="18">
        <f>343</f>
        <v>343</v>
      </c>
      <c r="C362" s="19">
        <f ca="1">EDATE(C14,343)</f>
        <v>56174</v>
      </c>
      <c r="D362" s="20">
        <f>F10</f>
        <v>-1910.1162171782241</v>
      </c>
      <c r="E362" s="20">
        <f t="shared" si="15"/>
        <v>-11315.283047360566</v>
      </c>
      <c r="F362" s="20">
        <f>H362*C11/C13</f>
        <v>9405.1668301823429</v>
      </c>
      <c r="G362" s="21">
        <f t="shared" si="16"/>
        <v>2063351.6823598719</v>
      </c>
      <c r="H362">
        <f t="shared" si="17"/>
        <v>2052036.3993125113</v>
      </c>
    </row>
    <row r="363" spans="2:8">
      <c r="B363" s="18">
        <f>344</f>
        <v>344</v>
      </c>
      <c r="C363" s="19">
        <f ca="1">EDATE(C14,344)</f>
        <v>56205</v>
      </c>
      <c r="D363" s="20">
        <f>F10</f>
        <v>-1910.1162171782241</v>
      </c>
      <c r="E363" s="20">
        <f t="shared" si="15"/>
        <v>-11367.144761327636</v>
      </c>
      <c r="F363" s="20">
        <f>H363*C11/C13</f>
        <v>9457.0285441494125</v>
      </c>
      <c r="G363" s="21">
        <f t="shared" si="16"/>
        <v>2074718.8271211996</v>
      </c>
      <c r="H363">
        <f t="shared" si="17"/>
        <v>2063351.6823598719</v>
      </c>
    </row>
    <row r="364" spans="2:8">
      <c r="B364" s="18">
        <f>345</f>
        <v>345</v>
      </c>
      <c r="C364" s="19">
        <f ca="1">EDATE(C14,345)</f>
        <v>56235</v>
      </c>
      <c r="D364" s="20">
        <f>F10</f>
        <v>-1910.1162171782241</v>
      </c>
      <c r="E364" s="20">
        <f t="shared" si="15"/>
        <v>-11419.244174817055</v>
      </c>
      <c r="F364" s="20">
        <f>H364*C11/C13</f>
        <v>9509.1279576388315</v>
      </c>
      <c r="G364" s="21">
        <f t="shared" si="16"/>
        <v>2086138.0712960167</v>
      </c>
      <c r="H364">
        <f t="shared" si="17"/>
        <v>2074718.8271211996</v>
      </c>
    </row>
    <row r="365" spans="2:8">
      <c r="B365" s="18">
        <f>346</f>
        <v>346</v>
      </c>
      <c r="C365" s="19">
        <f ca="1">EDATE(C14,346)</f>
        <v>56266</v>
      </c>
      <c r="D365" s="20">
        <f>F10</f>
        <v>-1910.1162171782241</v>
      </c>
      <c r="E365" s="20">
        <f t="shared" si="15"/>
        <v>-11471.582377284967</v>
      </c>
      <c r="F365" s="20">
        <f>H365*C11/C13</f>
        <v>9561.4661601067437</v>
      </c>
      <c r="G365" s="21">
        <f t="shared" si="16"/>
        <v>2097609.6536733015</v>
      </c>
      <c r="H365">
        <f t="shared" si="17"/>
        <v>2086138.0712960167</v>
      </c>
    </row>
    <row r="366" spans="2:8">
      <c r="B366" s="18">
        <f>347</f>
        <v>347</v>
      </c>
      <c r="C366" s="19">
        <f ca="1">EDATE(C14,347)</f>
        <v>56297</v>
      </c>
      <c r="D366" s="20">
        <f>F10</f>
        <v>-1910.1162171782241</v>
      </c>
      <c r="E366" s="20">
        <f t="shared" si="15"/>
        <v>-11524.160463180855</v>
      </c>
      <c r="F366" s="20">
        <f>H366*C11/C13</f>
        <v>9614.0442460026316</v>
      </c>
      <c r="G366" s="21">
        <f t="shared" si="16"/>
        <v>2109133.8141364823</v>
      </c>
      <c r="H366">
        <f t="shared" si="17"/>
        <v>2097609.6536733015</v>
      </c>
    </row>
    <row r="367" spans="2:8">
      <c r="B367" s="18">
        <f>348</f>
        <v>348</v>
      </c>
      <c r="C367" s="19">
        <f ca="1">EDATE(C14,348)</f>
        <v>56325</v>
      </c>
      <c r="D367" s="20">
        <f>F10</f>
        <v>-1910.1162171782241</v>
      </c>
      <c r="E367" s="20">
        <f t="shared" si="15"/>
        <v>-11576.979531970434</v>
      </c>
      <c r="F367" s="20">
        <f>H367*C11/C13</f>
        <v>9666.8633147922101</v>
      </c>
      <c r="G367" s="21">
        <f t="shared" si="16"/>
        <v>2120710.7936684527</v>
      </c>
      <c r="H367">
        <f t="shared" si="17"/>
        <v>2109133.8141364823</v>
      </c>
    </row>
    <row r="368" spans="2:8">
      <c r="B368" s="18">
        <f>349</f>
        <v>349</v>
      </c>
      <c r="C368" s="19">
        <f ca="1">EDATE(C14,349)</f>
        <v>56356</v>
      </c>
      <c r="D368" s="20">
        <f>F10</f>
        <v>-1910.1162171782241</v>
      </c>
      <c r="E368" s="20">
        <f t="shared" si="15"/>
        <v>-11630.040688158631</v>
      </c>
      <c r="F368" s="20">
        <f>H368*C11/C13</f>
        <v>9719.9244709804079</v>
      </c>
      <c r="G368" s="21">
        <f t="shared" si="16"/>
        <v>2132340.8343566111</v>
      </c>
      <c r="H368">
        <f t="shared" si="17"/>
        <v>2120710.7936684527</v>
      </c>
    </row>
    <row r="369" spans="2:8">
      <c r="B369" s="18">
        <f>350</f>
        <v>350</v>
      </c>
      <c r="C369" s="19">
        <f ca="1">EDATE(C14,350)</f>
        <v>56386</v>
      </c>
      <c r="D369" s="20">
        <f>F10</f>
        <v>-1910.1162171782241</v>
      </c>
      <c r="E369" s="20">
        <f t="shared" si="15"/>
        <v>-11683.34504131269</v>
      </c>
      <c r="F369" s="20">
        <f>H369*C11/C13</f>
        <v>9773.2288241344668</v>
      </c>
      <c r="G369" s="21">
        <f t="shared" si="16"/>
        <v>2144024.1793979239</v>
      </c>
      <c r="H369">
        <f t="shared" si="17"/>
        <v>2132340.8343566111</v>
      </c>
    </row>
    <row r="370" spans="2:8">
      <c r="B370" s="18">
        <f>351</f>
        <v>351</v>
      </c>
      <c r="C370" s="19">
        <f ca="1">EDATE(C14,351)</f>
        <v>56417</v>
      </c>
      <c r="D370" s="20">
        <f>F10</f>
        <v>-1910.1162171782241</v>
      </c>
      <c r="E370" s="20">
        <f t="shared" si="15"/>
        <v>-11736.893706085375</v>
      </c>
      <c r="F370" s="20">
        <f>H370*C11/C13</f>
        <v>9826.7774889071516</v>
      </c>
      <c r="G370" s="21">
        <f t="shared" si="16"/>
        <v>2155761.073104009</v>
      </c>
      <c r="H370">
        <f t="shared" si="17"/>
        <v>2144024.1793979239</v>
      </c>
    </row>
    <row r="371" spans="2:8">
      <c r="B371" s="18">
        <f>352</f>
        <v>352</v>
      </c>
      <c r="C371" s="19">
        <f ca="1">EDATE(C14,352)</f>
        <v>56447</v>
      </c>
      <c r="D371" s="20">
        <f>F10</f>
        <v>-1910.1162171782241</v>
      </c>
      <c r="E371" s="20">
        <f t="shared" si="15"/>
        <v>-11790.687802238264</v>
      </c>
      <c r="F371" s="20">
        <f>H371*C11/C13</f>
        <v>9880.5715850600409</v>
      </c>
      <c r="G371" s="21">
        <f t="shared" si="16"/>
        <v>2167551.7609062474</v>
      </c>
      <c r="H371">
        <f t="shared" si="17"/>
        <v>2155761.073104009</v>
      </c>
    </row>
    <row r="372" spans="2:8">
      <c r="B372" s="18">
        <f>353</f>
        <v>353</v>
      </c>
      <c r="C372" s="19">
        <f ca="1">EDATE(C14,353)</f>
        <v>56478</v>
      </c>
      <c r="D372" s="20">
        <f>F10</f>
        <v>-1910.1162171782241</v>
      </c>
      <c r="E372" s="20">
        <f t="shared" si="15"/>
        <v>-11844.728454665192</v>
      </c>
      <c r="F372" s="20">
        <f>H372*C11/C13</f>
        <v>9934.6122374869683</v>
      </c>
      <c r="G372" s="21">
        <f t="shared" si="16"/>
        <v>2179396.4893609127</v>
      </c>
      <c r="H372">
        <f t="shared" si="17"/>
        <v>2167551.7609062474</v>
      </c>
    </row>
    <row r="373" spans="2:8">
      <c r="B373" s="18">
        <f>354</f>
        <v>354</v>
      </c>
      <c r="C373" s="19">
        <f ca="1">EDATE(C14,354)</f>
        <v>56509</v>
      </c>
      <c r="D373" s="20">
        <f>F10</f>
        <v>-1910.1162171782241</v>
      </c>
      <c r="E373" s="20">
        <f t="shared" si="15"/>
        <v>-11899.01679341574</v>
      </c>
      <c r="F373" s="20">
        <f>H373*C11/C13</f>
        <v>9988.9005762375164</v>
      </c>
      <c r="G373" s="21">
        <f t="shared" si="16"/>
        <v>2191295.5061543286</v>
      </c>
      <c r="H373">
        <f t="shared" si="17"/>
        <v>2179396.4893609127</v>
      </c>
    </row>
    <row r="374" spans="2:8">
      <c r="B374" s="18">
        <f>355</f>
        <v>355</v>
      </c>
      <c r="C374" s="19">
        <f ca="1">EDATE(C14,355)</f>
        <v>56539</v>
      </c>
      <c r="D374" s="20">
        <f>F10</f>
        <v>-1910.1162171782241</v>
      </c>
      <c r="E374" s="20">
        <f t="shared" si="15"/>
        <v>-11953.553953718896</v>
      </c>
      <c r="F374" s="20">
        <f>H374*C11/C13</f>
        <v>10043.437736540673</v>
      </c>
      <c r="G374" s="21">
        <f t="shared" si="16"/>
        <v>2203249.0601080474</v>
      </c>
      <c r="H374">
        <f t="shared" si="17"/>
        <v>2191295.5061543286</v>
      </c>
    </row>
    <row r="375" spans="2:8">
      <c r="B375" s="18">
        <f>356</f>
        <v>356</v>
      </c>
      <c r="C375" s="19">
        <f ca="1">EDATE(C14,356)</f>
        <v>56570</v>
      </c>
      <c r="D375" s="20">
        <f>F10</f>
        <v>-1910.1162171782241</v>
      </c>
      <c r="E375" s="20">
        <f t="shared" si="15"/>
        <v>-12008.341076006775</v>
      </c>
      <c r="F375" s="20">
        <f>H375*C11/C13</f>
        <v>10098.224858828551</v>
      </c>
      <c r="G375" s="21">
        <f t="shared" si="16"/>
        <v>2215257.4011840541</v>
      </c>
      <c r="H375">
        <f t="shared" si="17"/>
        <v>2203249.0601080474</v>
      </c>
    </row>
    <row r="376" spans="2:8">
      <c r="B376" s="18">
        <f>357</f>
        <v>357</v>
      </c>
      <c r="C376" s="19">
        <f ca="1">EDATE(C14,357)</f>
        <v>56600</v>
      </c>
      <c r="D376" s="20">
        <f>F10</f>
        <v>-1910.1162171782241</v>
      </c>
      <c r="E376" s="20">
        <f t="shared" si="15"/>
        <v>-12063.379305938472</v>
      </c>
      <c r="F376" s="20">
        <f>H376*C11/C13</f>
        <v>10153.263088760248</v>
      </c>
      <c r="G376" s="21">
        <f t="shared" si="16"/>
        <v>2227320.7804899924</v>
      </c>
      <c r="H376">
        <f t="shared" si="17"/>
        <v>2215257.4011840541</v>
      </c>
    </row>
    <row r="377" spans="2:8">
      <c r="B377" s="18">
        <f>358</f>
        <v>358</v>
      </c>
      <c r="C377" s="19">
        <f ca="1">EDATE(C14,358)</f>
        <v>56631</v>
      </c>
      <c r="D377" s="20">
        <f>F10</f>
        <v>-1910.1162171782241</v>
      </c>
      <c r="E377" s="20">
        <f t="shared" si="15"/>
        <v>-12118.669794424022</v>
      </c>
      <c r="F377" s="20">
        <f>H377*C11/C13</f>
        <v>10208.553577245799</v>
      </c>
      <c r="G377" s="21">
        <f t="shared" si="16"/>
        <v>2239439.4502844163</v>
      </c>
      <c r="H377">
        <f t="shared" si="17"/>
        <v>2227320.7804899924</v>
      </c>
    </row>
    <row r="378" spans="2:8">
      <c r="B378" s="18">
        <f>359</f>
        <v>359</v>
      </c>
      <c r="C378" s="19">
        <f ca="1">EDATE(C14,359)</f>
        <v>56662</v>
      </c>
      <c r="D378" s="20">
        <f>F10</f>
        <v>-1910.1162171782241</v>
      </c>
      <c r="E378" s="20">
        <f t="shared" si="15"/>
        <v>-12174.213697648465</v>
      </c>
      <c r="F378" s="20">
        <f>H378*C11/C13</f>
        <v>10264.097480470242</v>
      </c>
      <c r="G378" s="21">
        <f t="shared" si="16"/>
        <v>2251613.6639820649</v>
      </c>
      <c r="H378">
        <f t="shared" si="17"/>
        <v>2239439.4502844163</v>
      </c>
    </row>
    <row r="379" spans="2:8">
      <c r="B379" s="18">
        <f>360</f>
        <v>360</v>
      </c>
      <c r="C379" s="19">
        <f ca="1">EDATE(C14,360)</f>
        <v>56690</v>
      </c>
      <c r="D379" s="20">
        <f>F10</f>
        <v>-1910.1162171782241</v>
      </c>
      <c r="E379" s="20">
        <f t="shared" si="15"/>
        <v>-12230.012177096021</v>
      </c>
      <c r="F379" s="20">
        <f>H379*C11/C13</f>
        <v>10319.895959917798</v>
      </c>
      <c r="G379" s="21">
        <f t="shared" si="16"/>
        <v>2263843.6761591611</v>
      </c>
      <c r="H379">
        <f t="shared" si="17"/>
        <v>2251613.6639820649</v>
      </c>
    </row>
    <row r="380" spans="2:8">
      <c r="B380" s="18">
        <f>361</f>
        <v>361</v>
      </c>
      <c r="C380" s="19">
        <f ca="1">EDATE(C14,361)</f>
        <v>56721</v>
      </c>
      <c r="D380" s="20">
        <f>F10</f>
        <v>-1910.1162171782241</v>
      </c>
      <c r="E380" s="20">
        <f t="shared" si="15"/>
        <v>-12286.06639957438</v>
      </c>
      <c r="F380" s="20">
        <f>H380*C11/C13</f>
        <v>10375.950182396156</v>
      </c>
      <c r="G380" s="21">
        <f t="shared" si="16"/>
        <v>2276129.7425587354</v>
      </c>
      <c r="H380">
        <f t="shared" si="17"/>
        <v>2263843.6761591611</v>
      </c>
    </row>
    <row r="386" spans="2:2" ht="19">
      <c r="B386" s="4" t="s">
        <v>114</v>
      </c>
    </row>
    <row r="401" spans="2:2">
      <c r="B401" s="9" t="s">
        <v>115</v>
      </c>
    </row>
  </sheetData>
  <pageMargins left="0.75" right="0.75" top="1" bottom="1" header="0.5" footer="0.5"/>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31"/>
  <sheetViews>
    <sheetView topLeftCell="A9" workbookViewId="0">
      <selection activeCell="C22" sqref="C22"/>
    </sheetView>
  </sheetViews>
  <sheetFormatPr baseColWidth="10" defaultColWidth="8.83203125" defaultRowHeight="15"/>
  <cols>
    <col min="2" max="2" width="30" customWidth="1"/>
    <col min="3" max="3" width="20" customWidth="1"/>
    <col min="4" max="4" width="25" customWidth="1"/>
    <col min="5" max="5" width="22.33203125" bestFit="1" customWidth="1"/>
    <col min="6" max="9" width="15" customWidth="1"/>
  </cols>
  <sheetData>
    <row r="2" spans="2:9" ht="21">
      <c r="B2" s="7" t="s">
        <v>116</v>
      </c>
    </row>
    <row r="3" spans="2:9" ht="16">
      <c r="B3" s="8" t="s">
        <v>13</v>
      </c>
    </row>
    <row r="5" spans="2:9" ht="16">
      <c r="B5" s="6" t="s">
        <v>95</v>
      </c>
    </row>
    <row r="6" spans="2:9" ht="128">
      <c r="B6" s="5" t="s">
        <v>117</v>
      </c>
    </row>
    <row r="8" spans="2:9" ht="19">
      <c r="B8" s="4" t="s">
        <v>118</v>
      </c>
      <c r="E8" s="4" t="s">
        <v>119</v>
      </c>
    </row>
    <row r="9" spans="2:9" ht="80">
      <c r="E9" s="5" t="s">
        <v>120</v>
      </c>
    </row>
    <row r="10" spans="2:9">
      <c r="B10" t="s">
        <v>121</v>
      </c>
      <c r="C10" s="35">
        <v>20000</v>
      </c>
    </row>
    <row r="11" spans="2:9" ht="17">
      <c r="B11" t="s">
        <v>122</v>
      </c>
      <c r="C11" s="35">
        <v>15000</v>
      </c>
      <c r="D11" s="9" t="s">
        <v>123</v>
      </c>
      <c r="E11" s="10" t="s">
        <v>124</v>
      </c>
      <c r="F11" s="10" t="s">
        <v>125</v>
      </c>
      <c r="G11" s="10" t="s">
        <v>126</v>
      </c>
      <c r="H11" s="10" t="s">
        <v>127</v>
      </c>
      <c r="I11" s="10" t="s">
        <v>128</v>
      </c>
    </row>
    <row r="12" spans="2:9">
      <c r="B12" t="s">
        <v>129</v>
      </c>
      <c r="C12" s="35">
        <v>1000</v>
      </c>
      <c r="E12" s="13" t="s">
        <v>130</v>
      </c>
      <c r="F12" s="22">
        <f>C10</f>
        <v>20000</v>
      </c>
      <c r="G12" s="22">
        <f>C10*1.1</f>
        <v>22000</v>
      </c>
      <c r="H12" s="22">
        <f>C10</f>
        <v>20000</v>
      </c>
      <c r="I12" s="22">
        <f>C10</f>
        <v>20000</v>
      </c>
    </row>
    <row r="13" spans="2:9">
      <c r="B13" t="s">
        <v>131</v>
      </c>
      <c r="C13" s="27">
        <v>6.5000000000000002E-2</v>
      </c>
      <c r="E13" s="13" t="s">
        <v>132</v>
      </c>
      <c r="F13" s="22">
        <f>C11</f>
        <v>15000</v>
      </c>
      <c r="G13" s="22">
        <f>C11</f>
        <v>15000</v>
      </c>
      <c r="H13" s="22">
        <f>C11*0.9</f>
        <v>13500</v>
      </c>
      <c r="I13" s="22">
        <f>C11</f>
        <v>15000</v>
      </c>
    </row>
    <row r="14" spans="2:9">
      <c r="B14" t="s">
        <v>133</v>
      </c>
      <c r="C14" s="14">
        <v>7</v>
      </c>
      <c r="E14" s="13" t="s">
        <v>134</v>
      </c>
      <c r="F14" s="22">
        <f>F12-F13</f>
        <v>5000</v>
      </c>
      <c r="G14" s="22">
        <f>G12-G13</f>
        <v>7000</v>
      </c>
      <c r="H14" s="22">
        <f>H12-H13</f>
        <v>6500</v>
      </c>
      <c r="I14" s="22">
        <f>I12-I13</f>
        <v>5000</v>
      </c>
    </row>
    <row r="15" spans="2:9">
      <c r="B15" t="s">
        <v>135</v>
      </c>
      <c r="C15" s="14">
        <v>1.25</v>
      </c>
      <c r="D15" s="9" t="s">
        <v>136</v>
      </c>
      <c r="E15" s="13" t="s">
        <v>137</v>
      </c>
      <c r="F15" s="22">
        <f>PV(C13/12,C14*12,-(F14/C15-C12),0,0)</f>
        <v>202027.8685787759</v>
      </c>
      <c r="G15" s="22">
        <f>PV(C13/12,C14*12,-(G14/C15-C12),0,0)</f>
        <v>309776.06515412306</v>
      </c>
      <c r="H15" s="22">
        <f>PV(C13/12,C14*12,-(H14/C15-C12),0,0)</f>
        <v>282839.01601028623</v>
      </c>
      <c r="I15" s="22">
        <f>PV(C13/12,(C14+3)*12,-(I14/C15-C12),0,0)</f>
        <v>264205.49915977527</v>
      </c>
    </row>
    <row r="17" spans="2:3" ht="19">
      <c r="B17" s="4" t="s">
        <v>138</v>
      </c>
    </row>
    <row r="19" spans="2:3">
      <c r="B19" t="s">
        <v>139</v>
      </c>
      <c r="C19" s="34">
        <f>C10-C11</f>
        <v>5000</v>
      </c>
    </row>
    <row r="20" spans="2:3">
      <c r="B20" t="s">
        <v>140</v>
      </c>
      <c r="C20" s="34">
        <f>C19/C15</f>
        <v>4000</v>
      </c>
    </row>
    <row r="21" spans="2:3">
      <c r="B21" t="s">
        <v>141</v>
      </c>
      <c r="C21" s="34">
        <f>C20-C12</f>
        <v>3000</v>
      </c>
    </row>
    <row r="22" spans="2:3">
      <c r="B22" t="s">
        <v>137</v>
      </c>
      <c r="C22" s="34">
        <f>PV(C13/12,C14*12,-C21,0,0)</f>
        <v>202027.8685787759</v>
      </c>
    </row>
    <row r="24" spans="2:3" ht="19">
      <c r="B24" s="4" t="s">
        <v>142</v>
      </c>
    </row>
    <row r="26" spans="2:3" ht="64">
      <c r="B26" s="13" t="s">
        <v>60</v>
      </c>
      <c r="C26" s="5" t="s">
        <v>143</v>
      </c>
    </row>
    <row r="27" spans="2:3" ht="64">
      <c r="B27" s="13" t="s">
        <v>144</v>
      </c>
      <c r="C27" s="5" t="s">
        <v>145</v>
      </c>
    </row>
    <row r="28" spans="2:3" ht="64">
      <c r="B28" s="13" t="s">
        <v>146</v>
      </c>
      <c r="C28" s="5" t="s">
        <v>147</v>
      </c>
    </row>
    <row r="29" spans="2:3" ht="64">
      <c r="B29" s="13" t="s">
        <v>148</v>
      </c>
      <c r="C29" s="5" t="s">
        <v>149</v>
      </c>
    </row>
    <row r="31" spans="2:3">
      <c r="B31" s="9" t="s">
        <v>150</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72"/>
  <sheetViews>
    <sheetView workbookViewId="0"/>
  </sheetViews>
  <sheetFormatPr baseColWidth="10" defaultColWidth="8.83203125" defaultRowHeight="15"/>
  <cols>
    <col min="1" max="1" width="5" customWidth="1"/>
    <col min="2" max="2" width="25" customWidth="1"/>
    <col min="3" max="6" width="15" customWidth="1"/>
  </cols>
  <sheetData>
    <row r="2" spans="2:6" ht="21">
      <c r="B2" s="7" t="s">
        <v>151</v>
      </c>
    </row>
    <row r="3" spans="2:6" ht="16">
      <c r="B3" s="8" t="s">
        <v>152</v>
      </c>
    </row>
    <row r="5" spans="2:6" ht="16">
      <c r="B5" s="6" t="s">
        <v>95</v>
      </c>
    </row>
    <row r="6" spans="2:6" ht="144">
      <c r="B6" s="5" t="s">
        <v>153</v>
      </c>
    </row>
    <row r="8" spans="2:6" ht="19">
      <c r="B8" s="4" t="s">
        <v>154</v>
      </c>
    </row>
    <row r="9" spans="2:6">
      <c r="B9" t="s">
        <v>155</v>
      </c>
      <c r="C9" s="14"/>
    </row>
    <row r="10" spans="2:6">
      <c r="B10" t="s">
        <v>156</v>
      </c>
      <c r="C10" s="14" t="s">
        <v>157</v>
      </c>
    </row>
    <row r="11" spans="2:6">
      <c r="B11" t="s">
        <v>158</v>
      </c>
      <c r="C11" s="14"/>
    </row>
    <row r="12" spans="2:6">
      <c r="B12" t="s">
        <v>159</v>
      </c>
      <c r="C12" s="14"/>
    </row>
    <row r="13" spans="2:6" ht="19">
      <c r="B13" s="4" t="s">
        <v>160</v>
      </c>
    </row>
    <row r="14" spans="2:6" ht="34">
      <c r="B14" s="10" t="s">
        <v>161</v>
      </c>
      <c r="C14" s="10" t="s">
        <v>162</v>
      </c>
      <c r="D14" s="10" t="s">
        <v>163</v>
      </c>
      <c r="E14" s="10" t="s">
        <v>164</v>
      </c>
      <c r="F14" s="10" t="s">
        <v>165</v>
      </c>
    </row>
    <row r="15" spans="2:6">
      <c r="B15" t="s">
        <v>166</v>
      </c>
      <c r="C15" s="14"/>
      <c r="D15" s="14"/>
      <c r="E15" s="23">
        <f t="shared" ref="E15:E23" si="0">D15-C15</f>
        <v>0</v>
      </c>
      <c r="F15" s="24">
        <f t="shared" ref="F15:F22" si="1">IF(D15=0,0,D15/D24)</f>
        <v>0</v>
      </c>
    </row>
    <row r="16" spans="2:6">
      <c r="B16" t="s">
        <v>167</v>
      </c>
      <c r="C16" s="14"/>
      <c r="D16" s="14"/>
      <c r="E16" s="23">
        <f t="shared" si="0"/>
        <v>0</v>
      </c>
      <c r="F16" s="24">
        <f t="shared" si="1"/>
        <v>0</v>
      </c>
    </row>
    <row r="17" spans="2:6">
      <c r="B17" t="s">
        <v>168</v>
      </c>
      <c r="C17" s="14"/>
      <c r="D17" s="14"/>
      <c r="E17" s="23">
        <f t="shared" si="0"/>
        <v>0</v>
      </c>
      <c r="F17" s="24">
        <f t="shared" si="1"/>
        <v>0</v>
      </c>
    </row>
    <row r="18" spans="2:6">
      <c r="B18" t="s">
        <v>169</v>
      </c>
      <c r="C18" s="14"/>
      <c r="D18" s="14"/>
      <c r="E18" s="23">
        <f t="shared" si="0"/>
        <v>0</v>
      </c>
      <c r="F18" s="24">
        <f t="shared" si="1"/>
        <v>0</v>
      </c>
    </row>
    <row r="19" spans="2:6">
      <c r="B19" t="s">
        <v>170</v>
      </c>
      <c r="C19" s="14"/>
      <c r="D19" s="14"/>
      <c r="E19" s="23">
        <f t="shared" si="0"/>
        <v>0</v>
      </c>
      <c r="F19" s="24">
        <f t="shared" si="1"/>
        <v>0</v>
      </c>
    </row>
    <row r="20" spans="2:6">
      <c r="B20" t="s">
        <v>171</v>
      </c>
      <c r="C20" s="14"/>
      <c r="D20" s="14"/>
      <c r="E20" s="23">
        <f t="shared" si="0"/>
        <v>0</v>
      </c>
      <c r="F20" s="24">
        <f t="shared" si="1"/>
        <v>0</v>
      </c>
    </row>
    <row r="21" spans="2:6">
      <c r="B21" t="s">
        <v>172</v>
      </c>
      <c r="C21" s="14"/>
      <c r="D21" s="14"/>
      <c r="E21" s="23">
        <f t="shared" si="0"/>
        <v>0</v>
      </c>
      <c r="F21" s="24">
        <f t="shared" si="1"/>
        <v>0</v>
      </c>
    </row>
    <row r="22" spans="2:6">
      <c r="B22" t="s">
        <v>173</v>
      </c>
      <c r="C22" s="14"/>
      <c r="D22" s="14"/>
      <c r="E22" s="23">
        <f t="shared" si="0"/>
        <v>0</v>
      </c>
      <c r="F22" s="24">
        <f t="shared" si="1"/>
        <v>0</v>
      </c>
    </row>
    <row r="23" spans="2:6">
      <c r="B23" s="13" t="s">
        <v>174</v>
      </c>
      <c r="C23" s="23">
        <f>SUM(C15:C22)</f>
        <v>0</v>
      </c>
      <c r="D23" s="23">
        <f>SUM(D15:D22)</f>
        <v>0</v>
      </c>
      <c r="E23" s="23">
        <f t="shared" si="0"/>
        <v>0</v>
      </c>
      <c r="F23" s="23" t="s">
        <v>175</v>
      </c>
    </row>
    <row r="25" spans="2:6" ht="19">
      <c r="B25" s="4" t="s">
        <v>176</v>
      </c>
    </row>
    <row r="26" spans="2:6" ht="34">
      <c r="B26" s="10" t="s">
        <v>161</v>
      </c>
      <c r="C26" s="10" t="s">
        <v>162</v>
      </c>
      <c r="D26" s="10" t="s">
        <v>163</v>
      </c>
      <c r="E26" s="10" t="s">
        <v>164</v>
      </c>
      <c r="F26" s="10" t="s">
        <v>177</v>
      </c>
    </row>
    <row r="27" spans="2:6">
      <c r="B27" t="s">
        <v>178</v>
      </c>
      <c r="C27" s="14"/>
      <c r="D27" s="14"/>
      <c r="E27" s="23">
        <f t="shared" ref="E27:E44" si="2">D27-C27</f>
        <v>0</v>
      </c>
      <c r="F27" s="24">
        <f t="shared" ref="F27:F43" si="3">IF(D27=0,0,D27/D45)</f>
        <v>0</v>
      </c>
    </row>
    <row r="28" spans="2:6">
      <c r="B28" t="s">
        <v>179</v>
      </c>
      <c r="C28" s="14"/>
      <c r="D28" s="14"/>
      <c r="E28" s="23">
        <f t="shared" si="2"/>
        <v>0</v>
      </c>
      <c r="F28" s="24">
        <f t="shared" si="3"/>
        <v>0</v>
      </c>
    </row>
    <row r="29" spans="2:6">
      <c r="B29" t="s">
        <v>180</v>
      </c>
      <c r="C29" s="14"/>
      <c r="D29" s="14"/>
      <c r="E29" s="23">
        <f t="shared" si="2"/>
        <v>0</v>
      </c>
      <c r="F29" s="24">
        <f t="shared" si="3"/>
        <v>0</v>
      </c>
    </row>
    <row r="30" spans="2:6">
      <c r="B30" t="s">
        <v>181</v>
      </c>
      <c r="C30" s="14"/>
      <c r="D30" s="14"/>
      <c r="E30" s="23">
        <f t="shared" si="2"/>
        <v>0</v>
      </c>
      <c r="F30" s="24">
        <f t="shared" si="3"/>
        <v>0</v>
      </c>
    </row>
    <row r="31" spans="2:6">
      <c r="B31" t="s">
        <v>182</v>
      </c>
      <c r="C31" s="14"/>
      <c r="D31" s="14"/>
      <c r="E31" s="23">
        <f t="shared" si="2"/>
        <v>0</v>
      </c>
      <c r="F31" s="24">
        <f t="shared" si="3"/>
        <v>0</v>
      </c>
    </row>
    <row r="32" spans="2:6">
      <c r="B32" t="s">
        <v>183</v>
      </c>
      <c r="C32" s="14"/>
      <c r="D32" s="14"/>
      <c r="E32" s="23">
        <f t="shared" si="2"/>
        <v>0</v>
      </c>
      <c r="F32" s="24">
        <f t="shared" si="3"/>
        <v>0</v>
      </c>
    </row>
    <row r="33" spans="2:6">
      <c r="B33" t="s">
        <v>184</v>
      </c>
      <c r="C33" s="14"/>
      <c r="D33" s="14"/>
      <c r="E33" s="23">
        <f t="shared" si="2"/>
        <v>0</v>
      </c>
      <c r="F33" s="24">
        <f t="shared" si="3"/>
        <v>0</v>
      </c>
    </row>
    <row r="34" spans="2:6">
      <c r="B34" t="s">
        <v>185</v>
      </c>
      <c r="C34" s="14"/>
      <c r="D34" s="14"/>
      <c r="E34" s="23">
        <f t="shared" si="2"/>
        <v>0</v>
      </c>
      <c r="F34" s="24">
        <f t="shared" si="3"/>
        <v>0</v>
      </c>
    </row>
    <row r="35" spans="2:6">
      <c r="B35" t="s">
        <v>186</v>
      </c>
      <c r="C35" s="14"/>
      <c r="D35" s="14"/>
      <c r="E35" s="23">
        <f t="shared" si="2"/>
        <v>0</v>
      </c>
      <c r="F35" s="24">
        <f t="shared" si="3"/>
        <v>0</v>
      </c>
    </row>
    <row r="36" spans="2:6">
      <c r="B36" t="s">
        <v>187</v>
      </c>
      <c r="C36" s="14"/>
      <c r="D36" s="14"/>
      <c r="E36" s="23">
        <f t="shared" si="2"/>
        <v>0</v>
      </c>
      <c r="F36" s="24">
        <f t="shared" si="3"/>
        <v>0</v>
      </c>
    </row>
    <row r="37" spans="2:6">
      <c r="B37" t="s">
        <v>188</v>
      </c>
      <c r="C37" s="14"/>
      <c r="D37" s="14"/>
      <c r="E37" s="23">
        <f t="shared" si="2"/>
        <v>0</v>
      </c>
      <c r="F37" s="24">
        <f t="shared" si="3"/>
        <v>0</v>
      </c>
    </row>
    <row r="38" spans="2:6">
      <c r="B38" t="s">
        <v>189</v>
      </c>
      <c r="C38" s="14"/>
      <c r="D38" s="14"/>
      <c r="E38" s="23">
        <f t="shared" si="2"/>
        <v>0</v>
      </c>
      <c r="F38" s="24">
        <f t="shared" si="3"/>
        <v>0</v>
      </c>
    </row>
    <row r="39" spans="2:6">
      <c r="B39" t="s">
        <v>190</v>
      </c>
      <c r="C39" s="14"/>
      <c r="D39" s="14"/>
      <c r="E39" s="23">
        <f t="shared" si="2"/>
        <v>0</v>
      </c>
      <c r="F39" s="24">
        <f t="shared" si="3"/>
        <v>0</v>
      </c>
    </row>
    <row r="40" spans="2:6">
      <c r="B40" t="s">
        <v>191</v>
      </c>
      <c r="C40" s="14"/>
      <c r="D40" s="14"/>
      <c r="E40" s="23">
        <f t="shared" si="2"/>
        <v>0</v>
      </c>
      <c r="F40" s="24">
        <f t="shared" si="3"/>
        <v>0</v>
      </c>
    </row>
    <row r="41" spans="2:6">
      <c r="B41" t="s">
        <v>192</v>
      </c>
      <c r="C41" s="14"/>
      <c r="D41" s="14"/>
      <c r="E41" s="23">
        <f t="shared" si="2"/>
        <v>0</v>
      </c>
      <c r="F41" s="24">
        <f t="shared" si="3"/>
        <v>0</v>
      </c>
    </row>
    <row r="42" spans="2:6">
      <c r="B42" t="s">
        <v>193</v>
      </c>
      <c r="C42" s="14"/>
      <c r="D42" s="14"/>
      <c r="E42" s="23">
        <f t="shared" si="2"/>
        <v>0</v>
      </c>
      <c r="F42" s="24">
        <f t="shared" si="3"/>
        <v>0</v>
      </c>
    </row>
    <row r="43" spans="2:6">
      <c r="B43" t="s">
        <v>194</v>
      </c>
      <c r="C43" s="14"/>
      <c r="D43" s="14"/>
      <c r="E43" s="23">
        <f t="shared" si="2"/>
        <v>0</v>
      </c>
      <c r="F43" s="24">
        <f t="shared" si="3"/>
        <v>0</v>
      </c>
    </row>
    <row r="44" spans="2:6">
      <c r="B44" s="13" t="s">
        <v>195</v>
      </c>
      <c r="C44" s="23">
        <f>SUM(C27:C43)</f>
        <v>0</v>
      </c>
      <c r="D44" s="23">
        <f>SUM(D27:D43)</f>
        <v>0</v>
      </c>
      <c r="E44" s="23">
        <f t="shared" si="2"/>
        <v>0</v>
      </c>
      <c r="F44" s="23" t="s">
        <v>175</v>
      </c>
    </row>
    <row r="46" spans="2:6" ht="19">
      <c r="B46" s="4" t="s">
        <v>196</v>
      </c>
    </row>
    <row r="47" spans="2:6" ht="17">
      <c r="B47" s="10" t="s">
        <v>161</v>
      </c>
      <c r="C47" s="10" t="s">
        <v>162</v>
      </c>
      <c r="D47" s="10" t="s">
        <v>163</v>
      </c>
      <c r="E47" s="10" t="s">
        <v>164</v>
      </c>
    </row>
    <row r="48" spans="2:6">
      <c r="B48" s="13" t="s">
        <v>197</v>
      </c>
      <c r="C48" s="23">
        <f>C23-C44</f>
        <v>0</v>
      </c>
      <c r="D48" s="23">
        <f>D23-D44</f>
        <v>0</v>
      </c>
      <c r="E48" s="23">
        <f>D48-C48</f>
        <v>0</v>
      </c>
    </row>
    <row r="52" spans="2:2" ht="19">
      <c r="B52" s="4" t="s">
        <v>198</v>
      </c>
    </row>
    <row r="67" spans="2:2" ht="19">
      <c r="B67" s="4" t="s">
        <v>199</v>
      </c>
    </row>
    <row r="68" spans="2:2">
      <c r="B68" t="s">
        <v>200</v>
      </c>
    </row>
    <row r="69" spans="2:2">
      <c r="B69" t="s">
        <v>201</v>
      </c>
    </row>
    <row r="70" spans="2:2">
      <c r="B70" t="s">
        <v>202</v>
      </c>
    </row>
    <row r="71" spans="2:2">
      <c r="B71" t="s">
        <v>203</v>
      </c>
    </row>
    <row r="72" spans="2:2">
      <c r="B72" t="s">
        <v>204</v>
      </c>
    </row>
  </sheetData>
  <conditionalFormatting sqref="C48">
    <cfRule type="cellIs" dxfId="26" priority="1" stopIfTrue="1" operator="lessThan">
      <formula>0</formula>
    </cfRule>
  </conditionalFormatting>
  <conditionalFormatting sqref="D48">
    <cfRule type="cellIs" dxfId="25" priority="2" stopIfTrue="1" operator="lessThan">
      <formula>0</formula>
    </cfRule>
  </conditionalFormatting>
  <conditionalFormatting sqref="E48">
    <cfRule type="cellIs" dxfId="24" priority="3" stopIfTrue="1" operator="lessThan">
      <formula>0</formula>
    </cfRule>
  </conditionalFormatting>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75"/>
  <sheetViews>
    <sheetView workbookViewId="0"/>
  </sheetViews>
  <sheetFormatPr baseColWidth="10" defaultColWidth="8.83203125" defaultRowHeight="15"/>
  <cols>
    <col min="1" max="1" width="5" customWidth="1"/>
    <col min="2" max="2" width="25" customWidth="1"/>
    <col min="3" max="14" width="12" customWidth="1"/>
  </cols>
  <sheetData>
    <row r="2" spans="2:14" ht="21">
      <c r="B2" s="7" t="s">
        <v>205</v>
      </c>
    </row>
    <row r="3" spans="2:14" ht="16">
      <c r="B3" s="8" t="s">
        <v>206</v>
      </c>
    </row>
    <row r="5" spans="2:14" ht="16">
      <c r="B5" s="6" t="s">
        <v>95</v>
      </c>
    </row>
    <row r="6" spans="2:14" ht="176">
      <c r="B6" s="5" t="s">
        <v>207</v>
      </c>
    </row>
    <row r="8" spans="2:14" ht="19">
      <c r="B8" s="4" t="s">
        <v>208</v>
      </c>
    </row>
    <row r="9" spans="2:14" ht="240">
      <c r="B9" s="5" t="s">
        <v>209</v>
      </c>
    </row>
    <row r="12" spans="2:14">
      <c r="B12" s="13" t="s">
        <v>210</v>
      </c>
      <c r="C12" s="14">
        <v>10000</v>
      </c>
    </row>
    <row r="14" spans="2:14" ht="17">
      <c r="B14" s="10" t="s">
        <v>161</v>
      </c>
      <c r="C14" s="10" t="s">
        <v>211</v>
      </c>
      <c r="D14" s="10" t="s">
        <v>212</v>
      </c>
      <c r="E14" s="10" t="s">
        <v>213</v>
      </c>
      <c r="F14" s="10" t="s">
        <v>214</v>
      </c>
      <c r="G14" s="10" t="s">
        <v>215</v>
      </c>
      <c r="H14" s="10" t="s">
        <v>216</v>
      </c>
      <c r="I14" s="10" t="s">
        <v>217</v>
      </c>
      <c r="J14" s="10" t="s">
        <v>218</v>
      </c>
      <c r="K14" s="10" t="s">
        <v>219</v>
      </c>
      <c r="L14" s="10" t="s">
        <v>220</v>
      </c>
      <c r="M14" s="10" t="s">
        <v>221</v>
      </c>
      <c r="N14" s="10" t="s">
        <v>222</v>
      </c>
    </row>
    <row r="15" spans="2:14" ht="16">
      <c r="B15" s="6" t="s">
        <v>223</v>
      </c>
    </row>
    <row r="16" spans="2:14">
      <c r="B16" t="s">
        <v>224</v>
      </c>
      <c r="C16" s="25"/>
      <c r="D16" s="25"/>
      <c r="E16" s="25"/>
      <c r="F16" s="25"/>
      <c r="G16" s="25"/>
      <c r="H16" s="25"/>
      <c r="I16" s="25"/>
      <c r="J16" s="25"/>
      <c r="K16" s="25"/>
      <c r="L16" s="25"/>
      <c r="M16" s="25"/>
      <c r="N16" s="25"/>
    </row>
    <row r="17" spans="2:14">
      <c r="B17" t="s">
        <v>225</v>
      </c>
      <c r="C17" s="25"/>
      <c r="D17" s="25"/>
      <c r="E17" s="25"/>
      <c r="F17" s="25"/>
      <c r="G17" s="25"/>
      <c r="H17" s="25"/>
      <c r="I17" s="25"/>
      <c r="J17" s="25"/>
      <c r="K17" s="25"/>
      <c r="L17" s="25"/>
      <c r="M17" s="25"/>
      <c r="N17" s="25"/>
    </row>
    <row r="18" spans="2:14">
      <c r="B18" t="s">
        <v>226</v>
      </c>
      <c r="C18" s="25"/>
      <c r="D18" s="25"/>
      <c r="E18" s="25"/>
      <c r="F18" s="25"/>
      <c r="G18" s="25"/>
      <c r="H18" s="25"/>
      <c r="I18" s="25"/>
      <c r="J18" s="25"/>
      <c r="K18" s="25"/>
      <c r="L18" s="25"/>
      <c r="M18" s="25"/>
      <c r="N18" s="25"/>
    </row>
    <row r="19" spans="2:14">
      <c r="B19" t="s">
        <v>227</v>
      </c>
      <c r="C19" s="25"/>
      <c r="D19" s="25"/>
      <c r="E19" s="25"/>
      <c r="F19" s="25"/>
      <c r="G19" s="25"/>
      <c r="H19" s="25"/>
      <c r="I19" s="25"/>
      <c r="J19" s="25"/>
      <c r="K19" s="25"/>
      <c r="L19" s="25"/>
      <c r="M19" s="25"/>
      <c r="N19" s="25"/>
    </row>
    <row r="20" spans="2:14">
      <c r="B20" t="s">
        <v>228</v>
      </c>
      <c r="C20" s="25"/>
      <c r="D20" s="25"/>
      <c r="E20" s="25"/>
      <c r="F20" s="25"/>
      <c r="G20" s="25"/>
      <c r="H20" s="25"/>
      <c r="I20" s="25"/>
      <c r="J20" s="25"/>
      <c r="K20" s="25"/>
      <c r="L20" s="25"/>
      <c r="M20" s="25"/>
      <c r="N20" s="25"/>
    </row>
    <row r="21" spans="2:14">
      <c r="B21" t="s">
        <v>229</v>
      </c>
      <c r="C21" s="25"/>
      <c r="D21" s="25"/>
      <c r="E21" s="25"/>
      <c r="F21" s="25"/>
      <c r="G21" s="25"/>
      <c r="H21" s="25"/>
      <c r="I21" s="25"/>
      <c r="J21" s="25"/>
      <c r="K21" s="25"/>
      <c r="L21" s="25"/>
      <c r="M21" s="25"/>
      <c r="N21" s="25"/>
    </row>
    <row r="22" spans="2:14">
      <c r="B22" t="s">
        <v>230</v>
      </c>
      <c r="C22" s="25"/>
      <c r="D22" s="25"/>
      <c r="E22" s="25"/>
      <c r="F22" s="25"/>
      <c r="G22" s="25"/>
      <c r="H22" s="25"/>
      <c r="I22" s="25"/>
      <c r="J22" s="25"/>
      <c r="K22" s="25"/>
      <c r="L22" s="25"/>
      <c r="M22" s="25"/>
      <c r="N22" s="25"/>
    </row>
    <row r="23" spans="2:14">
      <c r="B23" t="s">
        <v>173</v>
      </c>
      <c r="C23" s="25"/>
      <c r="D23" s="25"/>
      <c r="E23" s="25"/>
      <c r="F23" s="25"/>
      <c r="G23" s="25"/>
      <c r="H23" s="25"/>
      <c r="I23" s="25"/>
      <c r="J23" s="25"/>
      <c r="K23" s="25"/>
      <c r="L23" s="25"/>
      <c r="M23" s="25"/>
      <c r="N23" s="25"/>
    </row>
    <row r="24" spans="2:14">
      <c r="B24" s="13" t="s">
        <v>231</v>
      </c>
      <c r="C24" s="15">
        <f t="shared" ref="C24:N24" si="0">SUM(C16:C23)</f>
        <v>0</v>
      </c>
      <c r="D24" s="15">
        <f t="shared" si="0"/>
        <v>0</v>
      </c>
      <c r="E24" s="15">
        <f t="shared" si="0"/>
        <v>0</v>
      </c>
      <c r="F24" s="15">
        <f t="shared" si="0"/>
        <v>0</v>
      </c>
      <c r="G24" s="15">
        <f t="shared" si="0"/>
        <v>0</v>
      </c>
      <c r="H24" s="15">
        <f t="shared" si="0"/>
        <v>0</v>
      </c>
      <c r="I24" s="15">
        <f t="shared" si="0"/>
        <v>0</v>
      </c>
      <c r="J24" s="15">
        <f t="shared" si="0"/>
        <v>0</v>
      </c>
      <c r="K24" s="15">
        <f t="shared" si="0"/>
        <v>0</v>
      </c>
      <c r="L24" s="15">
        <f t="shared" si="0"/>
        <v>0</v>
      </c>
      <c r="M24" s="15">
        <f t="shared" si="0"/>
        <v>0</v>
      </c>
      <c r="N24" s="15">
        <f t="shared" si="0"/>
        <v>0</v>
      </c>
    </row>
    <row r="26" spans="2:14" ht="16">
      <c r="B26" s="6" t="s">
        <v>232</v>
      </c>
    </row>
    <row r="27" spans="2:14">
      <c r="B27" t="s">
        <v>233</v>
      </c>
      <c r="C27" s="25"/>
      <c r="D27" s="25"/>
      <c r="E27" s="25"/>
      <c r="F27" s="25"/>
      <c r="G27" s="25"/>
      <c r="H27" s="25"/>
      <c r="I27" s="25"/>
      <c r="J27" s="25"/>
      <c r="K27" s="25"/>
      <c r="L27" s="25"/>
      <c r="M27" s="25"/>
      <c r="N27" s="25"/>
    </row>
    <row r="28" spans="2:14">
      <c r="B28" t="s">
        <v>181</v>
      </c>
      <c r="C28" s="25"/>
      <c r="D28" s="25"/>
      <c r="E28" s="25"/>
      <c r="F28" s="25"/>
      <c r="G28" s="25"/>
      <c r="H28" s="25"/>
      <c r="I28" s="25"/>
      <c r="J28" s="25"/>
      <c r="K28" s="25"/>
      <c r="L28" s="25"/>
      <c r="M28" s="25"/>
      <c r="N28" s="25"/>
    </row>
    <row r="29" spans="2:14">
      <c r="B29" t="s">
        <v>178</v>
      </c>
      <c r="C29" s="25"/>
      <c r="D29" s="25"/>
      <c r="E29" s="25"/>
      <c r="F29" s="25"/>
      <c r="G29" s="25"/>
      <c r="H29" s="25"/>
      <c r="I29" s="25"/>
      <c r="J29" s="25"/>
      <c r="K29" s="25"/>
      <c r="L29" s="25"/>
      <c r="M29" s="25"/>
      <c r="N29" s="25"/>
    </row>
    <row r="30" spans="2:14">
      <c r="B30" t="s">
        <v>179</v>
      </c>
      <c r="C30" s="25"/>
      <c r="D30" s="25"/>
      <c r="E30" s="25"/>
      <c r="F30" s="25"/>
      <c r="G30" s="25"/>
      <c r="H30" s="25"/>
      <c r="I30" s="25"/>
      <c r="J30" s="25"/>
      <c r="K30" s="25"/>
      <c r="L30" s="25"/>
      <c r="M30" s="25"/>
      <c r="N30" s="25"/>
    </row>
    <row r="31" spans="2:14">
      <c r="B31" t="s">
        <v>191</v>
      </c>
      <c r="C31" s="25"/>
      <c r="D31" s="25"/>
      <c r="E31" s="25"/>
      <c r="F31" s="25"/>
      <c r="G31" s="25"/>
      <c r="H31" s="25"/>
      <c r="I31" s="25"/>
      <c r="J31" s="25"/>
      <c r="K31" s="25"/>
      <c r="L31" s="25"/>
      <c r="M31" s="25"/>
      <c r="N31" s="25"/>
    </row>
    <row r="32" spans="2:14">
      <c r="B32" t="s">
        <v>234</v>
      </c>
      <c r="C32" s="25"/>
      <c r="D32" s="25"/>
      <c r="E32" s="25"/>
      <c r="F32" s="25"/>
      <c r="G32" s="25"/>
      <c r="H32" s="25"/>
      <c r="I32" s="25"/>
      <c r="J32" s="25"/>
      <c r="K32" s="25"/>
      <c r="L32" s="25"/>
      <c r="M32" s="25"/>
      <c r="N32" s="25"/>
    </row>
    <row r="33" spans="2:14">
      <c r="B33" t="s">
        <v>180</v>
      </c>
      <c r="C33" s="25"/>
      <c r="D33" s="25"/>
      <c r="E33" s="25"/>
      <c r="F33" s="25"/>
      <c r="G33" s="25"/>
      <c r="H33" s="25"/>
      <c r="I33" s="25"/>
      <c r="J33" s="25"/>
      <c r="K33" s="25"/>
      <c r="L33" s="25"/>
      <c r="M33" s="25"/>
      <c r="N33" s="25"/>
    </row>
    <row r="34" spans="2:14">
      <c r="B34" t="s">
        <v>182</v>
      </c>
      <c r="C34" s="25"/>
      <c r="D34" s="25"/>
      <c r="E34" s="25"/>
      <c r="F34" s="25"/>
      <c r="G34" s="25"/>
      <c r="H34" s="25"/>
      <c r="I34" s="25"/>
      <c r="J34" s="25"/>
      <c r="K34" s="25"/>
      <c r="L34" s="25"/>
      <c r="M34" s="25"/>
      <c r="N34" s="25"/>
    </row>
    <row r="35" spans="2:14">
      <c r="B35" t="s">
        <v>184</v>
      </c>
      <c r="C35" s="25"/>
      <c r="D35" s="25"/>
      <c r="E35" s="25"/>
      <c r="F35" s="25"/>
      <c r="G35" s="25"/>
      <c r="H35" s="25"/>
      <c r="I35" s="25"/>
      <c r="J35" s="25"/>
      <c r="K35" s="25"/>
      <c r="L35" s="25"/>
      <c r="M35" s="25"/>
      <c r="N35" s="25"/>
    </row>
    <row r="36" spans="2:14">
      <c r="B36" t="s">
        <v>235</v>
      </c>
      <c r="C36" s="25"/>
      <c r="D36" s="25"/>
      <c r="E36" s="25"/>
      <c r="F36" s="25"/>
      <c r="G36" s="25"/>
      <c r="H36" s="25"/>
      <c r="I36" s="25"/>
      <c r="J36" s="25"/>
      <c r="K36" s="25"/>
      <c r="L36" s="25"/>
      <c r="M36" s="25"/>
      <c r="N36" s="25"/>
    </row>
    <row r="37" spans="2:14">
      <c r="B37" t="s">
        <v>236</v>
      </c>
      <c r="C37" s="25"/>
      <c r="D37" s="25"/>
      <c r="E37" s="25"/>
      <c r="F37" s="25"/>
      <c r="G37" s="25"/>
      <c r="H37" s="25"/>
      <c r="I37" s="25"/>
      <c r="J37" s="25"/>
      <c r="K37" s="25"/>
      <c r="L37" s="25"/>
      <c r="M37" s="25"/>
      <c r="N37" s="25"/>
    </row>
    <row r="38" spans="2:14">
      <c r="B38" t="s">
        <v>237</v>
      </c>
      <c r="C38" s="25"/>
      <c r="D38" s="25"/>
      <c r="E38" s="25"/>
      <c r="F38" s="25"/>
      <c r="G38" s="25"/>
      <c r="H38" s="25"/>
      <c r="I38" s="25"/>
      <c r="J38" s="25"/>
      <c r="K38" s="25"/>
      <c r="L38" s="25"/>
      <c r="M38" s="25"/>
      <c r="N38" s="25"/>
    </row>
    <row r="39" spans="2:14">
      <c r="B39" t="s">
        <v>188</v>
      </c>
      <c r="C39" s="25"/>
      <c r="D39" s="25"/>
      <c r="E39" s="25"/>
      <c r="F39" s="25"/>
      <c r="G39" s="25"/>
      <c r="H39" s="25"/>
      <c r="I39" s="25"/>
      <c r="J39" s="25"/>
      <c r="K39" s="25"/>
      <c r="L39" s="25"/>
      <c r="M39" s="25"/>
      <c r="N39" s="25"/>
    </row>
    <row r="40" spans="2:14">
      <c r="B40" t="s">
        <v>238</v>
      </c>
      <c r="C40" s="25"/>
      <c r="D40" s="25"/>
      <c r="E40" s="25"/>
      <c r="F40" s="25"/>
      <c r="G40" s="25"/>
      <c r="H40" s="25"/>
      <c r="I40" s="25"/>
      <c r="J40" s="25"/>
      <c r="K40" s="25"/>
      <c r="L40" s="25"/>
      <c r="M40" s="25"/>
      <c r="N40" s="25"/>
    </row>
    <row r="41" spans="2:14">
      <c r="B41" t="s">
        <v>239</v>
      </c>
      <c r="C41" s="25"/>
      <c r="D41" s="25"/>
      <c r="E41" s="25"/>
      <c r="F41" s="25"/>
      <c r="G41" s="25"/>
      <c r="H41" s="25"/>
      <c r="I41" s="25"/>
      <c r="J41" s="25"/>
      <c r="K41" s="25"/>
      <c r="L41" s="25"/>
      <c r="M41" s="25"/>
      <c r="N41" s="25"/>
    </row>
    <row r="42" spans="2:14">
      <c r="B42" s="13" t="s">
        <v>240</v>
      </c>
      <c r="C42" s="15">
        <f t="shared" ref="C42:N42" si="1">SUM(C27:C41)</f>
        <v>0</v>
      </c>
      <c r="D42" s="15">
        <f t="shared" si="1"/>
        <v>0</v>
      </c>
      <c r="E42" s="15">
        <f t="shared" si="1"/>
        <v>0</v>
      </c>
      <c r="F42" s="15">
        <f t="shared" si="1"/>
        <v>0</v>
      </c>
      <c r="G42" s="15">
        <f t="shared" si="1"/>
        <v>0</v>
      </c>
      <c r="H42" s="15">
        <f t="shared" si="1"/>
        <v>0</v>
      </c>
      <c r="I42" s="15">
        <f t="shared" si="1"/>
        <v>0</v>
      </c>
      <c r="J42" s="15">
        <f t="shared" si="1"/>
        <v>0</v>
      </c>
      <c r="K42" s="15">
        <f t="shared" si="1"/>
        <v>0</v>
      </c>
      <c r="L42" s="15">
        <f t="shared" si="1"/>
        <v>0</v>
      </c>
      <c r="M42" s="15">
        <f t="shared" si="1"/>
        <v>0</v>
      </c>
      <c r="N42" s="15">
        <f t="shared" si="1"/>
        <v>0</v>
      </c>
    </row>
    <row r="44" spans="2:14" ht="16">
      <c r="B44" s="6" t="s">
        <v>241</v>
      </c>
    </row>
    <row r="45" spans="2:14">
      <c r="B45" s="13" t="s">
        <v>242</v>
      </c>
      <c r="C45" s="15">
        <f t="shared" ref="C45:N45" si="2">C24-C42</f>
        <v>0</v>
      </c>
      <c r="D45" s="15">
        <f t="shared" si="2"/>
        <v>0</v>
      </c>
      <c r="E45" s="15">
        <f t="shared" si="2"/>
        <v>0</v>
      </c>
      <c r="F45" s="15">
        <f t="shared" si="2"/>
        <v>0</v>
      </c>
      <c r="G45" s="15">
        <f t="shared" si="2"/>
        <v>0</v>
      </c>
      <c r="H45" s="15">
        <f t="shared" si="2"/>
        <v>0</v>
      </c>
      <c r="I45" s="15">
        <f t="shared" si="2"/>
        <v>0</v>
      </c>
      <c r="J45" s="15">
        <f t="shared" si="2"/>
        <v>0</v>
      </c>
      <c r="K45" s="15">
        <f t="shared" si="2"/>
        <v>0</v>
      </c>
      <c r="L45" s="15">
        <f t="shared" si="2"/>
        <v>0</v>
      </c>
      <c r="M45" s="15">
        <f t="shared" si="2"/>
        <v>0</v>
      </c>
      <c r="N45" s="15">
        <f t="shared" si="2"/>
        <v>0</v>
      </c>
    </row>
    <row r="47" spans="2:14" ht="16">
      <c r="B47" s="6" t="s">
        <v>243</v>
      </c>
    </row>
    <row r="48" spans="2:14">
      <c r="B48" s="13" t="s">
        <v>244</v>
      </c>
      <c r="C48" s="15">
        <f>$C$12+C45</f>
        <v>10000</v>
      </c>
      <c r="D48" s="15">
        <f t="shared" ref="D48:N48" si="3">C48+D45</f>
        <v>10000</v>
      </c>
      <c r="E48" s="15">
        <f t="shared" si="3"/>
        <v>10000</v>
      </c>
      <c r="F48" s="15">
        <f t="shared" si="3"/>
        <v>10000</v>
      </c>
      <c r="G48" s="15">
        <f t="shared" si="3"/>
        <v>10000</v>
      </c>
      <c r="H48" s="15">
        <f t="shared" si="3"/>
        <v>10000</v>
      </c>
      <c r="I48" s="15">
        <f t="shared" si="3"/>
        <v>10000</v>
      </c>
      <c r="J48" s="15">
        <f t="shared" si="3"/>
        <v>10000</v>
      </c>
      <c r="K48" s="15">
        <f t="shared" si="3"/>
        <v>10000</v>
      </c>
      <c r="L48" s="15">
        <f t="shared" si="3"/>
        <v>10000</v>
      </c>
      <c r="M48" s="15">
        <f t="shared" si="3"/>
        <v>10000</v>
      </c>
      <c r="N48" s="15">
        <f t="shared" si="3"/>
        <v>10000</v>
      </c>
    </row>
    <row r="51" spans="2:2" ht="19">
      <c r="B51" s="4" t="s">
        <v>245</v>
      </c>
    </row>
    <row r="66" spans="2:2" ht="19">
      <c r="B66" s="4" t="s">
        <v>246</v>
      </c>
    </row>
    <row r="67" spans="2:2">
      <c r="B67" t="s">
        <v>247</v>
      </c>
    </row>
    <row r="68" spans="2:2">
      <c r="B68" t="s">
        <v>248</v>
      </c>
    </row>
    <row r="69" spans="2:2">
      <c r="B69" t="s">
        <v>249</v>
      </c>
    </row>
    <row r="70" spans="2:2">
      <c r="B70" t="s">
        <v>250</v>
      </c>
    </row>
    <row r="71" spans="2:2">
      <c r="B71" t="s">
        <v>251</v>
      </c>
    </row>
    <row r="72" spans="2:2">
      <c r="B72" t="s">
        <v>252</v>
      </c>
    </row>
    <row r="74" spans="2:2" ht="16">
      <c r="B74" s="6" t="s">
        <v>253</v>
      </c>
    </row>
    <row r="75" spans="2:2" ht="304">
      <c r="B75" s="5" t="s">
        <v>254</v>
      </c>
    </row>
  </sheetData>
  <conditionalFormatting sqref="C45">
    <cfRule type="cellIs" dxfId="23" priority="1" stopIfTrue="1" operator="lessThan">
      <formula>0</formula>
    </cfRule>
  </conditionalFormatting>
  <conditionalFormatting sqref="D45">
    <cfRule type="cellIs" dxfId="22" priority="2" stopIfTrue="1" operator="lessThan">
      <formula>0</formula>
    </cfRule>
  </conditionalFormatting>
  <conditionalFormatting sqref="E45">
    <cfRule type="cellIs" dxfId="21" priority="3" stopIfTrue="1" operator="lessThan">
      <formula>0</formula>
    </cfRule>
  </conditionalFormatting>
  <conditionalFormatting sqref="F45">
    <cfRule type="cellIs" dxfId="20" priority="4" stopIfTrue="1" operator="lessThan">
      <formula>0</formula>
    </cfRule>
  </conditionalFormatting>
  <conditionalFormatting sqref="G45">
    <cfRule type="cellIs" dxfId="19" priority="5" stopIfTrue="1" operator="lessThan">
      <formula>0</formula>
    </cfRule>
  </conditionalFormatting>
  <conditionalFormatting sqref="H45">
    <cfRule type="cellIs" dxfId="18" priority="6" stopIfTrue="1" operator="lessThan">
      <formula>0</formula>
    </cfRule>
  </conditionalFormatting>
  <conditionalFormatting sqref="I45">
    <cfRule type="cellIs" dxfId="17" priority="7" stopIfTrue="1" operator="lessThan">
      <formula>0</formula>
    </cfRule>
  </conditionalFormatting>
  <conditionalFormatting sqref="J45">
    <cfRule type="cellIs" dxfId="16" priority="8" stopIfTrue="1" operator="lessThan">
      <formula>0</formula>
    </cfRule>
  </conditionalFormatting>
  <conditionalFormatting sqref="K45">
    <cfRule type="cellIs" dxfId="15" priority="9" stopIfTrue="1" operator="lessThan">
      <formula>0</formula>
    </cfRule>
  </conditionalFormatting>
  <conditionalFormatting sqref="L45">
    <cfRule type="cellIs" dxfId="14" priority="10" stopIfTrue="1" operator="lessThan">
      <formula>0</formula>
    </cfRule>
  </conditionalFormatting>
  <conditionalFormatting sqref="M45">
    <cfRule type="cellIs" dxfId="13" priority="11" stopIfTrue="1" operator="lessThan">
      <formula>0</formula>
    </cfRule>
  </conditionalFormatting>
  <conditionalFormatting sqref="N45">
    <cfRule type="cellIs" dxfId="12" priority="12" stopIfTrue="1" operator="lessThan">
      <formula>0</formula>
    </cfRule>
  </conditionalFormatting>
  <conditionalFormatting sqref="C48">
    <cfRule type="cellIs" dxfId="11" priority="13" stopIfTrue="1" operator="lessThan">
      <formula>0</formula>
    </cfRule>
  </conditionalFormatting>
  <conditionalFormatting sqref="D48">
    <cfRule type="cellIs" dxfId="10" priority="14" stopIfTrue="1" operator="lessThan">
      <formula>0</formula>
    </cfRule>
  </conditionalFormatting>
  <conditionalFormatting sqref="E48">
    <cfRule type="cellIs" dxfId="9" priority="15" stopIfTrue="1" operator="lessThan">
      <formula>0</formula>
    </cfRule>
  </conditionalFormatting>
  <conditionalFormatting sqref="F48">
    <cfRule type="cellIs" dxfId="8" priority="16" stopIfTrue="1" operator="lessThan">
      <formula>0</formula>
    </cfRule>
  </conditionalFormatting>
  <conditionalFormatting sqref="G48">
    <cfRule type="cellIs" dxfId="7" priority="17" stopIfTrue="1" operator="lessThan">
      <formula>0</formula>
    </cfRule>
  </conditionalFormatting>
  <conditionalFormatting sqref="H48">
    <cfRule type="cellIs" dxfId="6" priority="18" stopIfTrue="1" operator="lessThan">
      <formula>0</formula>
    </cfRule>
  </conditionalFormatting>
  <conditionalFormatting sqref="I48">
    <cfRule type="cellIs" dxfId="5" priority="19" stopIfTrue="1" operator="lessThan">
      <formula>0</formula>
    </cfRule>
  </conditionalFormatting>
  <conditionalFormatting sqref="J48">
    <cfRule type="cellIs" dxfId="4" priority="20" stopIfTrue="1" operator="lessThan">
      <formula>0</formula>
    </cfRule>
  </conditionalFormatting>
  <conditionalFormatting sqref="K48">
    <cfRule type="cellIs" dxfId="3" priority="21" stopIfTrue="1" operator="lessThan">
      <formula>0</formula>
    </cfRule>
  </conditionalFormatting>
  <conditionalFormatting sqref="L48">
    <cfRule type="cellIs" dxfId="2" priority="22" stopIfTrue="1" operator="lessThan">
      <formula>0</formula>
    </cfRule>
  </conditionalFormatting>
  <conditionalFormatting sqref="M48">
    <cfRule type="cellIs" dxfId="1" priority="23" stopIfTrue="1" operator="lessThan">
      <formula>0</formula>
    </cfRule>
  </conditionalFormatting>
  <conditionalFormatting sqref="N48">
    <cfRule type="cellIs" dxfId="0" priority="24" stopIfTrue="1" operator="lessThan">
      <formula>0</formula>
    </cfRule>
  </conditionalFormatting>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F85"/>
  <sheetViews>
    <sheetView workbookViewId="0"/>
  </sheetViews>
  <sheetFormatPr baseColWidth="10" defaultColWidth="8.83203125" defaultRowHeight="15"/>
  <cols>
    <col min="1" max="1" width="5" customWidth="1"/>
    <col min="2" max="2" width="30" customWidth="1"/>
    <col min="3" max="5" width="15" customWidth="1"/>
    <col min="6" max="6" width="20" customWidth="1"/>
  </cols>
  <sheetData>
    <row r="2" spans="2:6" ht="21">
      <c r="B2" s="7" t="s">
        <v>255</v>
      </c>
    </row>
    <row r="3" spans="2:6" ht="16">
      <c r="B3" s="8" t="s">
        <v>19</v>
      </c>
    </row>
    <row r="5" spans="2:6" ht="16">
      <c r="B5" s="6" t="s">
        <v>95</v>
      </c>
    </row>
    <row r="6" spans="2:6" ht="144">
      <c r="B6" s="5" t="s">
        <v>256</v>
      </c>
    </row>
    <row r="8" spans="2:6" ht="19">
      <c r="B8" s="4" t="s">
        <v>257</v>
      </c>
    </row>
    <row r="9" spans="2:6" ht="288">
      <c r="B9" s="5" t="s">
        <v>258</v>
      </c>
    </row>
    <row r="12" spans="2:6" ht="19">
      <c r="B12" s="4" t="s">
        <v>259</v>
      </c>
    </row>
    <row r="13" spans="2:6" ht="17">
      <c r="B13" s="10" t="s">
        <v>260</v>
      </c>
      <c r="C13" s="10" t="s">
        <v>261</v>
      </c>
      <c r="D13" s="10" t="s">
        <v>262</v>
      </c>
      <c r="E13" s="10" t="s">
        <v>263</v>
      </c>
      <c r="F13" s="10" t="s">
        <v>264</v>
      </c>
    </row>
    <row r="14" spans="2:6" ht="16">
      <c r="B14" s="6" t="s">
        <v>265</v>
      </c>
    </row>
    <row r="15" spans="2:6">
      <c r="B15" t="s">
        <v>266</v>
      </c>
      <c r="C15" s="14"/>
      <c r="D15" s="14"/>
      <c r="E15" s="14"/>
    </row>
    <row r="16" spans="2:6">
      <c r="B16" t="s">
        <v>99</v>
      </c>
      <c r="C16" s="25"/>
      <c r="D16" s="25"/>
      <c r="E16" s="25"/>
    </row>
    <row r="17" spans="2:6">
      <c r="B17" t="s">
        <v>103</v>
      </c>
      <c r="C17" s="26"/>
      <c r="D17" s="26"/>
      <c r="E17" s="26"/>
    </row>
    <row r="18" spans="2:6">
      <c r="B18" t="s">
        <v>101</v>
      </c>
      <c r="C18" s="27"/>
      <c r="D18" s="27"/>
      <c r="E18" s="27"/>
    </row>
    <row r="19" spans="2:6">
      <c r="B19" t="s">
        <v>267</v>
      </c>
      <c r="C19" s="27"/>
      <c r="D19" s="27"/>
      <c r="E19" s="27"/>
    </row>
    <row r="20" spans="2:6">
      <c r="B20" t="s">
        <v>268</v>
      </c>
      <c r="C20" s="25"/>
      <c r="D20" s="25"/>
      <c r="E20" s="25"/>
    </row>
    <row r="21" spans="2:6">
      <c r="B21" t="s">
        <v>269</v>
      </c>
      <c r="C21" s="25"/>
      <c r="D21" s="25"/>
      <c r="E21" s="25"/>
    </row>
    <row r="22" spans="2:6">
      <c r="B22" t="s">
        <v>100</v>
      </c>
      <c r="C22" s="15" t="str">
        <f>IF(AND(C19&gt;0,C20&gt;0,C21&gt;0),PMT(C21/12,C20*12,C19),"")</f>
        <v/>
      </c>
      <c r="D22" s="15" t="str">
        <f>IF(AND(D19&gt;0,D20&gt;0,D21&gt;0),PMT(D21/12,D20*12,D19),"")</f>
        <v/>
      </c>
      <c r="E22" s="15" t="str">
        <f>IF(AND(E19&gt;0,E20&gt;0,E21&gt;0),PMT(E21/12,E20*12,E19),"")</f>
        <v/>
      </c>
      <c r="F22" s="23"/>
    </row>
    <row r="23" spans="2:6" ht="16">
      <c r="B23" s="6" t="s">
        <v>270</v>
      </c>
    </row>
    <row r="24" spans="2:6">
      <c r="B24" t="s">
        <v>72</v>
      </c>
      <c r="C24" s="14"/>
      <c r="D24" s="14"/>
      <c r="E24" s="14"/>
    </row>
    <row r="25" spans="2:6">
      <c r="B25" t="s">
        <v>271</v>
      </c>
      <c r="C25" s="14"/>
      <c r="D25" s="14"/>
      <c r="E25" s="14"/>
    </row>
    <row r="26" spans="2:6">
      <c r="B26" t="s">
        <v>272</v>
      </c>
      <c r="C26" s="27"/>
      <c r="D26" s="27"/>
      <c r="E26" s="27"/>
    </row>
    <row r="27" spans="2:6">
      <c r="B27" t="s">
        <v>273</v>
      </c>
      <c r="C27" s="14"/>
      <c r="D27" s="14"/>
      <c r="E27" s="14"/>
    </row>
    <row r="28" spans="2:6">
      <c r="B28" t="s">
        <v>274</v>
      </c>
      <c r="C28" s="14"/>
      <c r="D28" s="14"/>
      <c r="E28" s="14"/>
    </row>
    <row r="29" spans="2:6" ht="16">
      <c r="B29" s="6" t="s">
        <v>275</v>
      </c>
    </row>
    <row r="30" spans="2:6">
      <c r="B30" t="s">
        <v>106</v>
      </c>
      <c r="C30" s="15">
        <f>C16</f>
        <v>0</v>
      </c>
      <c r="D30" s="15">
        <f>D16</f>
        <v>0</v>
      </c>
      <c r="E30" s="15">
        <f>E16</f>
        <v>0</v>
      </c>
    </row>
    <row r="31" spans="2:6">
      <c r="B31" t="s">
        <v>104</v>
      </c>
      <c r="C31" s="15" t="str">
        <f>IF(C24&gt;0,C24*C18*12-C17,"")</f>
        <v/>
      </c>
      <c r="D31" s="15" t="str">
        <f>IF(D24&gt;0,D24*D18*12-D17,"")</f>
        <v/>
      </c>
      <c r="E31" s="15" t="str">
        <f>IF(E24&gt;0,E24*E18*12-E17,"")</f>
        <v/>
      </c>
      <c r="F31" s="23"/>
    </row>
    <row r="32" spans="2:6">
      <c r="B32" t="s">
        <v>276</v>
      </c>
      <c r="C32" s="15" t="e">
        <f>C18*C21/100+C22+C23</f>
        <v>#VALUE!</v>
      </c>
      <c r="D32" s="15" t="e">
        <f>D18*D21/100+D22+D23</f>
        <v>#VALUE!</v>
      </c>
      <c r="E32" s="15" t="e">
        <f>E18*E21/100+E22+E23</f>
        <v>#VALUE!</v>
      </c>
      <c r="F32" s="23"/>
    </row>
    <row r="33" spans="2:6">
      <c r="B33" t="s">
        <v>277</v>
      </c>
      <c r="C33" s="15" t="e">
        <f>C31+C32+C32</f>
        <v>#VALUE!</v>
      </c>
      <c r="D33" s="15" t="e">
        <f>D31+D32+D32</f>
        <v>#VALUE!</v>
      </c>
      <c r="E33" s="15" t="e">
        <f>E31+E32+E32</f>
        <v>#VALUE!</v>
      </c>
      <c r="F33" s="23"/>
    </row>
    <row r="34" spans="2:6">
      <c r="B34" t="s">
        <v>278</v>
      </c>
      <c r="C34" s="28" t="e">
        <f>C31+C22/(C16)</f>
        <v>#VALUE!</v>
      </c>
      <c r="D34" s="28" t="e">
        <f>D31+D22/(D16)</f>
        <v>#VALUE!</v>
      </c>
      <c r="E34" s="28" t="e">
        <f>E31+E22/(E16)</f>
        <v>#VALUE!</v>
      </c>
      <c r="F34" s="23"/>
    </row>
    <row r="37" spans="2:6" ht="19">
      <c r="B37" s="4" t="s">
        <v>279</v>
      </c>
    </row>
    <row r="38" spans="2:6">
      <c r="B38" t="s">
        <v>280</v>
      </c>
    </row>
    <row r="40" spans="2:6" ht="17">
      <c r="B40" s="10" t="s">
        <v>281</v>
      </c>
      <c r="C40" s="10" t="s">
        <v>261</v>
      </c>
      <c r="D40" s="10" t="s">
        <v>262</v>
      </c>
      <c r="E40" s="10" t="s">
        <v>263</v>
      </c>
      <c r="F40" s="10" t="s">
        <v>282</v>
      </c>
    </row>
    <row r="41" spans="2:6">
      <c r="B41" t="s">
        <v>283</v>
      </c>
      <c r="C41" s="14"/>
      <c r="D41" s="14"/>
      <c r="E41" s="14"/>
      <c r="F41" s="14"/>
    </row>
    <row r="42" spans="2:6">
      <c r="B42" t="s">
        <v>284</v>
      </c>
      <c r="C42" s="14"/>
      <c r="D42" s="14"/>
      <c r="E42" s="14"/>
      <c r="F42" s="14"/>
    </row>
    <row r="43" spans="2:6">
      <c r="B43" t="s">
        <v>285</v>
      </c>
      <c r="C43" s="14"/>
      <c r="D43" s="14"/>
      <c r="E43" s="14"/>
      <c r="F43" s="14"/>
    </row>
    <row r="44" spans="2:6">
      <c r="B44" t="s">
        <v>286</v>
      </c>
      <c r="C44" s="14"/>
      <c r="D44" s="14"/>
      <c r="E44" s="14"/>
      <c r="F44" s="14"/>
    </row>
    <row r="45" spans="2:6">
      <c r="B45" t="s">
        <v>287</v>
      </c>
      <c r="C45" s="14"/>
      <c r="D45" s="14"/>
      <c r="E45" s="14"/>
      <c r="F45" s="14"/>
    </row>
    <row r="46" spans="2:6">
      <c r="B46" t="s">
        <v>288</v>
      </c>
      <c r="C46" s="14"/>
      <c r="D46" s="14"/>
      <c r="E46" s="14"/>
      <c r="F46" s="14"/>
    </row>
    <row r="47" spans="2:6">
      <c r="B47" t="s">
        <v>289</v>
      </c>
      <c r="C47" s="14"/>
      <c r="D47" s="14"/>
      <c r="E47" s="14"/>
      <c r="F47" s="14"/>
    </row>
    <row r="50" spans="2:2" ht="19">
      <c r="B50" s="4" t="s">
        <v>290</v>
      </c>
    </row>
    <row r="51" spans="2:2" ht="320">
      <c r="B51" s="5" t="s">
        <v>291</v>
      </c>
    </row>
    <row r="60" spans="2:2" ht="19">
      <c r="B60" s="4" t="s">
        <v>292</v>
      </c>
    </row>
    <row r="61" spans="2:2">
      <c r="B61" t="s">
        <v>293</v>
      </c>
    </row>
    <row r="62" spans="2:2" ht="60" customHeight="1">
      <c r="B62" s="29"/>
    </row>
    <row r="65" spans="2:2" ht="19">
      <c r="B65" s="4" t="s">
        <v>294</v>
      </c>
    </row>
    <row r="80" spans="2:2" ht="19">
      <c r="B80" s="4" t="s">
        <v>295</v>
      </c>
    </row>
    <row r="81" spans="2:2">
      <c r="B81" t="s">
        <v>296</v>
      </c>
    </row>
    <row r="82" spans="2:2">
      <c r="B82" t="s">
        <v>297</v>
      </c>
    </row>
    <row r="83" spans="2:2">
      <c r="B83" t="s">
        <v>298</v>
      </c>
    </row>
    <row r="84" spans="2:2">
      <c r="B84" t="s">
        <v>299</v>
      </c>
    </row>
    <row r="85" spans="2:2">
      <c r="B85" t="s">
        <v>300</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Loan Terminology</vt:lpstr>
      <vt:lpstr>Loan Amortization</vt:lpstr>
      <vt:lpstr>Loan Affordability</vt:lpstr>
      <vt:lpstr>Business Budget</vt:lpstr>
      <vt:lpstr>Cash Flow Forecast</vt:lpstr>
      <vt:lpstr>CDFI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CDFI Financial Literacy Toolkit</dc:title>
  <dc:creator>Clarity Impact Finance</dc:creator>
  <cp:lastModifiedBy>Amir Ali</cp:lastModifiedBy>
  <dcterms:created xsi:type="dcterms:W3CDTF">2025-03-17T21:28:22Z</dcterms:created>
  <dcterms:modified xsi:type="dcterms:W3CDTF">2025-03-18T01:43:01Z</dcterms:modified>
</cp:coreProperties>
</file>