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Manufacturing\Finished Goods\Libraries\Packaging\CD Documents\BML-2843\V 1.4\"/>
    </mc:Choice>
  </mc:AlternateContent>
  <bookViews>
    <workbookView xWindow="19185" yWindow="-15" windowWidth="9630" windowHeight="13440" firstSheet="1" activeTab="1"/>
  </bookViews>
  <sheets>
    <sheet name="__JChemStructureSheet" sheetId="4" state="hidden" r:id="rId1"/>
    <sheet name="Sheet1" sheetId="1" r:id="rId2"/>
    <sheet name="Sheet2" sheetId="2" r:id="rId3"/>
    <sheet name="Sheet3" sheetId="3" r:id="rId4"/>
  </sheets>
  <definedNames>
    <definedName name="_xlnm._FilterDatabase" localSheetId="1" hidden="1">Sheet1!$A$1:$R$801</definedName>
  </definedNames>
  <calcPr calcId="162913"/>
</workbook>
</file>

<file path=xl/calcChain.xml><?xml version="1.0" encoding="utf-8"?>
<calcChain xmlns="http://schemas.openxmlformats.org/spreadsheetml/2006/main">
  <c r="A108" i="1" l="1"/>
  <c r="A133" i="1"/>
  <c r="A64" i="1"/>
  <c r="A57" i="1"/>
  <c r="A160" i="1"/>
  <c r="A773" i="1"/>
  <c r="A478" i="1"/>
  <c r="A730" i="1"/>
  <c r="A602" i="1"/>
  <c r="A395" i="1"/>
  <c r="A265" i="1"/>
  <c r="A50" i="1"/>
  <c r="A56" i="1"/>
  <c r="A34" i="1"/>
  <c r="A38" i="1"/>
  <c r="A768" i="1"/>
  <c r="A627" i="1"/>
  <c r="A587" i="1"/>
  <c r="A252" i="1"/>
  <c r="A600" i="1"/>
  <c r="A594" i="1"/>
  <c r="A607" i="1"/>
  <c r="A139" i="1"/>
  <c r="A433" i="1"/>
  <c r="A666" i="1"/>
  <c r="A286" i="1"/>
  <c r="A298" i="1"/>
  <c r="A453" i="1"/>
  <c r="A358" i="1"/>
  <c r="A230" i="1"/>
  <c r="A369" i="1"/>
  <c r="A117" i="1"/>
  <c r="A764" i="1"/>
  <c r="A73" i="1"/>
  <c r="A7" i="1"/>
  <c r="A116" i="1"/>
  <c r="A648" i="1"/>
  <c r="A319" i="1"/>
  <c r="A146" i="1"/>
  <c r="A120" i="1"/>
  <c r="A770" i="1"/>
  <c r="A454" i="1"/>
  <c r="A180" i="1"/>
  <c r="A700" i="1"/>
  <c r="A178" i="1"/>
  <c r="A445" i="1"/>
  <c r="A555" i="1"/>
  <c r="A561" i="1"/>
  <c r="A734" i="1"/>
  <c r="A501" i="1"/>
  <c r="A519" i="1"/>
  <c r="A257" i="1"/>
  <c r="A797" i="1"/>
  <c r="A3" i="1"/>
  <c r="A177" i="1"/>
  <c r="A366" i="1"/>
  <c r="A381" i="1"/>
  <c r="A232" i="1"/>
  <c r="A569" i="1"/>
  <c r="A748" i="1"/>
  <c r="A738" i="1"/>
  <c r="A619" i="1"/>
  <c r="A579" i="1"/>
  <c r="A337" i="1"/>
  <c r="A412" i="1"/>
  <c r="A147" i="1"/>
  <c r="A540" i="1"/>
  <c r="A790" i="1"/>
  <c r="A183" i="1"/>
  <c r="A662" i="1"/>
  <c r="A596" i="1"/>
  <c r="A689" i="1"/>
  <c r="A672" i="1"/>
  <c r="A699" i="1"/>
  <c r="A10" i="1"/>
  <c r="A521" i="1"/>
  <c r="A204" i="1"/>
  <c r="A58" i="1"/>
  <c r="A150" i="1"/>
  <c r="A54" i="1"/>
  <c r="A317" i="1"/>
  <c r="A115" i="1"/>
  <c r="A458" i="1"/>
  <c r="A162" i="1"/>
  <c r="A224" i="1"/>
  <c r="A357" i="1"/>
  <c r="A422" i="1"/>
  <c r="A288" i="1"/>
  <c r="A253" i="1"/>
  <c r="A35" i="1"/>
  <c r="A376" i="1"/>
  <c r="A167" i="1"/>
  <c r="A44" i="1"/>
  <c r="A435" i="1"/>
  <c r="A325" i="1"/>
  <c r="A617" i="1"/>
  <c r="A673" i="1"/>
  <c r="A793" i="1"/>
  <c r="A584" i="1"/>
  <c r="A109" i="1"/>
  <c r="A486" i="1"/>
  <c r="A45" i="1"/>
  <c r="A638" i="1"/>
  <c r="A459" i="1"/>
  <c r="A379" i="1"/>
  <c r="A714" i="1"/>
  <c r="A571" i="1"/>
  <c r="A705" i="1"/>
  <c r="A90" i="1"/>
  <c r="A661" i="1"/>
  <c r="A548" i="1"/>
  <c r="A95" i="1"/>
  <c r="A269" i="1"/>
  <c r="A488" i="1"/>
  <c r="A132" i="1"/>
  <c r="A791" i="1"/>
  <c r="A495" i="1"/>
  <c r="A794" i="1"/>
  <c r="A61" i="1"/>
  <c r="A96" i="1"/>
  <c r="A620" i="1"/>
  <c r="A213" i="1"/>
  <c r="A208" i="1"/>
  <c r="A382" i="1"/>
  <c r="A229" i="1"/>
  <c r="A76" i="1"/>
  <c r="A493" i="1"/>
  <c r="A798" i="1"/>
  <c r="A21" i="1"/>
  <c r="A210" i="1"/>
  <c r="A27" i="1"/>
  <c r="A272" i="1"/>
  <c r="A390" i="1"/>
  <c r="A578" i="1"/>
  <c r="A556" i="1"/>
  <c r="A497" i="1"/>
  <c r="A66" i="1"/>
  <c r="A367" i="1"/>
  <c r="A746" i="1"/>
  <c r="A636" i="1"/>
  <c r="A185" i="1"/>
  <c r="A378" i="1"/>
  <c r="A135" i="1"/>
  <c r="A434" i="1"/>
  <c r="A618" i="1"/>
  <c r="A5" i="1"/>
  <c r="A573" i="1"/>
  <c r="A572" i="1"/>
  <c r="A595" i="1"/>
  <c r="A312" i="1"/>
  <c r="A404" i="1"/>
  <c r="A13" i="1"/>
  <c r="A789" i="1"/>
  <c r="A264" i="1"/>
  <c r="A267" i="1"/>
  <c r="A465" i="1"/>
  <c r="A87" i="1"/>
  <c r="A126" i="1"/>
  <c r="A81" i="1"/>
  <c r="A775" i="1"/>
  <c r="A610" i="1"/>
  <c r="A316" i="1"/>
  <c r="A68" i="1"/>
  <c r="A694" i="1"/>
  <c r="A249" i="1"/>
  <c r="A174" i="1"/>
  <c r="A30" i="1"/>
  <c r="A274" i="1"/>
  <c r="A531" i="1"/>
  <c r="A2" i="1"/>
  <c r="A581" i="1"/>
  <c r="A484" i="1"/>
  <c r="A254" i="1"/>
  <c r="A444" i="1"/>
  <c r="A237" i="1"/>
  <c r="A93" i="1"/>
  <c r="A726" i="1"/>
  <c r="A800" i="1"/>
  <c r="A199" i="1"/>
  <c r="A268" i="1"/>
  <c r="A534" i="1"/>
  <c r="A740" i="1"/>
  <c r="A248" i="1"/>
  <c r="A314" i="1"/>
  <c r="A745" i="1"/>
  <c r="A727" i="1"/>
  <c r="A322" i="1"/>
  <c r="A48" i="1"/>
  <c r="A640" i="1"/>
  <c r="A194" i="1"/>
  <c r="A84" i="1"/>
  <c r="A59" i="1"/>
  <c r="A191" i="1"/>
  <c r="A23" i="1"/>
  <c r="A473" i="1"/>
  <c r="A328" i="1"/>
  <c r="A47" i="1"/>
  <c r="A348" i="1"/>
  <c r="A785" i="1"/>
  <c r="A138" i="1"/>
  <c r="A560" i="1"/>
  <c r="A711" i="1"/>
  <c r="A123" i="1"/>
  <c r="A309" i="1"/>
  <c r="A168" i="1"/>
  <c r="A152" i="1"/>
  <c r="A654" i="1"/>
  <c r="A428" i="1"/>
  <c r="A349" i="1"/>
  <c r="A15" i="1"/>
  <c r="A326" i="1"/>
  <c r="A262" i="1"/>
  <c r="A49" i="1"/>
  <c r="A119" i="1"/>
  <c r="A568" i="1"/>
  <c r="A719" i="1"/>
  <c r="A82" i="1"/>
  <c r="A431" i="1"/>
  <c r="A523" i="1"/>
  <c r="A383" i="1"/>
  <c r="A282" i="1"/>
  <c r="A137" i="1"/>
  <c r="A354" i="1"/>
  <c r="A102" i="1"/>
  <c r="A606" i="1"/>
  <c r="A329" i="1"/>
  <c r="A72" i="1"/>
  <c r="A83" i="1"/>
  <c r="A161" i="1"/>
  <c r="A301" i="1"/>
  <c r="A352" i="1"/>
  <c r="A494" i="1"/>
  <c r="A80" i="1"/>
  <c r="A591" i="1"/>
  <c r="A283" i="1"/>
  <c r="A134" i="1"/>
  <c r="A31" i="1"/>
  <c r="A19" i="1"/>
  <c r="A586" i="1"/>
  <c r="A350" i="1"/>
  <c r="A52" i="1"/>
  <c r="A16" i="1"/>
  <c r="A276" i="1"/>
  <c r="A516" i="1"/>
  <c r="A757" i="1"/>
  <c r="A701" i="1"/>
  <c r="A101" i="1"/>
  <c r="A451" i="1"/>
  <c r="A405" i="1"/>
  <c r="A302" i="1"/>
  <c r="A296" i="1"/>
  <c r="A63" i="1"/>
  <c r="A97" i="1"/>
  <c r="A338" i="1"/>
  <c r="A801" i="1"/>
  <c r="A440" i="1"/>
  <c r="A659" i="1"/>
  <c r="A4" i="1"/>
  <c r="A538" i="1"/>
  <c r="A632" i="1"/>
  <c r="A42" i="1"/>
  <c r="A271" i="1"/>
  <c r="A470" i="1"/>
  <c r="A235" i="1"/>
  <c r="A99" i="1"/>
  <c r="A668" i="1"/>
  <c r="A645" i="1"/>
  <c r="A460" i="1"/>
  <c r="A118" i="1"/>
  <c r="A240" i="1"/>
  <c r="A207" i="1"/>
  <c r="A537" i="1"/>
  <c r="A611" i="1"/>
  <c r="A374" i="1"/>
  <c r="A17" i="1"/>
  <c r="A171" i="1"/>
  <c r="A130" i="1"/>
  <c r="A736" i="1"/>
  <c r="A782" i="1"/>
  <c r="A318" i="1"/>
  <c r="A391" i="1"/>
  <c r="A529" i="1"/>
  <c r="A721" i="1"/>
  <c r="A192" i="1"/>
  <c r="A582" i="1"/>
  <c r="A576" i="1"/>
  <c r="A285" i="1"/>
  <c r="A327" i="1"/>
  <c r="A91" i="1"/>
  <c r="A415" i="1"/>
  <c r="A377" i="1"/>
  <c r="A552" i="1"/>
  <c r="A603" i="1"/>
  <c r="A483" i="1"/>
  <c r="A546" i="1"/>
  <c r="A643" i="1"/>
  <c r="A355" i="1"/>
  <c r="A148" i="1"/>
  <c r="A111" i="1"/>
  <c r="A492" i="1"/>
  <c r="A535" i="1"/>
  <c r="A263" i="1"/>
  <c r="A565" i="1"/>
  <c r="A754" i="1"/>
  <c r="A89" i="1"/>
  <c r="A530" i="1"/>
  <c r="A605" i="1"/>
  <c r="A722" i="1"/>
  <c r="A448" i="1"/>
  <c r="A281" i="1"/>
  <c r="A308" i="1"/>
  <c r="A505" i="1"/>
  <c r="A196" i="1"/>
  <c r="A665" i="1"/>
  <c r="A186" i="1"/>
  <c r="A763" i="1"/>
  <c r="A475" i="1"/>
  <c r="A270" i="1"/>
  <c r="A692" i="1"/>
  <c r="A496" i="1"/>
  <c r="A166" i="1"/>
  <c r="A343" i="1"/>
  <c r="A393" i="1"/>
  <c r="A41" i="1"/>
  <c r="A244" i="1"/>
  <c r="A410" i="1"/>
  <c r="A760" i="1"/>
  <c r="A446" i="1"/>
  <c r="A670" i="1"/>
  <c r="A702" i="1"/>
  <c r="A693" i="1"/>
  <c r="A289" i="1"/>
  <c r="A635" i="1"/>
  <c r="A141" i="1"/>
  <c r="A786" i="1"/>
  <c r="A414" i="1"/>
  <c r="A290" i="1"/>
  <c r="A201" i="1"/>
  <c r="A756" i="1"/>
  <c r="A629" i="1"/>
  <c r="A260" i="1"/>
  <c r="A515" i="1"/>
  <c r="A742" i="1"/>
  <c r="A644" i="1"/>
  <c r="A419" i="1"/>
  <c r="A647" i="1"/>
  <c r="A769" i="1"/>
  <c r="A339" i="1"/>
  <c r="A720" i="1"/>
  <c r="A630" i="1"/>
  <c r="A341" i="1"/>
  <c r="A724" i="1"/>
  <c r="A498" i="1"/>
  <c r="A78" i="1"/>
  <c r="A408" i="1"/>
  <c r="A53" i="1"/>
  <c r="A615" i="1"/>
  <c r="A189" i="1"/>
  <c r="A335" i="1"/>
  <c r="A695" i="1"/>
  <c r="A669" i="1"/>
  <c r="A256" i="1"/>
  <c r="A564" i="1"/>
  <c r="A598" i="1"/>
  <c r="A417" i="1"/>
  <c r="A217" i="1"/>
  <c r="A614" i="1"/>
  <c r="A737" i="1"/>
  <c r="A334" i="1"/>
  <c r="A127" i="1"/>
  <c r="A604" i="1"/>
  <c r="A759" i="1"/>
  <c r="A559" i="1"/>
  <c r="A380" i="1"/>
  <c r="A502" i="1"/>
  <c r="A266" i="1"/>
  <c r="A359" i="1"/>
  <c r="A156" i="1"/>
  <c r="A725" i="1"/>
  <c r="A562" i="1"/>
  <c r="A372" i="1"/>
  <c r="A749" i="1"/>
  <c r="A70" i="1"/>
  <c r="A98" i="1"/>
  <c r="A170" i="1"/>
  <c r="A8" i="1"/>
  <c r="A522" i="1"/>
  <c r="A275" i="1"/>
  <c r="A43" i="1"/>
  <c r="A777" i="1"/>
  <c r="A293" i="1"/>
  <c r="A234" i="1"/>
  <c r="A429" i="1"/>
  <c r="A226" i="1"/>
  <c r="A245" i="1"/>
  <c r="A609" i="1"/>
  <c r="A313" i="1"/>
  <c r="A739" i="1"/>
  <c r="A220" i="1"/>
  <c r="A623" i="1"/>
  <c r="A219" i="1"/>
  <c r="A533" i="1"/>
  <c r="A179" i="1"/>
  <c r="A688" i="1"/>
  <c r="A601" i="1"/>
  <c r="A762" i="1"/>
  <c r="A347" i="1"/>
  <c r="A406" i="1"/>
  <c r="A216" i="1"/>
  <c r="A362" i="1"/>
  <c r="A624" i="1"/>
  <c r="A718" i="1"/>
  <c r="A14" i="1"/>
  <c r="A491" i="1"/>
  <c r="A776" i="1"/>
  <c r="A9" i="1"/>
  <c r="A449" i="1"/>
  <c r="A479" i="1"/>
  <c r="A250" i="1"/>
  <c r="A231" i="1"/>
  <c r="A113" i="1"/>
  <c r="A74" i="1"/>
  <c r="A704" i="1"/>
  <c r="A131" i="1"/>
  <c r="A514" i="1"/>
  <c r="A489" i="1"/>
  <c r="A732" i="1"/>
  <c r="A360" i="1"/>
  <c r="A173" i="1"/>
  <c r="A222" i="1"/>
  <c r="A599" i="1"/>
  <c r="A512" i="1"/>
  <c r="A280" i="1"/>
  <c r="A796" i="1"/>
  <c r="A674" i="1"/>
  <c r="A421" i="1"/>
  <c r="A528" i="1"/>
  <c r="A60" i="1"/>
  <c r="A482" i="1"/>
  <c r="A28" i="1"/>
  <c r="A628" i="1"/>
  <c r="A36" i="1"/>
  <c r="A284" i="1"/>
  <c r="A558" i="1"/>
  <c r="A524" i="1"/>
  <c r="A351" i="1"/>
  <c r="A394" i="1"/>
  <c r="A103" i="1"/>
  <c r="A305" i="1"/>
  <c r="A506" i="1"/>
  <c r="A690" i="1"/>
  <c r="A153" i="1"/>
  <c r="A306" i="1"/>
  <c r="A307" i="1"/>
  <c r="A37" i="1"/>
  <c r="A411" i="1"/>
  <c r="A69" i="1"/>
  <c r="A551" i="1"/>
  <c r="A503" i="1"/>
  <c r="A463" i="1"/>
  <c r="A62" i="1"/>
  <c r="A33" i="1"/>
  <c r="A206" i="1"/>
  <c r="A233" i="1"/>
  <c r="A504" i="1"/>
  <c r="A554" i="1"/>
  <c r="A716" i="1"/>
  <c r="A340" i="1"/>
  <c r="A259" i="1"/>
  <c r="A333" i="1"/>
  <c r="A542" i="1"/>
  <c r="A747" i="1"/>
  <c r="A520" i="1"/>
  <c r="A386" i="1"/>
  <c r="A481" i="1"/>
  <c r="A203" i="1"/>
  <c r="A697" i="1"/>
  <c r="A781" i="1"/>
  <c r="A525" i="1"/>
  <c r="A507" i="1"/>
  <c r="A345" i="1"/>
  <c r="A750" i="1"/>
  <c r="A684" i="1"/>
  <c r="A622" i="1"/>
  <c r="A175" i="1"/>
  <c r="A511" i="1"/>
  <c r="A22" i="1"/>
  <c r="A536" i="1"/>
  <c r="A209" i="1"/>
  <c r="A710" i="1"/>
  <c r="A239" i="1"/>
  <c r="A291" i="1"/>
  <c r="A423" i="1"/>
  <c r="A363" i="1"/>
  <c r="A25" i="1"/>
  <c r="A40" i="1"/>
  <c r="A583" i="1"/>
  <c r="A331" i="1"/>
  <c r="A212" i="1"/>
  <c r="A413" i="1"/>
  <c r="A541" i="1"/>
  <c r="A787" i="1"/>
  <c r="A188" i="1"/>
  <c r="A427" i="1"/>
  <c r="A11" i="1"/>
  <c r="A218" i="1"/>
  <c r="A683" i="1"/>
  <c r="A110" i="1"/>
  <c r="A637" i="1"/>
  <c r="A65" i="1"/>
  <c r="A149" i="1"/>
  <c r="A211" i="1"/>
  <c r="A332" i="1"/>
  <c r="A424" i="1"/>
  <c r="A639" i="1"/>
  <c r="A667" i="1"/>
  <c r="A715" i="1"/>
  <c r="A105" i="1"/>
  <c r="A396" i="1"/>
  <c r="A706" i="1"/>
  <c r="A384" i="1"/>
  <c r="A735" i="1"/>
  <c r="A342" i="1"/>
  <c r="A658" i="1"/>
  <c r="A655" i="1"/>
  <c r="A456" i="1"/>
  <c r="A487" i="1"/>
  <c r="A51" i="1"/>
  <c r="A92" i="1"/>
  <c r="A557" i="1"/>
  <c r="A124" i="1"/>
  <c r="A241" i="1"/>
  <c r="A242" i="1"/>
  <c r="A652" i="1"/>
  <c r="A691" i="1"/>
  <c r="A679" i="1"/>
  <c r="A172" i="1"/>
  <c r="A420" i="1"/>
  <c r="A613" i="1"/>
  <c r="A344" i="1"/>
  <c r="A642" i="1"/>
  <c r="A466" i="1"/>
  <c r="A392" i="1"/>
  <c r="A567" i="1"/>
  <c r="A187" i="1"/>
  <c r="A176" i="1"/>
  <c r="A485" i="1"/>
  <c r="A100" i="1"/>
  <c r="A723" i="1"/>
  <c r="A696" i="1"/>
  <c r="A26" i="1"/>
  <c r="A403" i="1"/>
  <c r="A79" i="1"/>
  <c r="A575" i="1"/>
  <c r="A258" i="1"/>
  <c r="A499" i="1"/>
  <c r="A660" i="1"/>
  <c r="A774" i="1"/>
  <c r="A664" i="1"/>
  <c r="A657" i="1"/>
  <c r="A202" i="1"/>
  <c r="A129" i="1"/>
  <c r="A251" i="1"/>
  <c r="A371" i="1"/>
  <c r="A621" i="1"/>
  <c r="A778" i="1"/>
  <c r="A570" i="1"/>
  <c r="A708" i="1"/>
  <c r="A330" i="1"/>
  <c r="A728" i="1"/>
  <c r="A94" i="1"/>
  <c r="A279" i="1"/>
  <c r="A766" i="1"/>
  <c r="A151" i="1"/>
  <c r="A297" i="1"/>
  <c r="A593" i="1"/>
  <c r="A744" i="1"/>
  <c r="A687" i="1"/>
  <c r="A547" i="1"/>
  <c r="A461" i="1"/>
  <c r="A626" i="1"/>
  <c r="A437" i="1"/>
  <c r="A526" i="1"/>
  <c r="A588" i="1"/>
  <c r="A682" i="1"/>
  <c r="A438" i="1"/>
  <c r="A247" i="1"/>
  <c r="A717" i="1"/>
  <c r="A324" i="1"/>
  <c r="A261" i="1"/>
  <c r="A631" i="1"/>
  <c r="A163" i="1"/>
  <c r="A356" i="1"/>
  <c r="A304" i="1"/>
  <c r="A278" i="1"/>
  <c r="A539" i="1"/>
  <c r="A227" i="1"/>
  <c r="A712" i="1"/>
  <c r="A145" i="1"/>
  <c r="A509" i="1"/>
  <c r="A663" i="1"/>
  <c r="A125" i="1"/>
  <c r="A277" i="1"/>
  <c r="A407" i="1"/>
  <c r="A142" i="1"/>
  <c r="A464" i="1"/>
  <c r="A472" i="1"/>
  <c r="A527" i="1"/>
  <c r="A731" i="1"/>
  <c r="A143" i="1"/>
  <c r="A426" i="1"/>
  <c r="A112" i="1"/>
  <c r="A273" i="1"/>
  <c r="A292" i="1"/>
  <c r="A608" i="1"/>
  <c r="A733" i="1"/>
  <c r="A365" i="1"/>
  <c r="A181" i="1"/>
  <c r="A155" i="1"/>
  <c r="A86" i="1"/>
  <c r="A169" i="1"/>
  <c r="A215" i="1"/>
  <c r="A490" i="1"/>
  <c r="A299" i="1"/>
  <c r="A771" i="1"/>
  <c r="A364" i="1"/>
  <c r="A300" i="1"/>
  <c r="A154" i="1"/>
  <c r="A795" i="1"/>
  <c r="A671" i="1"/>
  <c r="A46" i="1"/>
  <c r="A753" i="1"/>
  <c r="A553" i="1"/>
  <c r="A468" i="1"/>
  <c r="A75" i="1"/>
  <c r="A416" i="1"/>
  <c r="A389" i="1"/>
  <c r="A780" i="1"/>
  <c r="A158" i="1"/>
  <c r="A29" i="1"/>
  <c r="A198" i="1"/>
  <c r="A574" i="1"/>
  <c r="A518" i="1"/>
  <c r="A122" i="1"/>
  <c r="A752" i="1"/>
  <c r="A788" i="1"/>
  <c r="A402" i="1"/>
  <c r="A228" i="1"/>
  <c r="A107" i="1"/>
  <c r="A450" i="1"/>
  <c r="A550" i="1"/>
  <c r="A77" i="1"/>
  <c r="A698" i="1"/>
  <c r="A633" i="1"/>
  <c r="A71" i="1"/>
  <c r="A88" i="1"/>
  <c r="A566" i="1"/>
  <c r="A361" i="1"/>
  <c r="A193" i="1"/>
  <c r="A641" i="1"/>
  <c r="A184" i="1"/>
  <c r="A287" i="1"/>
  <c r="A225" i="1"/>
  <c r="A685" i="1"/>
  <c r="A303" i="1"/>
  <c r="A205" i="1"/>
  <c r="A589" i="1"/>
  <c r="A751" i="1"/>
  <c r="A680" i="1"/>
  <c r="A678" i="1"/>
  <c r="A452" i="1"/>
  <c r="A677" i="1"/>
  <c r="A447" i="1"/>
  <c r="A425" i="1"/>
  <c r="A545" i="1"/>
  <c r="A323" i="1"/>
  <c r="A398" i="1"/>
  <c r="A388" i="1"/>
  <c r="A729" i="1"/>
  <c r="A85" i="1"/>
  <c r="A321" i="1"/>
  <c r="A197" i="1"/>
  <c r="A387" i="1"/>
  <c r="A436" i="1"/>
  <c r="A238" i="1"/>
  <c r="A373" i="1"/>
  <c r="A471" i="1"/>
  <c r="A772" i="1"/>
  <c r="A585" i="1"/>
  <c r="A128" i="1"/>
  <c r="A246" i="1"/>
  <c r="A469" i="1"/>
  <c r="A20" i="1"/>
  <c r="A190" i="1"/>
  <c r="A200" i="1"/>
  <c r="A549" i="1"/>
  <c r="A758" i="1"/>
  <c r="A315" i="1"/>
  <c r="A368" i="1"/>
  <c r="A653" i="1"/>
  <c r="A455" i="1"/>
  <c r="A320" i="1"/>
  <c r="A104" i="1"/>
  <c r="A467" i="1"/>
  <c r="A223" i="1"/>
  <c r="A649" i="1"/>
  <c r="A779" i="1"/>
  <c r="A590" i="1"/>
  <c r="A399" i="1"/>
  <c r="A32" i="1"/>
  <c r="A675" i="1"/>
  <c r="A311" i="1"/>
  <c r="A294" i="1"/>
  <c r="A616" i="1"/>
  <c r="A24" i="1"/>
  <c r="A476" i="1"/>
  <c r="A743" i="1"/>
  <c r="A500" i="1"/>
  <c r="A114" i="1"/>
  <c r="A457" i="1"/>
  <c r="A544" i="1"/>
  <c r="A255" i="1"/>
  <c r="A157" i="1"/>
  <c r="A432" i="1"/>
  <c r="A430" i="1"/>
  <c r="A214" i="1"/>
  <c r="A144" i="1"/>
  <c r="A370" i="1"/>
  <c r="A18" i="1"/>
  <c r="A243" i="1"/>
  <c r="A67" i="1"/>
  <c r="A336" i="1"/>
  <c r="A55" i="1"/>
  <c r="A686" i="1"/>
  <c r="A121" i="1"/>
  <c r="A441" i="1"/>
  <c r="A400" i="1"/>
  <c r="A6" i="1"/>
  <c r="A295" i="1"/>
  <c r="A353" i="1"/>
  <c r="A346" i="1"/>
  <c r="A221" i="1"/>
  <c r="A474" i="1"/>
  <c r="A597" i="1"/>
  <c r="A164" i="1"/>
  <c r="A707" i="1"/>
  <c r="A159" i="1"/>
  <c r="A136" i="1"/>
  <c r="A634" i="1"/>
  <c r="A592" i="1"/>
  <c r="A580" i="1"/>
  <c r="A236" i="1"/>
  <c r="A508" i="1"/>
  <c r="A577" i="1"/>
  <c r="A442" i="1"/>
  <c r="A765" i="1"/>
  <c r="A741" i="1"/>
  <c r="A676" i="1"/>
  <c r="A799" i="1"/>
  <c r="A651" i="1"/>
  <c r="A12" i="1"/>
  <c r="A182" i="1"/>
  <c r="A39" i="1"/>
  <c r="A310" i="1"/>
  <c r="A409" i="1"/>
  <c r="A106" i="1"/>
  <c r="A418" i="1"/>
  <c r="A784" i="1"/>
  <c r="A195" i="1"/>
  <c r="A140" i="1"/>
  <c r="A375" i="1"/>
  <c r="A385" i="1"/>
</calcChain>
</file>

<file path=xl/sharedStrings.xml><?xml version="1.0" encoding="utf-8"?>
<sst xmlns="http://schemas.openxmlformats.org/spreadsheetml/2006/main" count="11752" uniqueCount="8054">
  <si>
    <t>Structure</t>
  </si>
  <si>
    <t>SMILES</t>
  </si>
  <si>
    <t>IUPAC</t>
  </si>
  <si>
    <t>Name</t>
  </si>
  <si>
    <t>MW</t>
  </si>
  <si>
    <t>Plate Location</t>
  </si>
  <si>
    <t>Plate Number</t>
  </si>
  <si>
    <t>Plate description</t>
  </si>
  <si>
    <t>CAS</t>
  </si>
  <si>
    <t>Catalog number</t>
  </si>
  <si>
    <t>Concentration</t>
  </si>
  <si>
    <t>Approval Year</t>
  </si>
  <si>
    <t>Indication</t>
  </si>
  <si>
    <t>Mechanism of Action</t>
  </si>
  <si>
    <t>Notes/Toxicity</t>
  </si>
  <si>
    <t>Solvent</t>
  </si>
  <si>
    <t>Plate part number</t>
  </si>
  <si>
    <t>CCC[C@@H]1CC(N(C1)C)C(=O)N[C@@H](C2[C@@H]([C@H](C([C@H](O2)SC)O)O)O)[C@H](C)Cl.Cl</t>
  </si>
  <si>
    <t>(4R)-N-[(1S,2S)-2-chloro-1-[(3R,4R,6R)-3,4,5-trihydroxy-6-methylsulfanyloxan-2-yl]propyl]-1-methyl-4-propylpyrrolidine-2-carboxamide;hydrochloride</t>
  </si>
  <si>
    <t>1-A02</t>
  </si>
  <si>
    <t>FDA Library II</t>
  </si>
  <si>
    <t>21462-39-5</t>
  </si>
  <si>
    <t>10 mM</t>
  </si>
  <si>
    <t>Antibiotic</t>
  </si>
  <si>
    <t>Systemic/vaginal clindamycin inhibits protein synthesis of bacteria by binding to the 50S ribosomal subunits of the bacteria. Specifically, it binds primarily to the 23s RNA subunit. Topical clindamycin reduces free fatty acid concentrations on the skin and suppresses the growth of Propionibacterium acnes (Corynebacterium acnes) , an anaerobe found in sebaceous glands and follicles.</t>
  </si>
  <si>
    <t xml:space="preserve">Side effects include: diarrhea, pseudomembranous colitis, nausea, vomiting, abdominal pain or cramps, rash, and/or itch. High doses (both intravenous and oral) may cause a metallic taste, and topical application may cause contact dermatitis. Diarrhea, vomiting, and nausea are common if the individual lies down for an extended period of time within 30 minutes of taking clindamycin. Pseudomembranous colitis is a potentially lethal condition commonly associated with clindamycin, but which occurs with other antibiotics, as well. Rarely — in less than 0.1% of patients — clindamycin therapy has been associated with anaphylaxis, blood dyscrasias, polyarthritis, jaundice, raised liver enzyme levels, and/or hepatotoxicity.
</t>
  </si>
  <si>
    <t>DMSO</t>
  </si>
  <si>
    <t>C1=CC=C(C=C1)C(COC(=O)N)COC(=O)N</t>
  </si>
  <si>
    <t>(3-carbamoyloxy-2-phenylpropyl) carbamate</t>
  </si>
  <si>
    <t>Felbamate</t>
  </si>
  <si>
    <t>1-A03</t>
  </si>
  <si>
    <t>25451-15-4</t>
  </si>
  <si>
    <t>Anticonvulsant</t>
  </si>
  <si>
    <t>Precise mechanism unknown; It has an effect on GABA receptor binding sites; It may also work as a NMDA receptor antagonist.</t>
  </si>
  <si>
    <t xml:space="preserve">Adverse reactions include decreased appetite, vomiting, insomnia, nausea, dizziness, somnolence, and headache. Many patients report increased alertness with the drug. Two rare but very serious effects include aplastic anemia and hepatic (liver) failure. The risk of aplastic anemia is between 1:3,600 and 1:5,000, of which 30% of cases are fatal. The risk of hepatic failure is between 1:24,000 to 1:34,000, of which 40% of cases are fatal.
</t>
  </si>
  <si>
    <t>CC[C@H]1C(=O)N(CC(=O)N([C@H](C(=O)N[C@H](C(=O)N([C@H](C(=O)N[C@H](C(=O)N[C@@H](C(=O)N([C@H](C(=O)N([C@H](C(=O)N([C@H](C(=O)N([C@H](C(=O)N1)[C@H]([C@H](C)C/C=C/C)O)C)C(C)C)C)CC(C)C)C)CC(C)C)C)C)C)CC(C)C)C)C(C)C)CC(C)C)C)C</t>
  </si>
  <si>
    <t>(3S,6S,9S,12R,15S,18S,21S,24S,30S,33S)-30-ethyl-33-[(E,1S,2R)-1-hydroxy-2-methylhex-4-enyl]-1,4,7,10,12,15,19,25,28-nonamethyl-6,9,18,24-tetrakis(2-methylpropyl)-3,21-di(propan-2-yl)-1,4,7,10,13,16,19,22,25,28,31-undecazacyclotritriacontane-2,5,8,11,14,17,20,23,26,29,32-undecone</t>
  </si>
  <si>
    <t>1-A04</t>
  </si>
  <si>
    <t>59865-13-3</t>
  </si>
  <si>
    <t xml:space="preserve">Immunosuppressive, Immunomodulatory, Antirheumatic, Dermatologic Agent </t>
  </si>
  <si>
    <t>Cyclosporine binds to cyclophilin. The complex then inhibits calcineurin which is normally responsible for activating transcription of interleukin 2. Cyclosporine also inhibits lymphokine production and interleukin release. In ophthalmic applications, the precise mechanism of action is not known. Cyclosporine emulsion is thought to act as a partial immunomodulator in patients whose tear production is presumed to be suppressed due to ocular inflammation associated with keratoconjunctivitis sicca.</t>
  </si>
  <si>
    <t>Associated with a number of potentially serious adverse drug reactions including gingival hyperplasia, convulsions, peptic ulcers, pancreatitis, fever, vomiting, diarrhea, confusion, hypercholesterolemia, dyspnea, numbness and tingling particularly of the lips, pruritus, high blood pressure, potassium retention, and possibly hyperkalemia, kidney and liver dysfunction, burning sensations at finger tips and an increased vulnerability to opportunistic fungal and viral infections.</t>
  </si>
  <si>
    <t>COC1=C(C=C2C(=C1)CC(C2=O)CC3CCN(CC3)CC4=CC=CC=C4)OC.Cl</t>
  </si>
  <si>
    <t>2-[(1-benzylpiperidin-4-yl)methyl]-5,6-dimethoxy-2,3-dihydroinden-1-one;hydrochloride</t>
  </si>
  <si>
    <t>Donepezil·HCl</t>
  </si>
  <si>
    <t>1-A05</t>
  </si>
  <si>
    <t>120011-70-3</t>
  </si>
  <si>
    <t xml:space="preserve">Parasympathomimetic, Nootropic </t>
  </si>
  <si>
    <t>Centerally active, reversible inhibitor of acetylcholinesterase. Structurally unrelated to other anticholinesterase agents. Donepezil's proposed mechanism of action involves the reversible inhibition of cholinesterases (eg. acetylcholinesterase), which prevents the hydrolysis of acetycholine, and leads to an increased concentration of acetylcholine at cholinergic synapses. Evidence suggests that the anticholinesterase activity of donepezil is relatively specific for acetylcholinesterase in the brain.</t>
  </si>
  <si>
    <t xml:space="preserve">Common side effects include bradycardia, nausea, diarrhea, anorexia, abdominal pain, and vivid dreams.  </t>
  </si>
  <si>
    <t>1-A06</t>
  </si>
  <si>
    <t xml:space="preserve">Antibiotic, Antibacterial </t>
  </si>
  <si>
    <t>Inhibits peptide bond formation</t>
  </si>
  <si>
    <t>Unknown</t>
  </si>
  <si>
    <t>CC1=C(C(=C(C2=C1COC2=O)O)C/C=C(\C)/CCC(=O)O)OC</t>
  </si>
  <si>
    <t>(E)-6-(4-hydroxy-6-methoxy-7-methyl-3-oxo-1H-2-benzofuran-5-yl)-4-methylhex-4-enoic acid</t>
  </si>
  <si>
    <t>Mycophenolic Acid</t>
  </si>
  <si>
    <t>1-A07</t>
  </si>
  <si>
    <t>24280-93-1</t>
  </si>
  <si>
    <t>Antibiotic, Antineoplastic</t>
  </si>
  <si>
    <t>Potent, selective, uncompetitive, and reversible inhibitor of inosine monophosphate dehydrogenase (IMPDH), which inhibits de novo pathway of guanosine nucleotide synthesis without incorporation into DNA. Because T- and B-lymphocytes are critically dependent for their proliferation on de novo synthesis of purines, whereas other cell types can utilize salvage pathways, mycophenolic acid has potent cytostatic effects on lymphocytes. Mycophenolic acid inhibits proliferative responses of T- and B-lymphocytes to both mitogenic and allospecific stimulation. Mycophenolic acid also suppresses antibody formation by B-lymphocytes. Mycophenolic acid prevents the glycosylation of lymphocyte and monocyte glycoproteins that are involved in intercellular adhesion to endothelial cells and may inhibit recruitment of leukocytes into sites of inflammation and graft rejection.</t>
  </si>
  <si>
    <t xml:space="preserve">Common adverse drug reactions (≥1% of patients) include diarrhea, nausea, vomiting, infections, leukopenia, and/or anemia. Mycophenolate sodium is also commonly associated with fatigue, headache, and/or cough. Intravenous (IV) administration of mycophenolate mofetil is also commonly associated with thrombophlebitis and thrombosis. Infrequent adverse effects (0.1–1% of patients) include esophagitis, gastritis, gastrointestinal tract hemorrhage, and/or invasive cytomegalovirus (CMV) infection. Several cases of pure red cell aplasia (PRCA) have also been reported.
The U.S. Food and Drug Administration (FDA) has issued an alert that patients on mycophenolic acid are at increased risk of opportunistic infections, such as activation of latent viral infections, including shingles, other herpes infections, cytomegalovirus, and BK virus associated nephropathy. In addition the FDA is investigating 16 patients that developed a rare neurological disease while taking the drug. The neurological condition known as progressive multifocal leukoencephalopathy attacks the brain and central nervous system and is usually fatal.
Mycophenolic acid is associated with miscarriage and congenital malformations when used during pregnancy, and should be avoided whenever possible by women trying to conceive.
</t>
  </si>
  <si>
    <t xml:space="preserve">C[C@@H]1CC[C@H]2C[C@@H](/C(=C/C=C/C=C/[C@H](C[C@H](C(=O)[C@@H]([C@@H](/C(=C/[C@H](C(=O)C[C@H](OC(=O)[C@@H]3CCCCN3C(=O)C(=O)[C@@]1(O2)O)[C@H](C)C[C@@H]4CC[C@H]([C@@H](C4)OC)O)C)/C)O)OC)C)C)/C)OC
</t>
  </si>
  <si>
    <t>(1R,9S,12S,15R,16E,18R,19R,21R,23S,24E,26E,28E,30S,32S,35R)-32-hydrogenio-1,18-dihydroxy-12-[(2R)-1-[(1S,3R,4R)-4-hydroxy-3-methoxycyclohexyl]propan-2-yl]-19,30-dimethoxy-15,17,21,23,29,35-hexamethyl-11,36-dioxa-4-azatricyclo[30.3.1.0⁴,⁹]hexatriaconta-16,24,26,28-tetraene-2,3,10,14,20-pentone</t>
  </si>
  <si>
    <t>1-A08</t>
  </si>
  <si>
    <t> 53123-88-9</t>
  </si>
  <si>
    <t xml:space="preserve"> Immunosuppressant</t>
  </si>
  <si>
    <t>Inhibits T lymphocyte activation and proliferation that occurs in response to antigenic and cytokine (Interleukin IL-2, IL-4, and IL-15) stimulation by a mechanism that is distinct from that of other immunosuppressants. Sirolimus also inhibits antibody production. In cells, sirolimus binds to the immunophilin, FK Binding Protein-12 (FKBP-12), to generate an immunosuppressive complex. The sirolimus:FKBP-12 complex has no effect on calcineurin activity. This complex binds to and inhibits the activation of the mammalian Target Of Rapamycin (mTOR), a key regulatory kinase. This inhibition suppresses cytokine-driven T-cell proliferation, inhibiting the progression from the G1 to the S phase of the cell cycle.</t>
  </si>
  <si>
    <t xml:space="preserve">Side effects can be severe and include: Lung toxicity (interstitial pneumonitis);  
Cancer development risk (shared with all immunosuppressants; Rapamycin may decrease the body's inherent anticancer activity and allow some cancers which would have been naturally destroyed to proliferate. Patients on immunosuppressive medications have a 10- to 100-fold increased risk of cancer compared to the general population); Diabetic-like symptoms (Rapamycin inhibits mTORC1 protein kinase complex, and this appears to provide most of the beneficial effects of the drug (including life-lengthening in animal studies). Rapamycin also acts on a related complex known as mTORC2. Disruption of mTORC2 produces the diabetic-like symptoms of decreased glucose tolerance and insensitivity to insulin.  
</t>
  </si>
  <si>
    <t>C[C@@H]1CC(=O)[C@]2([C@@H](O1)O[C@@H]3[C@H]([C@@H]([C@@H]([C@@H]([C@H]3O2)NC)O)NC)O)O.O.O.O.O.O.Cl.Cl</t>
  </si>
  <si>
    <t>(1R,3S,5R,8R,10R,11S,12S,13R,14S)-8,12,14-trihydroxy-5-methyl-11,13-bis(methylamino)-2,4,9-trioxatricyclo[8.4.0.0³,⁸]tetradecan-7-one pentahydrate dihydrochloride</t>
  </si>
  <si>
    <t>1-A09</t>
  </si>
  <si>
    <t> 22189-32-8</t>
  </si>
  <si>
    <t>Antibiotic, Antibacterial</t>
  </si>
  <si>
    <t>Interferes with peptidyl tRNA translocation through protein synthesis inhibition.</t>
  </si>
  <si>
    <t>CCCCC1=C(C2=CC=CC=C2O1)C(=O)C3=CC(=C(C(=C3)I)OCCN(CC)CC)I.Cl</t>
  </si>
  <si>
    <t>(2-butyl-1-benzofuran-3-yl)-[4-[2-(diethylamino)ethoxy]-3,5-diiodophenyl]methanone;hydrochloride</t>
  </si>
  <si>
    <t>1-A10</t>
  </si>
  <si>
    <t>19774-82-4</t>
  </si>
  <si>
    <t>Antiarrhythmic</t>
  </si>
  <si>
    <t>alpha and beta adrenergic blocker</t>
  </si>
  <si>
    <t xml:space="preserve">Amiodarone has numerous side effects. Most individuals administered amiodarone on a chronic basis will experience at least one side effect. The most serious reaction that is due to amiodarone is interstitial lung disease. Due to the iodine content of the agent (37.3% by weight), abnormalities in thyroid function are common. Amiodarone is structurally similar to thyroxine (a thyroid hormone), which contributes to the effects of amiodarone on thyroid function. Both hypo- and hyperthyroidism may occur on amiodarone treatment. 
</t>
  </si>
  <si>
    <t>CC1=C(C(C(=C(N1)C)C(=O)OCCN(C)CC2=CC=CC=C2)C3=CC(=CC=C3)[N+](=O)[O-])C(=O)OC.Cl</t>
  </si>
  <si>
    <t>5-O-[2-[benzyl(methyl)amino]ethyl] 3-O-methyl 2,6-dimethyl-4-(3-nitrophenyl)-1,4-dihydropyridine-3,5-dicarboxylate;hydrochloride</t>
  </si>
  <si>
    <t>1-A11</t>
  </si>
  <si>
    <t>54527-84-3</t>
  </si>
  <si>
    <t>Antihypertensive, Vasodilator, Antiarrhythmic</t>
  </si>
  <si>
    <t>Nicardipine inhibits the influx of extracellular calcium across the myocardial and vascular smooth muscle cell membranes by deforming the channel, inhibiting ion-control gating mechanisms, and/or interfering with the release of calcium from the sarcoplasmic reticulum. The decrease in intracellular calcium inhibits the contractile processes of the myocardial smooth muscle cells, causing dilation of the coronary and systemic arteries, increased oxygen delivery to the myocardial tissue, decreased total peripheral resistance, decreased systemic blood pressure, and decreased afterload.</t>
  </si>
  <si>
    <t>Side effects: Cardiovascular (Hypotension, angina (6%); vasodilation (5%); palpitations, tachycardia (4%); CNS (Headache (15%); dizziness (7%); Dermatologic (Flushing (10%); rash, sweating (1%); GI (Nausea/vomiting (5%); dyspepsia, nausea (2%); Miscellaneous
(Pedal edema (8%).</t>
  </si>
  <si>
    <t>C1CN(CCC1N2C3=CC=CC=C3NC2=O)CCCC(C4=CC=C(C=C4)F)C5=CC=C(C=C5)F</t>
  </si>
  <si>
    <t>3-[1-[4,4-bis(4-fluorophenyl)butyl]piperidin-4-yl]-1H-benzimidazol-2-one</t>
  </si>
  <si>
    <t>Pimozide</t>
  </si>
  <si>
    <t>1-B02</t>
  </si>
  <si>
    <t> 2062-78-4</t>
  </si>
  <si>
    <t>Antipsychotic</t>
  </si>
  <si>
    <t xml:space="preserve">The ability of pimozide to suppress motor and phonic tics in Tourette's Disorder is thought to be primarily a function of its dopaminergic blocking activity. Pimozide shows very strong inhibition of dopamine D2 receptor in the CNS; Strong inhibition of: D3, α1-adrenergic, 5-HT2A and moderate inhibition of: D1, D4, α2-adrenergic receptors.
</t>
  </si>
  <si>
    <t xml:space="preserve">Pimozide can have severe, potentially fatal side effects. As with other dopamine antagonists pimozide can cause various extrapyramidal side effects, including tardive dyskinesia and Rabbit syndrome. Neuroleptic malignant syndrome may also occur.
The drug can also cause depression in quite a number of patients, severe enough to result in suicide. Pimozide may rarely cause seizures of the grand-mal-type. 
Particularly disturbing is a relatively high incidence of the long QT syndrome, which may lead to ventricular tachycardia, torsades de pointes and death via ventricular fibrillation. There is also specific information of carcinogenity both in animals and humans. The carcinogenity in animals has been proven and the carcinogenity in man is strongly suspected (breast cancer and probably liver tumors). 
Given to a non-psychotic patient, Pimozide can result in severe disabilities, both mental and physical. Loss of ability to lead a conversation is a common side effect. Due to that specific side effect, patients who have been wrongly given Pimozide cannot explain their need to stop taking the medication. </t>
  </si>
  <si>
    <t>CN(C)C(=O)C(CCN1CCC(CC1)(C2=CC=C(C=C2)Cl)O)(C3=CC=CC=C3)C4=CC=CC=C4.Cl</t>
  </si>
  <si>
    <t>4-[4-(4-chlorophenyl)-4-hydroxypiperidin-1-yl]-N,N-dimethyl-2,2-diphenylbutanamide;hydrochloride</t>
  </si>
  <si>
    <t>1-B03</t>
  </si>
  <si>
    <t>34552-83-5</t>
  </si>
  <si>
    <t>Antidiarrheal</t>
  </si>
  <si>
    <t>Non-selective calcium channel blocker and opioid µ-receptor agonist. Evidence also suggests that at higher concentrations it binds to calmodulin. In vitro and animal studies show that Loperamide acts by slowing intestinal motility and by affecting water and electrolyte movement through the bowel. Loperamide inhibits peristaltic activity by a direct effect on the circular and longitudinal muscles of the intestinal wall.</t>
  </si>
  <si>
    <t>Adverse drug reactions associated with Loperamide include abdominal pain and bloating, nausea, vomiting and constipation. Rare side-effects are paralytic ileus, dizziness and rashes.</t>
  </si>
  <si>
    <t>CCCCNC(=O)NS(=O)(=O)C1=CC=C(C=C1)C</t>
  </si>
  <si>
    <t>1-butyl-3-(4-methylphenyl)sulfonylurea</t>
  </si>
  <si>
    <t>Tolbutamide</t>
  </si>
  <si>
    <t>1-B04</t>
  </si>
  <si>
    <t> 64-77-7</t>
  </si>
  <si>
    <t>Hypoglycemic Agent, Antidiabetic</t>
  </si>
  <si>
    <t>Sulfonylureas lower blood glucose in patients with Non-Insulin dependant diabetis mellitus by directly stimulating the acute release of insulin from functioning beta cells of pancreatic islet tissue by an unknown process that involves a sulfonylurea receptor (receptor 1) on the beta cell. Sulfonylureas inhibit the ATP-potassium channels on the beta cell membrane and potassium efflux, which results in depolarization and calcium influx, calcium-calmodulin binding, kinase activation, and release of insulin-containing granules by exocytosis, an effect similar to that of glucose.</t>
  </si>
  <si>
    <t>Side effects include: Hypoglycemia, Weight gain, Hypersensitivity. Shows serious drug interactions leading to increased hypoglycemia with cimetidine, insulin, salicylates, and sulfonamides. Salicylates displace tolbutamide from its binding site on plasma binding proteins which lead to increase in free tolbutamide concentration and thus hypoglycemic shock.</t>
  </si>
  <si>
    <t>CC1=NC=C(N=C1)C(=O)NCCC2=CC=C(C=C2)S(=O)(=O)NC(=O)NC3CCCCC3</t>
  </si>
  <si>
    <t>N-[2-[4-(cyclohexylcarbamoylsulfamoyl)phenyl]ethyl]-5-methylpyrazine-2-carboxamide</t>
  </si>
  <si>
    <t>Glipizide</t>
  </si>
  <si>
    <t>1-B05</t>
  </si>
  <si>
    <t>29094-61-9</t>
  </si>
  <si>
    <t>Hypoglycemic, Antidiabetic</t>
  </si>
  <si>
    <t>Binds to ATP-sensitive potassium-channel receptors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</si>
  <si>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 xml:space="preserve">Adverse reactions: GI (nausea and diarrhea, 1:70; constipation and gastralgia, 1:100);   Dermatologic (Allergic skin reactions including erythema, morbilliform or maculopapular eruptions, urticaria, pruritus, and eczema, 1:70); Hematologic (Leukopenia, agranulocytosis, thrombocytopenia, hemolytic anemia, aplastic anemia, and pancytopenia);  Miscellaneous (Dizziness, drowsiness, and headache, 1:50) </t>
  </si>
  <si>
    <t>CC1=CC=C(C=C1)N(CC2=NCCN2)C3=CC(=CC=C3)O.Cl</t>
  </si>
  <si>
    <t>3-[N-(4,5-dihydro-1H-imidazol-2-ylmethyl)-4-methylanilino]phenol;hydrochloride</t>
  </si>
  <si>
    <t>1-B06</t>
  </si>
  <si>
    <t>73-05-2</t>
  </si>
  <si>
    <t>Unkown</t>
  </si>
  <si>
    <t>Vasodilator</t>
  </si>
  <si>
    <t>Phentolamine produces its therapeutic actions by competitively blocking alpha-adrenergic receptors (primarily excitatory responses of smooth muscle and exocrine glands), leading to a muscle relaxation and a widening of the blood vessels. This widening of the blood vessels results in a lowering of blood pressure. The action of phentolamine on the alpha adrenergic receptors is relatively transient and the blocking effect is incomplete. The drug is more effective in antagonizing responses to circulating epinephrine and/or norepinephrine than in antagonizing responses to mediator released at the adrenergic nerve ending. Phentolamine also stimulates β-adrenergic receptors and produces a positive inotropic and chronotropic effect on the heart and increases cardiac output.</t>
  </si>
  <si>
    <t>Side effects include: Tachycardia (6%); bradycardia (4%); acute and prolonged hypotensive episodes, cardiac arrhythmias, orthostatic hypotension. Oral pain (less than 10%), Postprocedural pain (10%) and injection-site pain (6%).</t>
  </si>
  <si>
    <t>[H+].COC1=CC2=C(C=CN=C2C=C1)C(C3CC4CCN3CC4C=C)O.O.O.[Cl-]</t>
  </si>
  <si>
    <t>(5-ethenyl-1-azabicyclo[2.2.2]octan-2-yl)-(6-methoxyquinolin-4-yl)methanol;hydron;chloride;dihydrate</t>
  </si>
  <si>
    <t>1-B07</t>
  </si>
  <si>
    <t>6119-47-7</t>
  </si>
  <si>
    <t>Muscle Relaxant and antihypertensive agent</t>
  </si>
  <si>
    <t>As with other quinoline anti-malarial drugs, the mechanism of action of quinine has not been fully resolved. The most widely accepted hypothesis of quinine action is based on the well-studied and closely related quinoline drug, chloroquine. This model involves the inhibition of hemozoin biocrystallization, which facilitates the aggregation of cytotoxic heme. Free cytotoxic heme accumulates in the parasites, leading to their death.</t>
  </si>
  <si>
    <t>Quinine can, in therapeutic doses, cause cinchonism; in rare cases, it may even cause death (usually by pulmonary edema). Quinine can cause paralysis if accidentally injected into a nerve. It is extremely toxic in overdose, and the advice of a poisons specialist should be sought immediately. Quinine in some cases can lead to constipation, erectile dysfunction or diarrhea.</t>
  </si>
  <si>
    <t>CCCNCC(COC1=CC=CC=C1C(=O)CCC2=CC=CC=C2)O.Cl</t>
  </si>
  <si>
    <t>1-[2-[2-hydroxy-3-(propylamino)propoxy]phenyl]-3-phenylpropan-1-one;hydrochloride</t>
  </si>
  <si>
    <t>1-B08</t>
  </si>
  <si>
    <t>34183-22-7</t>
  </si>
  <si>
    <t>Antiarrhythmia agent</t>
  </si>
  <si>
    <t>C1=CC=C(C=C1)C2(C(=O)NC(=O)N2)C3=CC=CC=C3</t>
  </si>
  <si>
    <t>5,5-diphenylimidazolidine-2,4-dione</t>
  </si>
  <si>
    <t>Phenytoin</t>
  </si>
  <si>
    <t>1-B09</t>
  </si>
  <si>
    <t>57-41-0</t>
  </si>
  <si>
    <t xml:space="preserve">Anticonvulsant </t>
  </si>
  <si>
    <t>Phenytoin acts on sodium channels on the neuronal cell membrane, limiting the spread of seizure activity and reducing seizure propagation. By promoting sodium efflux from neurons, phenytoin tends to stabilize the threshold against hyperexcitability caused by excessive stimulation or environmental changes capable of reducing membrane sodium gradient. This includes the reduction of post-tetanic potentiation at synapses. Loss of post-tetanic potentiation prevents cortical seizure foci from detonating adjacent cortical areas.</t>
  </si>
  <si>
    <t xml:space="preserve">Phenytoin is a known teratogen. The syndrome consists of craniofacial anomalies (broad nasal bridge, cleft lip and palate, microcephaly) and a mild form of mental retardation (average IQ=71). It has been suggested that phenytoin causes a reduction in folic acid levels, predisposing patients to megaloblastic anemia. Other side effects may include: agranulocytosis, aplastic anemia, leukopenia, thrombocytopenia. Phenytoin has been known to cause drug-induced lupus and life-threatening skin reactions Stevens–Johnson syndrome (SJS) and toxic epidermal necrolysis (TEN). 
</t>
  </si>
  <si>
    <t>CCN(CC)CCNC(=O)C1=CC=C(C=C1)N.Cl</t>
  </si>
  <si>
    <t>4-amino-N-[2-(diethylamino)ethyl]benzamide;hydrochloride</t>
  </si>
  <si>
    <t>1-B10</t>
  </si>
  <si>
    <t> 614-39-1</t>
  </si>
  <si>
    <t>Procainamide is sodium channel blocker. It stabilizes the neuronal membrane by inhibiting the ionic fluxes required for the initiation and conduction of impulses thereby effecting local anesthetic action.</t>
  </si>
  <si>
    <t>Adverse effects include rash, myalgia, hypersensitivity reactions (fever, agranulocytosis), Drug-Induced Lupus Erythematosus (particularly in slow-acetylators), and proarrhythmic effects (e.g., torsades de pointes). Treatment with procainamide can cause antibody production against cellular components, accounting for the systemic lupus erythematosus-like adverse reactions.</t>
  </si>
  <si>
    <t>1-B11</t>
  </si>
  <si>
    <t>Anesthetic, Antiarrhythmic</t>
  </si>
  <si>
    <t>Sodium channel blocker</t>
  </si>
  <si>
    <t>CC(=O)O.C1CCNC(C1)CNC(=O)C2=C(C=CC(=C2)OCC(F)(F)F)OCC(F)(F)F</t>
  </si>
  <si>
    <t>acetic acid;N-(piperidin-2-ylmethyl)-2,5-bis(2,2,2-trifluoroethoxy)benzamide</t>
  </si>
  <si>
    <t>Flecainide Acetate</t>
  </si>
  <si>
    <t>1-C02</t>
  </si>
  <si>
    <t>54143-56-5</t>
  </si>
  <si>
    <t xml:space="preserve"> Nav1.5 sodium channel blocker</t>
  </si>
  <si>
    <t xml:space="preserve">Results of a Cardiac Arrhythmia Suppression Trial (CAST) demonstrated that patients with structural heart disease (such as a history of MI (heart attack), or left ventricular dysfunction) and also patients with ventricular arrhythmias, have increased risk of suffering a fatal arrhythmia. As with all other antiarrhythmic agents, there is a risk of proarrhythmia associated with the use of flecainide. This risk is probably increased when flecainide is co-administered with other class Ic antiarrhythmics, such as encainide. The risk of proarrhythmia may also be increased by hypokalemia. </t>
  </si>
  <si>
    <t>CN(CCOC1=CC=C(C=C1)CC2C(=O)NC(=O)S2)C3=CC=CC=N3</t>
  </si>
  <si>
    <t>5-[[4-[2-[methyl(pyridin-2-yl)amino]ethoxy]phenyl]methyl]-1,3-thiazolidine-2,4-dione</t>
  </si>
  <si>
    <t xml:space="preserve">Rosiglitazone </t>
  </si>
  <si>
    <t>1-C03</t>
  </si>
  <si>
    <t>122320-73-4</t>
  </si>
  <si>
    <t>Hypoglycemic agent</t>
  </si>
  <si>
    <t>Rosiglitazone is an agonist for peroxisome proliferator activated receptors.  Activation of PPARγ receptors increases insulin sensitivity of targeted tissues.</t>
  </si>
  <si>
    <t>C1C2CC3CC1CC(C2)(C3)N.Cl</t>
  </si>
  <si>
    <t>adamantan-1-amine;hydrochloride</t>
  </si>
  <si>
    <t>Amantadine·HCl</t>
  </si>
  <si>
    <t>1-C04</t>
  </si>
  <si>
    <t> 665-66-7</t>
  </si>
  <si>
    <t>Antiviral/Antiparkinsonian</t>
  </si>
  <si>
    <t>M2 antagonist/dopamine,norepinephrine release</t>
  </si>
  <si>
    <t>Amantadine has been associated with several CNS side effects, likely due to amantadine's dopaminergic and adrenergic activity, and to a lesser extent, its activity as an anticholinergic. CNS side effects include nervousness, anxiety, agitation, insomnia, difficulty in concentrating, and exacerbations of pre-existing seizure disorders and psychiatric symptoms in patients with schizophrenia or Parkinson's disease. 
Rare cases of severe skin rashes such as Stevens Johnson Syndrome and suicidal ideation in patients treated with amantadine have also been reported.</t>
  </si>
  <si>
    <t>COC1=C(C=C2C(=C1)C(=NC(=N2)N3CCN(CC3)C(=O)C4=CC=CO4)N)OC.Cl</t>
  </si>
  <si>
    <t>[4-(4-amino-6,7-dimethoxyquinazolin-2-yl)piperazin-1-yl]-(furan-2-yl)methanone;hydrochloride</t>
  </si>
  <si>
    <t>1-C05</t>
  </si>
  <si>
    <t>19237-84-4</t>
  </si>
  <si>
    <t>Antihypertensive</t>
  </si>
  <si>
    <t>Prazosin acts by inhibiting the postsynaptic α(1)-adrenoceptors on vascular smooth muscle. This inhibits the vasoconstrictor effect of circulating and locally released catecholamines (epinephrine and norepinephrine), resulting in peripheral vasodilation.</t>
  </si>
  <si>
    <t>Side effects of prazosin include orthostatic hypotension, syncope, and nasal congestion. 
One very rare side effect of prazosin is priapism. Another possible side effect is dreaming while awake or hallucinations of wakefulness while falling asleep on the medication (see oneirophrenia).</t>
  </si>
  <si>
    <t>C1CN=C(N1)NC2=C(C=CC=C2Cl)Cl.Cl</t>
  </si>
  <si>
    <t>N-(2,6-dichlorophenyl)-4,5-dihydro-1H-imidazol-2-amine;hydrochloride</t>
  </si>
  <si>
    <t>1-C06</t>
  </si>
  <si>
    <t>4205-91-8</t>
  </si>
  <si>
    <t>Antihypertensive  treatment</t>
  </si>
  <si>
    <t xml:space="preserve">Clonidine treats high blood pressure by stimulating α2 receptors in the brain, which decreases cardiac output and peripheral vascular resistance, lowering blood pressure. It has specificity towards the presynaptic α2 receptors in the vasomotor center in the brainstem. This binding decreases presynaptic calcium levels, and inhibits the release of norepinephrine (NE). The net effect is a decrease in sympathetic tone. It has also been proposed that the antihypertensive effect of clonidine is due to agonism on the I1-receptor (imidazoline receptor), which mediates the sympatho-inhibitory actions of imidazolines to lower blood pressure.
</t>
  </si>
  <si>
    <t xml:space="preserve">This drug may cause lightheadedness, dry mouth, dizziness and constipation. Clonidine may also cause hypotension. Clonidine also has peripheral α agonist activity which can lead to hypertension - especially when it is injected intravenously. This blood pressure increase is sometimes witnessed in cases of overdose in children. As the clonidine is eliminated by the body, the peripheral effects wear off and its basic hypotensive effect becomes evident. Both the hypertensive and hypotensive effects can be harmful.
</t>
  </si>
  <si>
    <t>1-C07</t>
  </si>
  <si>
    <t>α2 adrenergic agonist; antihypertensive</t>
  </si>
  <si>
    <t>C[C@@]1(C(=O)N2[C@H](C(=O)N3CCC[C@H]3[C@@]2(O1)O)CC4=CC=CC=C4)NC(=O)[C@@H]5C[C@H]6[C@@H](CC7=CNC8=CC=CC6=C78)N(C5)C.CS(=O)(=O)O</t>
  </si>
  <si>
    <t>(4R,7R)-N-[(1S,2S,4R,7S)-7-benzyl-2-hydroxy-4-methyl-5,8-dioxo-3-oxa-6,9-diazatricyclo[7.3.0.0²,⁶]dodecan-4-yl]-6-methyl-6,11-diazatetracyclo[7.6.1.0²,⁷.0¹²,¹⁶]hexadeca-1(16),9,12,14-tetraene-4-carboxamide; methanesulfonic acid</t>
  </si>
  <si>
    <t>Dihydroergotamine Mesylate</t>
  </si>
  <si>
    <t>1-C08</t>
  </si>
  <si>
    <t>6190-39-2</t>
  </si>
  <si>
    <t>Antimigraine, Vasoconstrictor, Analgesic</t>
  </si>
  <si>
    <t>Agonist to the 5-HT1D receptors; vasoconstrictor</t>
  </si>
  <si>
    <t>C1[C@H](O[C@H](S1)CO)N2C=C(C(=NC2=O)N)F</t>
  </si>
  <si>
    <t>4-amino-5-fluoro-1-[(2R,5S)-2-(hydroxymethyl)-1,3-oxathiolan-5-yl]pyrimidin-2-one</t>
  </si>
  <si>
    <t>Emtricitabine</t>
  </si>
  <si>
    <t>1-C09</t>
  </si>
  <si>
    <t>143491-57-0</t>
  </si>
  <si>
    <t>Antiviral</t>
  </si>
  <si>
    <t xml:space="preserve"> Nucleoside reverse transcriptase inhibitor (NRTI)</t>
  </si>
  <si>
    <t xml:space="preserve"> Toxicity with emtricitabine is unusual. The most common treatment-related adverse events are diarrhea, headache, nausea, and rash. These symptoms are generally mild to moderate in severity, but they caused 1% of clinical trial patients to give up treatment. Skin discoloration, which is typically reported as hyperpigmentation and usually affects either the palms of the hands or the soles of the feet, is reported in less than 2% of individuals and is almost exclusive to patients of African origin. Among the more severe side effects patients may experience are a hepatotoxicity or a lactic acidosis.</t>
  </si>
  <si>
    <t>CC(C)NCC(COC1=CC=C(C=C1)CCOCC2CC2)O.Cl</t>
  </si>
  <si>
    <t>1-[4-[2-(cyclopropylmethoxy)ethyl]phenoxy]-3-(propan-2-ylamino)propan-2-ol;hydrochloride</t>
  </si>
  <si>
    <t>1-C10</t>
  </si>
  <si>
    <t>63659-19-8</t>
  </si>
  <si>
    <t xml:space="preserve">Antihypertensive </t>
  </si>
  <si>
    <t>Betaxolol selectively blocks catecholamine stimulation of β1-adrenergic receptors in the heart and vascular smooth muscle. This results in a reduction of heart rate, cardiac output, systolic and diastolic blood pressure, and possibly reflex orthostatic hypotension. Betaxolol can also competitively block β2-adrenergic responses in the bronchial and vascular smooth muscles, causing bronchospasm.</t>
  </si>
  <si>
    <t xml:space="preserve">The following adverse reactions have been reported: Ocular discomfort,  Blurred vision, 
Bradycardia, Heart block and Congestive failure, Insomnia, Dizziness, Hives. </t>
  </si>
  <si>
    <t>CN1C=NC2=C1C(=O)N(C(=O)N2C)C</t>
  </si>
  <si>
    <t>1,3,7-trimethylpurine-2,6-dione</t>
  </si>
  <si>
    <t xml:space="preserve">Caffeine </t>
  </si>
  <si>
    <t>1-C11</t>
  </si>
  <si>
    <t>58-08-2</t>
  </si>
  <si>
    <t>Central Nervous System Stimulant, Anorexigenic Agent</t>
  </si>
  <si>
    <t xml:space="preserve">Blocks adenosine A1 and A2A receptors. cAMP phosphodiesterase inhibitor. Interferes with the uptake and storage of Ca2+ by the sarcoplasmic reticulum in skeletal muscle. Prevents apoptosis and cell cycle effects induced by various chemicals. Inhibits cellular DNA repair mechanisms. </t>
  </si>
  <si>
    <t>The symptoms of caffeine intoxication are comparable to the symptoms of overdoses of other stimulants: they may include restlessness, fidgeting, anxiety, excitement, insomnia, flushing of the face, increased urination, gastrointestinal disturbance, muscle twitching, a rambling flow of thought and speech, irritability, irregular or rapid heart beat, and psychomotor agitation. In cases of much larger overdoses, mania, depression, lapses in judgment, disorientation, disinhibition, delusions, hallucinations, or psychosis may occur, and rhabdomyolysis (breakdown of skeletal muscle tissue) can be provoked.</t>
  </si>
  <si>
    <t>CC(C)(C)NC[C@@H](COC1=NSN=C1N2CCOCC2)O.C(=C\C(=O)O)\C(=O)O</t>
  </si>
  <si>
    <t>(Z)-but-2-enedioic acid;(2S)-1-(tert-butylamino)-3-[(4-morpholin-4-yl-1,2,5-thiadiazol-3-yl)oxy]propan-2-ol</t>
  </si>
  <si>
    <t>1-D02</t>
  </si>
  <si>
    <t>26921-17-5</t>
  </si>
  <si>
    <t>Antihypertensive, Anti-Arrhythmia agent</t>
  </si>
  <si>
    <t>Non-selective β-adrenergic receptor blocker. Timolol competes with adrenergic neurotransmitters such as catecholamines for binding at beta(1)-adrenergic receptors in the heart and vascular smooth muscle and beta(2)-receptors in the bronchial and vascular smooth muscle. Beta(1)-receptor blockade results in a decrease in resting and exercise heart rate and cardiac output, a decrease in both systolic and diastolic blood pressure, and, possibly, a reduction in reflex orthostatic hypotension. Beta(2)-blockade results in an increase in peripheral vascular resistance. The exact mechanism whereby timolol reduces ocular pressure is still not known. The most likely action is by decreasing the secretion of aqueous humor.</t>
  </si>
  <si>
    <t>The most serious possible side effects include cardiac arrhythmias and severe bronchospasms. Timolol can also lead to fainting, congestive heart failure, depression, confusion, worsening of Raynaud's syndrome and impotence.</t>
  </si>
  <si>
    <t>CC(C)(C)NCC(C1=CC(=C(C=C1)O)CO)O.CC(C)(C)NCC(C1=CC(=C(C=C1)O)CO)O.OS(=O)(=O)O</t>
  </si>
  <si>
    <t>4-[2-(tert-butylamino)-1-hydroxyethyl]-2-(hydroxymethyl)phenol;sulfuric acid</t>
  </si>
  <si>
    <t>Salbutamol Hemisulfate</t>
  </si>
  <si>
    <t>1-D03</t>
  </si>
  <si>
    <t>51022-70-9</t>
  </si>
  <si>
    <t>Bronchodilator</t>
  </si>
  <si>
    <t>beta-adrenergic agonist</t>
  </si>
  <si>
    <t>The most common side effects are fine tremor, anxiety, headache, muscle cramps, dry mouth, and palpitation. Other symptoms may include tachycardia, arrhythmia, flushing, myocardial ischemia (rare), and disturbances of sleep and behaviour. Rarely occurring, but of importance, are allergic reactions of paradoxical bronchospasm, urticaria, angioedema, hypotension, and collapse. High doses may cause hypokalaemia which are of concern in patients with renal failure and those on certain diuretics and xanthine derivatives.</t>
  </si>
  <si>
    <t>CC(C)NCC(COC1=CC=CC2=C1C=CN2)O</t>
  </si>
  <si>
    <t>1-(1H-indol-4-yloxy)-3-(propan-2-ylamino)propan-2-ol</t>
  </si>
  <si>
    <t>Pindolol</t>
  </si>
  <si>
    <t>1-D04</t>
  </si>
  <si>
    <t>13523-86-9</t>
  </si>
  <si>
    <t>Hypertensive, Vasodilator</t>
  </si>
  <si>
    <t xml:space="preserve">Pindolol non-selectively blocks β1 adrenergic receptors mainly in the heart, inhibiting the effects of epinephrine and norepinephrine resulting in a decrease in heart rate and blood pressure. By binding β2 receptors in the juxtaglomerular apparatus, Pindolol inhibits the production of renin, thereby inhibiting angiotensin II and aldosterone production and therefore inhibits the vasoconstriction and water retention due to angiotensin II and aldosterone, respectively. Pindolol also shows membrane stabilizing effects like quinidine, possibly accounting for its antiarrhythmic effects. It also functions as a 5-HT1A receptor weak partial agonist / antagonist.
</t>
  </si>
  <si>
    <t xml:space="preserve">Most adverse reactions have been mild, edema being the most important. Other side effects include:  Dizziness, Insomnia and Muscle pain. </t>
  </si>
  <si>
    <t>CC(CCC1=CC=C(C=C1)O)NCCC2=CC(=C(C=C2)O)O.Cl</t>
  </si>
  <si>
    <t>4-[2-[4-(4-hydroxyphenyl)butan-2-ylamino]ethyl]benzene-1,2-diol;hydrochloride</t>
  </si>
  <si>
    <t>Dobutamine·HCl</t>
  </si>
  <si>
    <t>1-D05</t>
  </si>
  <si>
    <t>49745-95-1</t>
  </si>
  <si>
    <t xml:space="preserve">Sympathomimetic, Cardiotonic </t>
  </si>
  <si>
    <t>Dobutamine directly stimulates β1 receptors of the heart to increase myocardial contractility and stroke volume, resulting in increased cardiac output.</t>
  </si>
  <si>
    <t>Primary side effects include hypertension, angina, arrhythmia, and tachycardia. 
The most dangerous side effect of dobutamine is increased risk of arrhythmia, including fatal arrhythmias. Studies suggest that while this medication can improve symptoms in chronic CHF, it actually shortens a patient's lifespan.</t>
  </si>
  <si>
    <t>CC(C)NCC(C1=CC=C(C=C1)NS(=O)(=O)C)O.Cl</t>
  </si>
  <si>
    <t>N-[4-[1-hydroxy-2-(propan-2-ylamino)ethyl]phenyl]methanesulfonamide;hydrochloride</t>
  </si>
  <si>
    <t>Sotalol·HCl</t>
  </si>
  <si>
    <t>1-D06</t>
  </si>
  <si>
    <t>959-24-0</t>
  </si>
  <si>
    <t xml:space="preserve">Anti-Arrhythmia </t>
  </si>
  <si>
    <t xml:space="preserve">Sotalol non-selectively binds to both β1- and β2-adrenergic receptors preventing activation of the receptors by their stimulatory ligand. Without the binding of this ligand to the receptor, the G-protein complex associated with the receptor cannot activate production of cyclic AMP, which is responsible for turning on calcium inflow channels. A decrease in activation of calcium channels will therefore result in a decrease in intracellular calcium. In cardiac cells, calcium is important in generating electrical signals for contraction, as well as generating force for contraction.
Sotalol also acts on potassium channels and causes a delay in relaxation of the ventricles. By blocking K channels, sotalol inhibits efflux of K+ ions, which results in an increase in the time before another electrical signal can be generated in ventricular myocytes. This increase in the period before a new signal for contraction is generated, helps to correct arrhythmias by reducing the potential for premature or abnormal contraction of the ventricles but also prolongs the frequency of ventricular contraction to help treat tachycardia.
</t>
  </si>
  <si>
    <t xml:space="preserve">The most important adverse effects are Torsade de Pointes and other serious new ventricular arrhythmias, occurring at rates of almost 4% and 1%, respectively. The most common adverse reactions leading to discontinuation of Sotalol are as follows: fatigue 4%, bradycardia (less than 50 bpm) 3%, dyspnea 3%, proarrhythmia 3%, asthenia 2%, and dizziness 2%. </t>
  </si>
  <si>
    <t>CNCCCC12CCC(C3=CC=CC=C31)C4=CC=CC=C24.Cl</t>
  </si>
  <si>
    <t>methyl({3-[(1r,8r)-8-hydrogeniotetracyclo[6.6.2.0²,⁷.0⁹,¹⁴]hexadeca-2(7),3,5,9(14),10,12-hexaen-1-yl]propyl})amine hydrochloride</t>
  </si>
  <si>
    <t>Maprotiline·HCl</t>
  </si>
  <si>
    <t>1-D07</t>
  </si>
  <si>
    <t> 10347-81-6</t>
  </si>
  <si>
    <t>Antidepressant</t>
  </si>
  <si>
    <t xml:space="preserve">Strong norepinephrine reuptake inhibitor with only weak effects on serotonin and dopamine reuptake. It exerts blocking effects at the following postsynaptic receptors: Strong blocking: H1; Moderate: 5-HT2, α1; and Weak: D2, mACh. 
The pharmacologic profile of Maprotiline explains its antidepressant, sedative, anxiolytic, and sympathomimetic activities. Additionally, it shows a strong antagonism against Reserpine-induced effects in animal studies, as do the other 'classical' antidepressants. </t>
  </si>
  <si>
    <t xml:space="preserve">Most often seen side effects are: Dizziness, drowsiness, fatigue, dry mouth, 
increased appetite and weight gain, orthostatic hypotension, sinus tachycardia, arrhythmias, sexual dysfunction,  allergic skin reactions,  photosensitivity, agitation, confusion, mania in patients suffering from underlying bipolar affective disorder,  aggravation or induction of psychotic symptoms in patients suffering from an underlying psychiatric disorder likely to cause psychosis, seizures (at high doses). 
Rare haematological complications include leukopenia and agranulocytosis. Others: 
Liver damage (rare) and Polyneuritis (very rare). 
</t>
  </si>
  <si>
    <t>CC[C@H]1[C@H](COC1=O)CC2=CN=CN2C.Cl</t>
  </si>
  <si>
    <t>(3S,4R)-3-ethyl-4-[(3-methylimidazol-4-yl)methyl]oxolan-2-one;hydrochloride</t>
  </si>
  <si>
    <t>1-D08</t>
  </si>
  <si>
    <t> 54-71-7</t>
  </si>
  <si>
    <t xml:space="preserve"> Anti-glaucoma and xerostomia treatment</t>
  </si>
  <si>
    <t>Pilocarpine is a cholinergic parasympathomimetic agent. It increase secretion by the exocrine glands, and produces contraction of the iris sphincter muscle and ciliary muscle (when given topically to the eyes) by mainly stimulating muscarinic receptors.</t>
  </si>
  <si>
    <t>Use of pilocarpine may result in a range of adverse effects, most of them related to its non-selective action as a muscarinic receptor agonist. Pilocarpine has been known to cause excessive sweating, excessive salivation, bronchospasm, increased bronchial mucus secretion, bradycardia, vasodilation, brow ache (when used as eye drops) and diarrhea. It can also result in miosis when used chronically as an eye drop. Systemic injection of pilocarpine can compromise the blood-brain barrier allowing pilocarpine to gain access to the brain. This can lead to chronic epilepsy.</t>
  </si>
  <si>
    <t>CC(C)[N+]1(C2CCC1CC(C2)OC(=O)C(CO)C3=CC=CC=C3)C.[Br-]</t>
  </si>
  <si>
    <t>(8-methyl-8-propan-2-yl-8-azoniabicyclo[3.2.1]octan-3-yl) 3-hydroxy-2-phenylpropanoate;bromide</t>
  </si>
  <si>
    <t>1-D09</t>
  </si>
  <si>
    <t> 22254-24-6</t>
  </si>
  <si>
    <t>Bronchodilator, Antispasmodic</t>
  </si>
  <si>
    <t>Anticholinergic agent. It blocks muscarinic cholinergic receptors, without specificity for subtypes, resulting in a decrease in the formation of cyclic guanosine monophosphate (cGMP). Most likely due to actions of cGMP on intracellular calcium, this results in decreased contractility of smooth muscle.</t>
  </si>
  <si>
    <t>Dry mouth and sedation have been reported as side effects. Also, skin flushing, tachycardia, acute angle-closure glaucoma, nausea, palpitations and headache have been observed.</t>
  </si>
  <si>
    <t>CCN(CC1=CC=NC=C1)C(=O)C(CO)C2=CC=CC=C2</t>
  </si>
  <si>
    <t>N-ethyl-3-hydroxy-2-phenyl-N-(pyridin-4-ylmethyl)propanamide</t>
  </si>
  <si>
    <t>Tropicamide</t>
  </si>
  <si>
    <t>1-D10</t>
  </si>
  <si>
    <t>1508-75-4</t>
  </si>
  <si>
    <t xml:space="preserve"> Anticholinergic, Mydriatic</t>
  </si>
  <si>
    <t>Anticholinergic agent that blocks the responses of the sphincter muscle of the iris and the accommodative muscle of the ciliary body to stimulation by acetylcholine.</t>
  </si>
  <si>
    <t>Tropicamide induces transient stinging and a slight and transient rise in intraocular pressure in the majority of patients. It may cause redness or conjunctivitis (inflammation) and also blurs vision for a short while after instillation.  Tropicamide may, in very rare cases, cause an attack of acute angle-closure glaucoma. 
Systemic side effects are very rare.</t>
  </si>
  <si>
    <t>CC(=O)O[C@H]1C[C@@H]2CC[C@@H]3[C@@H]([C@]2(C[C@@H]1[N+]4(CCCCC4)C)C)CC[C@]5([C@H]3C[C@@H]([C@@H]5OC(=O)C)[N+]6(CCCCC6)C)C.[Br-].[Br-]</t>
  </si>
  <si>
    <t>[(2S,3S,5S,8R,9S,10S,13S,14S,16S,17R)-17-acetyloxy-10,13-dimethyl-2,16-bis(1-methylpiperidin-1-ium-1-yl)-2,3,4,5,6,7,8,9,11,12,14,15,16,17-tetradecahydro-1H-cyclopenta[a]phenanthren-3-yl] acetate;dibromide</t>
  </si>
  <si>
    <t>1-D11</t>
  </si>
  <si>
    <t>15500-66-0</t>
  </si>
  <si>
    <t xml:space="preserve"> Muscle relaxant, Neuromuscular Nondepolarizing Agent</t>
  </si>
  <si>
    <t>Nondepolarizing neuromuscular blocking agents inhibit neuromuscular transmission by competing with acetylcholine for the cholinergic receptors of the motor end plate, thereby reducing the response of the end plate to acetylcholine. This type of neuromuscular block is usually antagonized by anticholinesterase agents.</t>
  </si>
  <si>
    <t>Side-effects include moderately raised heart rate and thereby arterial pressure and cardiac output, excessive salivation, apnea and respiratory depression, rashes, flushing, and sweating. The muscular relaxation can be dangerous in the seriously ill and it can accumulate leading to extended weakness. Pancuronium is not preferable in long-term use in ICU-ventilated patients.</t>
  </si>
  <si>
    <t xml:space="preserve">CC[C@H](C)[C@@H]1[C@H](CC[C@@]2(O1)C[C@@H]3C[C@H](O2)C/C=C(/[C@H]([C@H](/C=C/C=C/4\CO[C@H]5[C@@]4([C@@H](C=C([C@H]5O)C)C(=O)O3)O)C)O[C@H]6C[C@@H]([C@H]([C@@H](O6)C)O[C@H]7C[C@@H]([C@H]([C@@H](O7)C)O)OC)OC)\C)C
</t>
  </si>
  <si>
    <t>(1'R,2R,4'S,5S,6R,8'R,10'E,12'S,13'S,14'E,16'E,20'R,21'R,24'S)-6-[(2S)-butan-2-yl]-21',24'-dihydroxy-12'-{[(2R,4S,5S,6S)-5-{[(2S,4S,5S,6S)-5-hydroxy-4-methoxy-6-methyloxan-2-yl]oxy}-4-methoxy-6-methyloxan-2-yl]oxy}-5,11',13',22'-tetramethyl-3',7',19'-trioxaspiro[oxane-2,6'-tetracyclo[15.6.1.1⁴,⁸.0²⁰,²⁴]pentacosane]-10',14',16',22'-tetraen-2'-one</t>
  </si>
  <si>
    <t>Ivermectin</t>
  </si>
  <si>
    <t>1-E02</t>
  </si>
  <si>
    <t>70288-86-7</t>
  </si>
  <si>
    <t xml:space="preserve">Anthelmintic, Antiprotozoal, Antinematodal </t>
  </si>
  <si>
    <t>Ivermectin binds selectively and with high affinity to glutamate-gated chloride ion channels in invertebrate muscle and nerve cells of the microfilaria. This binding causes an increase in the permeability of the cell membrane to chloride ions and results in hyperpolarization of the cell, leading to paralysis and death of the parasite. Ivermectin also is believed to act as an agonist of the neurotransmitter gamma-aminobutyric acid (GABA), thereby disrupting GABA-mediated central nervous system (CNS) neurosynaptic transmission. Ivermectin may also impair normal intrauterine development of O. volvulus microfilariae and may inhibit their release from the uteri of gravid female worms.</t>
  </si>
  <si>
    <t>The main concern is neurotoxicity, which in most mammalian species may manifest as central nervous system depression, and consequent ataxia, as might be expected from potentiation of inhibitory GABA-ergic synapses. Dogs with defects in the P-glycoprotein gene can be severely poisoned by ivermectin.</t>
  </si>
  <si>
    <t>C1CN(CCC1(C2=CC=C(C=C2)Cl)O)CCCC(=O)C3=CC=C(C=C3)F</t>
  </si>
  <si>
    <t>4-[4-(4-chlorophenyl)-4-hydroxypiperidin-1-yl]-1-(4-fluorophenyl)butan-1-one</t>
  </si>
  <si>
    <t xml:space="preserve">Haloperidol </t>
  </si>
  <si>
    <t>1-E03</t>
  </si>
  <si>
    <t>52-86-8</t>
  </si>
  <si>
    <t>Antipsychotic, Schizophrenia treatment</t>
  </si>
  <si>
    <t>The precise mechanism whereby the therapeutic effects of haloperidol are produced is not known, but the drug appears to depress the CNS at the subcortical level of the brain, midbrain, and brain stem reticular formation. The drug may antagonize the actions of glutamic acid within the extrapyramidal system, and inhibition of catecholamine receptors may also contribute to haloperidol's mechanism of action. Haloperidol may also inhibit the reuptake of various neurotransmitters in the midbrain, and appears to have a strong central antidopaminergic and weak central anticholinergic activity. The drug produces catalepsy and inhibits spontaneous motor activity and conditioned avoidance behaviours in animals. The exact mechanism of antiemetic action of haloperidol has also not been fully determined, but the drug has been shown to directly affect the chemoreceptor trigger zone (CTZ) through the blocking of dopamine receptors in the CTZ.</t>
  </si>
  <si>
    <t xml:space="preserve">Haloperidol is noted for its strong early and late extrapyramidal side effects. 
The risk of the facial disfiguring tardive dyskinesia is around 4% per year in younger patients. Other side effects include dry mouth, lethargy, restlessness of akathisia, muscle-stiffness, muscle-cramping, restlessness, tremors, Rabbit syndrome, and weight-gain. Depression, severe enough to result in suicide, is quite often seen during long-term treatment. Symptoms of dystonia, prolonged abnormal contractions of muscle groups, may occur in susceptible individuals during the first few days of treatment. The potentially fatal neuroleptic malignant syndrome (NMS) is a significant possible side effect. Haloperidol and fluphenazine are the two drugs that cause NMS most often. NMS involves fever and other symptoms. 
QT prolongation with sudden death is a rarely seen but clinically significant side-effect. Likewise, the development of thromboembolic complications are also seen.
Haloperidol has been shown to dramatically increase dopamine activity, up to 98%, in test subjects after two weeks on a "moderate to high" dose compared to chronic schizophrenics. The long term effect of this is unknown, but the first study concludes that this upregulation is positively associated with severe dyskinesias (more upregulation, more dyskinesia).
Some research studies have suggested effects of haloperidol on brain tissue. In a 2005 placebo-compared study of six macaques receiving haloperidol for up to 27 months, a significant brain volume change of about 10% and weight decreases were detected.[25] In later studies (2008) of the stored samples, the previously reported changes were attributed primarily to astrocyte and oligodendrocyte loss, with the neuron loss at about 5%, which was not statistically significant.[26] A study in 2011 of rats given haloperidol in doses comparable to clinical use for 8 weeks found a reduction in brain cortex volume of 10–12%.[27]
In other studies, the use of potent antipsychotics has been associated with cognitive decline and permanent brain damage.[
</t>
  </si>
  <si>
    <t>CC1=C(N=CN1)CSCCNC(=NC)NC#N</t>
  </si>
  <si>
    <t>1-cyano-2-methyl-3-[2-[(5-methyl-1H-imidazol-4-yl)methylsulfanyl]ethyl]guanidine</t>
  </si>
  <si>
    <t>Cimetidine</t>
  </si>
  <si>
    <t>1-E04</t>
  </si>
  <si>
    <t>51481-61-9</t>
  </si>
  <si>
    <t xml:space="preserve">Anti-Ulcer </t>
  </si>
  <si>
    <t xml:space="preserve">Cimetidine binds to an H2-receptor located on the basolateral membrane of the gastric parietal cell, blocking histamine effects. This competitive inhibition results in reduced gastric acid secretion and a reduction in gastric volume and acidity. Cimetidine is a potent inhibitor of tubular creatinine secretion. Creatinine is a metabolic byproduct of creatinine breakdown. Accumulation of creatinine is associated with uremia. The symptoms of puts creatinine accumulation are unknown, as they are hard to separate from other nitrogenous waste buildups. Cimetidine is a known inhibitor of many isozymes of the cytochrome P450 enzyme system (specifically CYP1A2, CYP2C9, CYP2C19, CYP2D6, CYP2E1, and CYP3A4). This inhibition forms the basis of the numerous drug interactions that occur between cimetidine and other drugs. </t>
  </si>
  <si>
    <t xml:space="preserve">Cimetidine is a known inhibitor of many isozymes of the cytochrome P450 enzyme system (specifically CYP1A2, CYP2C9, CYP2C19, CYP2D6, CYP2E1, and CYP3A4). This inhibition forms the basis of the numerous drug interactions that occur between cimetidine and other drugs. For example, cimetidine may decrease metabolism of some drugs, such as those used in hormonal contraception. Cimetidine interferes with metabolism of the hormone estrogen, enhancing estrogen activity. 
The development of longer-acting H2-receptor antagonists with reduced adverse effects, such as ranitidine, proved to be the downfall of cimetidine and, though it is still used, it is no longer among the more widely used H2-receptor antagonists. Side effects can include dizziness, and more rarely, headache.
</t>
  </si>
  <si>
    <t>C1=CC=C2C(=C1)C(=NO2)CS(=O)(=O)N</t>
  </si>
  <si>
    <t>1,2-benzoxazol-3-ylmethanesulfonamide</t>
  </si>
  <si>
    <t>Zonisamide</t>
  </si>
  <si>
    <t>1-E05</t>
  </si>
  <si>
    <t>68291-97-4</t>
  </si>
  <si>
    <t>Anti-epileptic agent</t>
  </si>
  <si>
    <t>The exact mechanism of action is not known. According to Leppik, while zonisamide may be a carbonic anhydrase inhibitor like acetazolamide, this is not one of the primary mechanisms of action, which might be blocking repetitive firing of voltage-gated sodium channels and reduction of T-type calcium channel currents, or by binding allosterically to GABA receptors like the benzodiazepines and muscimol, or increasing the levels of the glutamate transport protein in the brain while decreasing the amount of GABA transport protein, in other words, inhibiting the uptake of the inhibitory neurotransmitter GABA while enhancing the uptake of the excitatory neurotransmitter glutamate.</t>
  </si>
  <si>
    <t xml:space="preserve">The most common side effects include drowsiness, loss of appetite, dizziness, headache, nausea, and agitation/irritability. Zonisamide has also been associated with hypohidrosis.
On February 23, 2009 the U.S. Food and Drug Administration (FDA) issued a warning that zonisamide can cause metabolic acidosis in some patients. It is now recommended that serum bicarbonate levels are assessed before starting treatment and periodically during treatment with zonisamide, even in the absence of symptoms.
On December 16, 2010, the Medicaid Fraud Control Units of South Dakota, Wisconsin, Missouri, along with the U.S. Department of Health and Human Services Office of Inspector General and other states, entered into multi-million dollar corporate integrity agreements with Elan Pharmaceutical Inc. (EPI) and Eisai Inc. for filing false claims to Medicaid for the drug, Zonegran, a brand name for Zonisamide. Under the United States Food, Drug and Cosmetic Act, EPI was criminally fined $203 million and Eisai was civilly fined $11 million for misbranding Zonegran for improper promotional activities. Elan illegally marketed Zonegran to low-income and foster children for treatment of neuropathic pain, obesity, headaches and a variety of psychiatric conditions. The case is United States ex rel. Lee Chartock v. Elan Corp., 04-cv-11594, U.S. District Court, District of Massachusetts (Boston) under the False Claims Act.
</t>
  </si>
  <si>
    <t>C1=CN(C=N1)CC(O)(P(=O)(O)O)P(=O)(O)O.O</t>
  </si>
  <si>
    <t>(1-hydroxy-2-imidazol-1-yl-1-phosphonoethyl)phosphonic acid;hydrate</t>
  </si>
  <si>
    <t>1-E06</t>
  </si>
  <si>
    <t>165800-06-6</t>
  </si>
  <si>
    <t>Bone conservation agent</t>
  </si>
  <si>
    <t xml:space="preserve">Zoledronic acid is a bisphosphonate and an inhibitor of farnesyl diphosphate (FPP) synthase,  resulting in a reduction of osteoclast activity and reduced bone resorption and turnover. </t>
  </si>
  <si>
    <t>C1CC1CN2CC[C@]34[C@@H]5C(=O)CC[C@]3([C@H]2CC6=C4C(=C(C=C6)O)O5)O.Cl</t>
  </si>
  <si>
    <t>(4R,4aS,7aR,12bS)-3-(cyclopropylmethyl)-4a,9-dihydroxy-2,4,5,6,7a,13-hexahydro-1H-4,12-methanobenzofuro[3,2-e]isoquinoline-7-one;hydrochloride</t>
  </si>
  <si>
    <t>Naltrexone·HCl</t>
  </si>
  <si>
    <t>1-E07</t>
  </si>
  <si>
    <t>16676-29-2</t>
  </si>
  <si>
    <t>Narcotic antagonist used for treatment of heroin and alcohol addiction</t>
  </si>
  <si>
    <t>Naltrexone and its active metabolite 6-β-naltrexol are competitive antagonists at μ- and κ-opioid receptors, and to a lesser extent at δ-opioid receptors.  The blockade of opioid receptors is the basis behind its action in the management of opioid dependence—it reversibly blocks or attenuates the effects of opioids.
Its use in alcohol (ethanol) dependence is not fully understood, but it is likely to be due to the modulation of the dopaminergicmesolimbic pathway which is hypothesized to be a major center of the reward associated with addiction (being one of the primary centers for risk-reward analysis in the brain, and a tertiary "pleasure center") that all major drugs of abuse are believed to activate.</t>
  </si>
  <si>
    <t xml:space="preserve">The most common side effects reported with naltrexone are non-specific gastrointestinal complaints such as diarrhea and abdominal cramping. 
Naltrexone has been reported to cause liver damage (when given at doses higher than recommended). It carries an FDA boxed warning for this potential rare side effect. </t>
  </si>
  <si>
    <t>CN(C)CCC1=CNC2=C1C=C(C=C2)C[C@H]3COC(=O)N3</t>
  </si>
  <si>
    <t>(4S)-4-[[3-[2-(dimethylamino)ethyl]-1H-indol-5-yl]methyl]-1,3-oxazolidin-2-one</t>
  </si>
  <si>
    <t>Zolmitriptan</t>
  </si>
  <si>
    <t>1-E08</t>
  </si>
  <si>
    <t>139264-17-8</t>
  </si>
  <si>
    <t>Antimigrane (acute migranes treatment)</t>
  </si>
  <si>
    <t>Selective serotonin receptor agonist of the 1B and 1D subtypes</t>
  </si>
  <si>
    <t>Rarely, serious cardiac events, including myocardial infarction, have been associated with zolmitriptan. Reported minor adverse reactions include: hypesthesia, paresthesia (all types), warm and cold sensations, chest pain, throat and jaw tightness, dry mouth, dyspepsia, dysphagia, nausea, somnolence, vertigo, asthenia, myalgia, myasthenia and sweating.</t>
  </si>
  <si>
    <t>CC12CC3CC(C1)(CC(C3)(C2)N)C.Cl</t>
  </si>
  <si>
    <t xml:space="preserve">3,5-dimethyladamantan-1-amine;hydrochloride
</t>
  </si>
  <si>
    <t>1-E09</t>
  </si>
  <si>
    <t> 41100-52-1</t>
  </si>
  <si>
    <t>Antiparkinson, Antidyskinetic Agent</t>
  </si>
  <si>
    <t>Low-affinity NMDA glutamate receptor antagonist</t>
  </si>
  <si>
    <t>C1=CC2=C(C=C1OC(F)(F)F)SC(=N2)N.Cl</t>
  </si>
  <si>
    <t>6-(trifluoromethoxy)-1,3-benzothiazol-2-amine;hydrochloride</t>
  </si>
  <si>
    <t>Riluzole·HCl</t>
  </si>
  <si>
    <t>1-E10</t>
  </si>
  <si>
    <t>Anticonvulsant, Neuroprotective</t>
  </si>
  <si>
    <t>The mode of action of riluzole is unknown. Its pharmacological properties include the following, some of which may be related to its effect: 1) an inhibitory effect on glutamate release (activation of glutamate reuptake), 2) inactivation of voltage-dependent sodium channels (it preferentially blocks TTX-sensitive sodium channels, which are associated with damaged neurons), and 3) ability to interfere with intracellular events that follow transmitter binding at excitatory amino acid receptors.</t>
  </si>
  <si>
    <t>Approximately 10% of patients experience side effects such as nausea and fatigue which lead them to discontinue treatment. Safety monitoring includes regular liver function tests and people with liver disease such as hepatitis should be monitored especially carefully.</t>
  </si>
  <si>
    <t>CC(C)C1=C(C(=CC=C1)C(C)C)O</t>
  </si>
  <si>
    <t>2,6-di(propan-2-yl)phenol</t>
  </si>
  <si>
    <t>Propofol</t>
  </si>
  <si>
    <t>1-E11</t>
  </si>
  <si>
    <t>2078-54-8</t>
  </si>
  <si>
    <t>Anaesthetic</t>
  </si>
  <si>
    <t>Propofol has been proposed to have several mechanisms of action, both through potentiation of GABAA receptor activity, thereby slowing the channel-closing time, and also acting as a sodium channel blocker. Recent research has also suggested that the endocannabinoid system may contribute significantly to propofol's anesthetic action and to its unique properties.</t>
  </si>
  <si>
    <t>Aside from low blood pressure related to vasodilation, and transient apnea following induction doses, one of propofol's most frequent side effects is pain on injection, especially in smaller veins. This pain can be mitigated by pretreatment with lidocaine. Patients show great variability in their response to propofol, at times showing profound sedation with small doses. A more serious but rare side effect is dystonia. Mild myoclonic movements are common, as with other intravenous hypnotic agents. 
Propofol has reportedly induced priapism in some individuals.</t>
  </si>
  <si>
    <t>CN1C2=C(C(=O)N(C1=O)C)NC=N2.CN1C2=C(C(=O)N(C1=O)C)NC=N2.C(CN)N</t>
  </si>
  <si>
    <t>1,3-dimethyl-7H-purine-2,6-dione;ethane-1,2-diamine</t>
  </si>
  <si>
    <t xml:space="preserve">Aminophylline </t>
  </si>
  <si>
    <t>1-F02</t>
  </si>
  <si>
    <t>317-34-0</t>
  </si>
  <si>
    <t>Phosphodiesterase Inhibitor</t>
  </si>
  <si>
    <t>Aminophylline has only been tested in cardiac arrest that does not result secondary to trauma or hypothermia. Aminophylline has been found to decrease the sedative effects of propofol and decrease topiramate antiseizure action.</t>
  </si>
  <si>
    <t>CC(C)C1CCC(CC1)C(=O)N[C@H](CC2=CC=CC=C2)C(=O)O</t>
  </si>
  <si>
    <t xml:space="preserve">(2R)-3-phenyl-2-[(4-propan-2-ylcyclohexanecarbonyl)amino]propanoic acid
</t>
  </si>
  <si>
    <t>Nateglinide</t>
  </si>
  <si>
    <t>1-F03</t>
  </si>
  <si>
    <t>105816-04-4</t>
  </si>
  <si>
    <t>Antidiabetic (treatment of type 2 diabetes)</t>
  </si>
  <si>
    <t xml:space="preserve">Belongs to the meglitinide class of blood glucose-lowering drugs. Lowers blood glucose by stimulating the release of insulin from the pancreas. It achieves this by closing ATP-dependent potassium channels in the membrane of the β cells. This depolarizes the β cells and causes voltage-gated calcium channels to open. The resulting calcium influx induces fusion of insulin-containing vesicles with the cell membrane, and insulin secretion occurs.
</t>
  </si>
  <si>
    <t xml:space="preserve">Hypoglycemia is relatively uncommon. Side effects typically include sweating, trembling, dizziness, increased appetite, palpitations, nausea, fatigue, weakness, 
gastrointestinal symptoms, especially diarrhea and nausea.
</t>
  </si>
  <si>
    <t>CC(C)NCC(C1=CC(=C(C=C1)O)O)O.Cl</t>
  </si>
  <si>
    <t>4-[1-hydroxy-2-(propan-2-ylamino)ethyl]benzene-1,2-diol;hydrochloride</t>
  </si>
  <si>
    <t xml:space="preserve">(±) Isoproterenol·HCl </t>
  </si>
  <si>
    <t>1-F04</t>
  </si>
  <si>
    <t>51-30-9</t>
  </si>
  <si>
    <t xml:space="preserve">Bronchodilator </t>
  </si>
  <si>
    <t xml:space="preserve"> β1- and β2-Adrenoreceptor agonist which was commonly used to treat asthma before the more widespread use of albuterol, which has more selective effects on the airways. Isoprenaline's effects on the cardiovascular system (non-selective) relate to its actions on cardiac β1 receptors and β2 receptors on skeletal muscle arterioles. Isoprenaline has positive inotropic and chronotropic effects on the heart. In skeletal muscle arterioles it produces vasodilatation. Its inotropic and chronotropic effects elevate systolic blood pressure, while its vasodilatory effects tend to lower diastolic blood pressure. The adverse effects of isoprenaline are also related to the drug's cardiovascular effects. Isoprenaline can produce an elevated heart rate (tachycardia), which predisposes patients to cardiac dysrhythmias.
</t>
  </si>
  <si>
    <t>Isoprenaline should not be administered to patients with myocardial ischemia. 
According to Code of Federal Regulations (CFR) Title 21 Section 201.305, use of isoprenaline has been regulated by mandating the inclusion of the following warning label: "Occasional patients have been reported to develop severe paradoxical airway resistance with repeated, excessive use of isoprenaline inhalation preparations. The cause of this refractory state is unknown. It is advisable that in such instances the use of this preparation be discontinued immediately and alternative therapy instituted, since in the reported cases the patients did not respond to other forms of therapy until the drug was withdrawn. Deaths have been reported following excessive use of isoprenaline inhalation preparations and the exact cause is unknown. Cardiac arrest was noted in several instances"</t>
  </si>
  <si>
    <t>CC(=O)OCC[N+](C)(C)C.[Cl-]</t>
  </si>
  <si>
    <t>[2-(acetyloxy)ethyl]trimethylazanium chloride</t>
  </si>
  <si>
    <t>Acetylcholine Chloride</t>
  </si>
  <si>
    <t>1-F05</t>
  </si>
  <si>
    <t>60-31-1</t>
  </si>
  <si>
    <t>Cholinergic</t>
  </si>
  <si>
    <t xml:space="preserve">Infrequent cases of corneal edema, corneal clouding, and corneal decompensation have been reported with the use of intraocular acetylcholine. Adverse reactions have been reported rarely which are indicative of systemic absorption. These include bradycardia, hypotension, flushing, breathing difficulties and sweating.
</t>
  </si>
  <si>
    <t>CN1[C@@H]2CC[C@H]1CC(C2)OC(=O)C(CO)C3=CC=CC=C3.CN1[C@@H]2CC[C@H]1CC(C2)OC(=O)C(CO)C3=CC=CC=C3.O.OS(=O)(=O)O</t>
  </si>
  <si>
    <t>[(1R,5S)-8-methyl-8-azabicyclo[3.2.1]octan-3-yl] 3-hydroxy-2-phenylpropanoate;sulfuric acid;hydrate</t>
  </si>
  <si>
    <t>Atropine Sulfate Monohydrate</t>
  </si>
  <si>
    <t>1-F06</t>
  </si>
  <si>
    <t>5908-99-6</t>
  </si>
  <si>
    <t>Antispasmodic agent</t>
  </si>
  <si>
    <t>Inhibits muscarinic acetylcholine receptors.</t>
  </si>
  <si>
    <t>1-F07</t>
  </si>
  <si>
    <t xml:space="preserve">Non selective dopamine agonist and anti -Parkinsonian </t>
  </si>
  <si>
    <t>Dopaminergic agonist; causes nausea and emesis.</t>
  </si>
  <si>
    <t>CN(C)CCCN1C2=CC=CC=C2SC3=C1C=C(C=C3)Cl.Cl</t>
  </si>
  <si>
    <t>3-(2-chlorophenothiazin-10-yl)-N,N-dimethylpropan-1-amine;hydrochloride</t>
  </si>
  <si>
    <t>1-F08</t>
  </si>
  <si>
    <t>69-09-0</t>
  </si>
  <si>
    <t xml:space="preserve">Chlorpromazine acts as an antagonist on different postsysnaptic receptors - dopaminergic-receptors (subtypes D1, D2, D3 and D4), serotonergic-receptors (5-HT1 and 5-HT2, with anxiolytic, antidepressive and antiaggressive properties as well as an attenuation of extrapypramidal side-effects, but also leading to weight gain, fall in blood pressure, sedation and ejaculation difficulties), histaminergic-receptors (H1-receptors, sedation, antiemesis, vertigo, fall in blood pressure and weight gain), alpha1/alpha2-receptors (antisympathomimetic properties, lowering of blood pressure, reflex tachycardia, vertigo, sedation, hypersalivation and incontinence as well as sexual dysfunction) and finally on muscarinic (cholinergic) M1/M2-receptors (causing anticholinergic symptoms like dry mouth, blurred vision, obstipation, difficulty/inability to urinate, sinus tachycardia, ECG-changes and loss of memory). Additionally, Chlorpromazine is a weak presynaptic inhibitor of Dopamine reuptake. </t>
  </si>
  <si>
    <t xml:space="preserve">The main side effects of chlorpromazine are due to its anticholinergic properties and include: sedation, slurred speech, dry mouth, constipation, urinary retention and possible lowering of seizure threshold. Appetite may be increased with resultant weight gain, and glucose tolerance may be impaired. Lowering blood pressure with accompanying dizziness, memory loss and amnesia has also been reported. Dermatological reactions are frequently observed (hypersensitivity reaction, contact dermatitis, and photosensitivity). Also causes hyperprolactinaemia leading to amenorrhea, cessation of normal cyclic ovarian function, loss of libido, occasional hirsutism, false positive pregnancy tests, and long-term risk of osteoporosis in women and gynaecomastia, lactation, impotence, loss of libido, and hypospermatogenesis in men. Even therapeutically low doses may trigger seizures in susceptible patients. A particularly severe side effect is neuroleptic malignant syndrome, which can be fatal. Research confirms a significant risk of blindness from continued use of chlorpromazine, as well as other optological defects such as color blindness and benign pigmentation of the cornea. Cardiac arrhythmia and apparent sudden death have been associated with therapeutic doses of chlorpromazine, however they are rare cases. Supraventricular tachycardia may also develop. Patients on chlorpromazine therapy exhibit abnormalities on the electrocardiographic T and U waves. These major cardiac arrhythmias that are lethal are a potential hazard even in patients without heart disease who are receiving therapeutic doses of antipsychotic drugs. </t>
  </si>
  <si>
    <t>C1CN(CCN1CCCN2C3=CC=CC=C3SC4=C2C=C(C=C4)C(F)(F)F)CCO.Cl.Cl</t>
  </si>
  <si>
    <t>2-[4-[3-[2-(trifluoromethyl)phenothiazin-10-yl]propyl]piperazin-1-yl]ethanol;dihydrochloride</t>
  </si>
  <si>
    <t>1-F09</t>
  </si>
  <si>
    <t>146-56-5</t>
  </si>
  <si>
    <t>Fluphenazine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</si>
  <si>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Notable side effects include akathisia, tardive dyskinesia and Rabbit syndrome. 
Sedative, allergic-toxic and anticholinergic/sympatholytic side effects are less likely to occur.  Neuroleptic malignant syndrome, although rare, is a potentially lethal side effect of all antipsychotics.</t>
  </si>
  <si>
    <t>CC1=C(C(=O)N2CCCCC2=N1)CCN3CCC(CC3)C4=NOC5=C4C=CC(=C5)F</t>
  </si>
  <si>
    <t>3-[2-[4-(6-fluoro-1,2-benzoxazol-3-yl)piperidin-1-yl]ethyl]-2-methyl-6,7,8,9-tetrahydropyrido[1,2-a]pyrimidin-4-one</t>
  </si>
  <si>
    <t>Risperidone</t>
  </si>
  <si>
    <t>1-F10</t>
  </si>
  <si>
    <t>106266-06-2</t>
  </si>
  <si>
    <t>Risperidone has high affinity for the D2 receptor.  It acts at several 5-HT (serotonin) receptor subtypes. These are 5-HT2C, linked to weight gain, 5-HT2A, linked to its antipsychotic action and relief of some of the extrapyramidal side effects experienced with the typical neuroleptics. Blockade of dopaminergic D2 receptors in the limbic system alleviates  symptoms of schizophrenia such as hallucinations, delusions, and erratic behavior and speech. Blockade of serotonergic 5-HT2 receptors in the mesocortical tract, causes an excess of dopamine and an increase in dopamine transmission, resulting in an increase in dopamine transmission and an elimination of core negative symptoms. Dopamine receptors in the nigrostriatal pathway are not affected by risperidone and extrapyramidal effects are avoided. Like other 5-HT2 antagonists, risperidone also binds at α1-adrenergic receptors and, to a lesser extent, at histamine H1 and alpha(2)-adrenergic receptors.</t>
  </si>
  <si>
    <t xml:space="preserve">Risperidone has been associated with weight gain. Other common side effects include akathisia, sedation, dysphoria, insomnia, sexual dysfunction, low blood pressure, high blood pressure, muscle stiffness, muscle pain, tremors, hypersalivation, constipation, and stuffy nose. In addition, risperidone treatment can cause photosensitivity, and patients should be warned to avoid prolonged exposure to the sun or to use effective sunscreen (SPF 15+). Other skin conditions have also been reported, including rash, xerosis (dry skin), acne vulgaris, alopecia (hair loss), and seborrhea. At high doses, skin hyperpigmentation may also occur. Irritability, aggression, sleep disorders and eating disorders are also common due to the blocking action of serotonin that risperidone produces.
Many antipsychotics are known to cause hyperprolactinemia, which may lead to hypogonadism-induced osteoporosis, galactorrhoea (unexpected female breast-milk production), gynaecomastia (male breast development), irregular menstruation and sexual dysfunction.
Neuroleptic malignant syndrome has been reported with risperidone, with at least two fatal cases reported. Tardive dyskinesia, an irreversible movement disorder, has also been reported with risperidone.
</t>
  </si>
  <si>
    <t>CN(C)CCOC(C1=CC=CC=C1)C2=CC=CC=C2.Cl</t>
  </si>
  <si>
    <t>2-benzhydryloxy-N,N-dimethylethanamine;hydrochloride</t>
  </si>
  <si>
    <t>Diphenhydramine·HCl</t>
  </si>
  <si>
    <t>1-F11</t>
  </si>
  <si>
    <t>147-24-0</t>
  </si>
  <si>
    <t xml:space="preserve"> Antiallergy, antitussive, antiemetic and sedative</t>
  </si>
  <si>
    <t xml:space="preserve">Diphenhydramine is an inverse agonist of the histamine H1 receptor. By blocking histamine in the capillaries it can reduce the intensity of allergic symptoms. Diphenhydramine crosses the blood–brain barrier (BBB) and antagonizes the H1 receptors centrally. Its effects on central H1 receptors causes drowsiness. 
Like many other first-generation antihistamines, diphenhydramine is also a potent competitive antagonist of muscarinic cholinergic receptors, and, as such, at high doses can cause anticholinergic syndrome. It can also act as a antiparkinson agent as a result of the blocking properties to the Muscarinic Acetylcholine Receptors in the brain. 
In the 1960s, diphenhydramine was found to inhibit reuptake of the neurotransmitter serotonin. This discovery led to a search for viable antidepressants with similar structures and fewer side-effects, culminating in the invention of fluoxetine (Prozac), a selective serotonin reuptake inhibitor (SSRI).
Diphenhydramine also acts as a intracellular sodium channel blocker, which is responsible for its actions as a local anesthetic.
</t>
  </si>
  <si>
    <t xml:space="preserve">Diphenhydramine can cause strong sedation. As such, diphenhydramine has also been used as an anxiolytic because of this side-effect. It is also a potent anticholinergic agent, leading to the side-effects of dry mouth and throat, increased heart rate, pupil dilation, urinary retention, constipation, and, at high doses, hallucinations or delirium. Further side-effects include motor impairment (ataxia), flushed skin, blurred vision at nearpoint owing to lack of accommodation (cycloplegia), abnormal sensitivity to bright light (photophobia), difficulty concentrating, short-term memory loss, visual disturbances, irregular breathing, dizziness, irritability, itchy skin, confusion, decreased body temperature (in general, in the hands and/or feet), erectile dysfunction, excitability, and, although it can be used to treat nausea, higher doses may cause vomiting.
There are several levels of evidence strongly indicating diphenhydramine (similar to chlorpheniramine) can block the delayed rectifier potassium channel and consequently prolong the QT-interval, leading to cardiac arrhythmias, such as torsade de pointes.
</t>
  </si>
  <si>
    <t>CC(CN1C2=CC=CC=C2SC3=CC=CC=C31)N(C)C.Cl</t>
  </si>
  <si>
    <t>N,N-dimethyl-1-phenothiazin-10-ylpropan-2-amine;hydrochloride</t>
  </si>
  <si>
    <t>Promethazine·HCl</t>
  </si>
  <si>
    <t>1-G02</t>
  </si>
  <si>
    <t>58-33-3</t>
  </si>
  <si>
    <t>Anti-Allergic, Sedative</t>
  </si>
  <si>
    <t>H1-antagonist. Competes with free histamine for binding at H1-receptor sites in the GI tract, uterus, large blood vessels, and bronchial muscle. It is also a moderate mACh receptor antagonist (anticholinergic), with weak to moderate affinity for the 5-HT2A, 5-HT2C, D2, and α1-adrenergic receptors, where it acts as an antagonist at all sites as well. Another notable property of promethazine is that it is a local anesthetic, via blockade of sodium channels. The relief of nausea appears to be related to central anticholinergic actions and may implicate activity on the medullary chemoreceptor trigger zone.</t>
  </si>
  <si>
    <t xml:space="preserve">Some common side effects include: Tardive dyskinesia, Confusion in the elderly 
Drowsiness, dizziness, fatigue, more rarely vertigo, Dry mouth 
Respiratory depression in patients under age of 2 and in those with severely compromised pulmonary function, Constipation, Chest Discomfort/Pressure;
Euphoria (very rare, except with high IV doses and/or coadministration with opioids/CNS depressants), Akathisia, Paresthesia and Irritability.  
Extremely rare side effects include: Seizures, Neuroleptic malignant syndrome. 
Because of potential for more severe side effects, this drug is on the list to avoid in the elderly. 
</t>
  </si>
  <si>
    <t>CN/C(=C/[N+](=O)[O-])/NCCSCC1=CC=C(O1)CN(C)C.Cl</t>
  </si>
  <si>
    <t>(Z)-1-N'-[2-[[5-[(dimethylamino)methyl]furan-2-yl]methylsulfanyl]ethyl]-1-N-methyl-2-nitroethene-1,1-diamine;hydrochloride</t>
  </si>
  <si>
    <t>Ranitidine·HCl</t>
  </si>
  <si>
    <t>1-G03</t>
  </si>
  <si>
    <t>66357-59-3</t>
  </si>
  <si>
    <t>Antiulcer</t>
  </si>
  <si>
    <t>Competitive inhibitor of histamine at the parietal cell H2 receptor. It suppresses the normal secretion of acid by parietal cells and the meal-stimulated secretion of acid by two mechanisms: histamine released by ECL cells in the stomach is blocked from binding on parietal cell H2 receptors which stimulate acid secretion, and other substances that promote acid secretion (such as gastrin and acetylcholine) have a reduced effect on parietal cells when the H2 receptors are blocked.</t>
  </si>
  <si>
    <t xml:space="preserve">Ranitidine appears to decrease mucosal perfusion in patients with acute renal or cardiac failure and increases their risk of death. It decreases gastric intrinsic factor secretion which can significantly reduce absorption of protein-bound vitamin B12 in humans.
Ranitidine may increase the risk of pneumonia in hospitalized patients.
Thrombocytopenia is a rare but known side effect of the drug. </t>
  </si>
  <si>
    <t>1-G04</t>
  </si>
  <si>
    <t>51-42-3</t>
  </si>
  <si>
    <t xml:space="preserve">Vasoconstrictor,  Mydriatic, Bronchodilator </t>
  </si>
  <si>
    <t>Adrenergic receptor agonist</t>
  </si>
  <si>
    <t>C1=CC(=C(C=C1[C@H](CN)O)O)O.[C@@H]([C@H](C(=O)O)O)(C(=O)O)O.O</t>
  </si>
  <si>
    <t>4-[(1R)-2-amino-1-hydroxyethyl]benzene-1,2-diol;(2R,3R)-2,3-dihydroxybutanedioic acid;hydrate</t>
  </si>
  <si>
    <t>1-G05</t>
  </si>
  <si>
    <t>108341-18-0</t>
  </si>
  <si>
    <t>Vasoconstrictor</t>
  </si>
  <si>
    <t>Adrenergic neurotransmitter, vasoconstrictor</t>
  </si>
  <si>
    <t>C1CN(CCN1CCOCCO)C2=NC3=CC=CC=C3SC4=CC=CC=C42.C1CN(CCN1CCOCCO)C2=NC3=CC=CC=C3SC4=CC=CC=C42.C(=C/C(=O)O)\C(=O)O</t>
  </si>
  <si>
    <t>2-[2-(4-benzo[b][1,4]benzothiazepin-6-ylpiperazin-1-yl)ethoxy]ethanol;(E)-but-2-enedioic acid</t>
  </si>
  <si>
    <t>Quetiapine Fumarate</t>
  </si>
  <si>
    <t>1-G06</t>
  </si>
  <si>
    <t>111974-72-2</t>
  </si>
  <si>
    <t>Quetiapine's antipsychotic activity is likely due to a combination of antagonism at D2 receptors in the mesolimbic pathway and 5HT2A receptors in the frontal cortex. Antagonism at D2 receptors relieves positive symptoms while antagonism at 5HT2A receptors relieves negative symptoms of schizophrenia.</t>
  </si>
  <si>
    <t>The most common side-effect of quetiapine is somnolence. Other common side-effects include: sluggishness, fatigue, dry mouth, sore throat, dizziness, abdominal pain, constipation, upset stomach, orthostatic hypotension, inflammation or swelling of the sinuses or pharynx, increased appetite, and weight gain.</t>
  </si>
  <si>
    <t>CN(C)CCCN1C2=CC=CC=C2CCC3=CC=CC=C31.Cl</t>
  </si>
  <si>
    <t>3-(5,6-dihydrobenzo[b][1]benzazepin-11-yl)-N,N-dimethylpropan-1-amine;hydrochloride</t>
  </si>
  <si>
    <t>Imipramine·HCl</t>
  </si>
  <si>
    <t>1-G07</t>
  </si>
  <si>
    <t>113-52-0</t>
  </si>
  <si>
    <t xml:space="preserve">Antidepressant </t>
  </si>
  <si>
    <t>The mechanisms of Imipramine's medicinal action include: 1). Moderate to strong serotonine reuptake inhibition; 2). Strong norepinephrine reuptake inhibition; 3). Reuptake and release at dopamine D1 and D2 receptors; 4). Antagonizing action on histamine H1 receptors, adreno-receptors (II) and acetylcholine receptors; 5). Activity on σ receptors and Enkephalinase; 6). Increasing expression of μ-opioid receptors in forebrain; 7). Reducing expression of HDAC5 in hippocampus.</t>
  </si>
  <si>
    <t xml:space="preserve">The common side effects include: Central Nervous System: Dizziness, drowsiness, confusion, seizures, headache, anxiety, tremors, stimulation, weakness, insomnia, nightmares, Extrapyramidal symptoms in geriatric patients, increased psychiatric symptoms, paresthesia; Cardiovascular: Orthostatic hypotension, EKG changes, tachycardia, hypertension, palpitations, dysrhythmias; Eyes, Ears, Nose and Throat: Blurred vision, tinnitus, mydriasis; Gastrointestinal: Diarrhea, Dry mouth, nausea, vomiting, paralytic ileus, increased appetite, cramps, epigastric distress, jaundice, hepatitis, stomatitis, constipation, taste change; Genitourinary: Urinary retention, acute renal failure; Hematological: Agranulocytosis, thrombocytopenia, eosinophilia, leukopenia; Skin: Rash, urticaria, sweating, pruritus, photosensitivity. 
</t>
  </si>
  <si>
    <t>C1CN(CCN1)C2=NC3=CC=CC=C3OC4=C2C=C(C=C4)Cl</t>
  </si>
  <si>
    <t>8-chloro-6-piperazin-1-ylbenzo[b][1,4]benzoxazepine</t>
  </si>
  <si>
    <t>Amoxapine</t>
  </si>
  <si>
    <t>1-G08</t>
  </si>
  <si>
    <t>14028-44-5</t>
  </si>
  <si>
    <t>Norepinephrine/serotonin reuptake inhibitor</t>
  </si>
  <si>
    <t xml:space="preserve">Common side effects of amoxapine include hypotension, drowsiness, dry mouth, constipation, blurred vision, fatigue, and vertigo. Additionally, due to the drug's and its metabolite 7-hyroxyamoxapine's potent blockade of dopamine receptors, it can cause neuroleptic malignant syndrome as well as acute extrapyramidal symptoms and tardive dyskinesia. Cardiovascular and anticholinergic side effects are much reduced compared to other tri- and tetracyclic antidepressants.
</t>
  </si>
  <si>
    <t>CCN(CC)CCNC(=O)C1=CC(=C(C=C1OC)N)Cl.Cl</t>
  </si>
  <si>
    <t>4-amino-5-chloro-N-[2-(diethylamino)ethyl]-2-methoxybenzamide;hydrochloride</t>
  </si>
  <si>
    <t>Metoclopramide·HCl</t>
  </si>
  <si>
    <t>1-G09</t>
  </si>
  <si>
    <t>7232-21-5</t>
  </si>
  <si>
    <t>Antipsychotic and entiemetic agent</t>
  </si>
  <si>
    <t xml:space="preserve">Dopamine D2 receptors antagonist and a mixed 5-HT3 receptor antagonist/ 5-HT4 receptor agonist.
The antiemetic action of metoclopramide is due to its antagonist activity at D2 receptors in the chemoreceptor trigger zone (CTZ) in the central nervous system (CNS)—this action prevents nausea and vomiting triggered by most stimuli. At higher doses, 5-HT3 antagonist activity may also contribute to the antiemetic effect.
The gastroprokinetic activity of metoclopramide is mediated by muscarinic activity, D2 receptor antagonist activity and 5-HT4 receptor agonist activity. The gastroprokinetic effect itself may also contribute to the antiemetic effect. Metoclopramide also increases the tone of the lower esophageal sphincter.
</t>
  </si>
  <si>
    <t xml:space="preserve">Common adverse drug reactions include restlessness, drowsiness, dizziness, fatigue, and focal dystonia. Infrequent effects include hypertension, hypotension, hyperprolactinaemia leading to galactorrhea, constipation, depression, headache, and extrapyramidal effects such as oculogyric crisis. Rare but serious reactions associated with metoclopramide therapy include agranulocytosis, supraventricular tachycardia, hyperaldosteronism, neuroleptic malignant syndrome, akathisia and tardive dyskinesia.
</t>
  </si>
  <si>
    <t>C1CC(C1)CN2CCC34C5C(CCC3(C2CC6=C4C(=C(C=C6)O)O5)O)O.Cl</t>
  </si>
  <si>
    <t>(4R,4aS,7S,7aR,12bS)-3-(cyclobutylmethyl)-1,2,4,5,6,7,7a,13-octahydro-4,12-methanobenzofuro[3,2-e]isoquinoline-4a,7,9-triol;hydrochloride</t>
  </si>
  <si>
    <t>1-G10</t>
  </si>
  <si>
    <t>23277-43-2</t>
  </si>
  <si>
    <t>Narcotic, Analgesic, Opioid</t>
  </si>
  <si>
    <t>Agonist of κ-opioid receptors.  Partial antagonist analgesic at μ-opioid receptors.</t>
  </si>
  <si>
    <t>C[N+](C)(C)CCOC(=O)N.[Cl-]</t>
  </si>
  <si>
    <t>2-carbamoyloxyethyl(trimethyl)azanium;chloride</t>
  </si>
  <si>
    <t>1-G11</t>
  </si>
  <si>
    <t>51-83-2</t>
  </si>
  <si>
    <t>Glaucoma treatment, Cholinergic Agonist</t>
  </si>
  <si>
    <t>Carbachol is a parasympathomimetic that stimulates both muscarinic and nicotinic receptors. In topical ocular and intraocular administration its principal effects are miosis and increased aqueous humour outflow.</t>
  </si>
  <si>
    <t>The effects of a systemic overdose will probably be similar to the effects of a nerve agent (they both act on the cholinergic system, increasing cholinergic transmission), but its toxicity is much weaker and it is easier to antagonize in overdose. When administered ocularly there is little risk of such effects, since the doses are much smaller.</t>
  </si>
  <si>
    <t>C1=C(N=C(S1)N=C(N)N)CSCCC(=NS(=O)(=O)N)N</t>
  </si>
  <si>
    <t>3-[[2-(diaminomethylideneamino)-1,3-thiazol-4-yl]methylsulfanyl]-N'-sulfamoylpropanimidamide</t>
  </si>
  <si>
    <t>Famotidine</t>
  </si>
  <si>
    <t>1-H02</t>
  </si>
  <si>
    <t>76824-35-6</t>
  </si>
  <si>
    <t>Antiulcerative</t>
  </si>
  <si>
    <t>Histamine H2-receptor antagonist</t>
  </si>
  <si>
    <t xml:space="preserve">The most common adverse effects were headache, dizziness, and constipation or diarrhea. </t>
  </si>
  <si>
    <t>C1=CN=CC=C1C(=O)NN</t>
  </si>
  <si>
    <t>pyridine-4-carbohydrazide</t>
  </si>
  <si>
    <t>Isoniazid</t>
  </si>
  <si>
    <t>1-H03</t>
  </si>
  <si>
    <t>54-85-3</t>
  </si>
  <si>
    <t>Antitubercular Agent</t>
  </si>
  <si>
    <t>Isoniazid is a prodrug and must be activated by bacterial catalase. Specficially, activation is associated with reduction of the mycobacterial ferric KatG catalase-peroxidase by hydrazine and reaction with oxygen to form an oxyferrous enzyme complex. Once activated, isoniazid inhibits the synthesis of mycoloic acids, an essential component of the bacterial cell wall. At therapeutic levels isoniazid is bacteriocidal against actively growing intracellular and extracellular Mycobacterium tuberculosis organisms. Specifically isoniazid inhibits InhA, the enoyl reductase from Mycobacterium tuberculosis, by forming a covalent adduct with the NAD cofactor. It is the INH-NAD adduct that acts as a slow, tight-binding competitive inhibitor of InhA.</t>
  </si>
  <si>
    <t xml:space="preserve">Adverse reactions include rash, abnormal liver function tests, hepatitis, sideroblastic anemia, high anion gap metabolic acidosis, peripheral neuropathy, mild central nervous system (CNS) effects, drug interactions resulting in increased phenytoin (Dilantin) or disulfiram (Antabuse) levels, intractable seizures (status epilepticus) and drug-induced lupus erythematosus. Peripheral neuropathy and CNS effects are associated with the use of isoniazid and are due to pyridoxine (vitamin B6) depletion. The most severe side reaction, hepatotoxicity of INH, is consequence of nitrogen group in its chemical structure, as it is metabolized in the liver and gets converted to an ammonium molecule, which causes hepatitis.
</t>
  </si>
  <si>
    <t>C1CN(CC2=C1SC=C2)CC3=CC=CC=C3Cl.Cl</t>
  </si>
  <si>
    <t>5-[(2-chlorophenyl)methyl]-6,7-dihydro-4H-thieno[3,2-c]pyridine;hydrochloride</t>
  </si>
  <si>
    <t>Ticlopidine·HCl</t>
  </si>
  <si>
    <t>1-H04</t>
  </si>
  <si>
    <t>53885-35-1</t>
  </si>
  <si>
    <t xml:space="preserve">Platelet Aggregation Inhibitor, Fibrinolytic </t>
  </si>
  <si>
    <t>The active metabolite of ticlopidine prevents binding of adenosine diphosphate (ADP) to its platelet receptor, impairing the ADP-mediated activation of the glycoprotein GPIIb/IIIa complex. It is proposed that the inhibition involves a defect in the mobilization from the storage sites of the platelet granules to the outer membrane. No direct interference occurs with the GPIIb/IIIa receptor. As the glycoprotein GPIIb/IIIa complex is the major receptor for fibrinogen, its impaired activation prevents fibrinogen binding to platelets and inhibits platelet aggregation. By blocking the amplification of platelet activation by released ADP, platelet aggregation induced by agonists other than ADP is also inhibited by the active metabolite of ticlopidine.</t>
  </si>
  <si>
    <t>Precautions concerning Ticlopidine use include: Risk of bleeding (trauma, surgery, history of peptic ulcer disease), Renal or hepatic impairment, Increased sensitivity in case of Geriatric patients, Neutropenia and Thrombotic thrombocytopenic purpura.</t>
  </si>
  <si>
    <t>C[C@@](C1=CC=CC=C1)(C2=CC=C(C=C2)Cl)OCC[C@H]3CCCN3C.C(=C/C(=O)O)\C(=O)O</t>
  </si>
  <si>
    <t>(E)-but-2-enedioic acid;(2R)-2-[2-[(1R)-1-(4-chlorophenyl)-1-phenylethoxy]ethyl]-1-methylpyrrolidine</t>
  </si>
  <si>
    <t>Clemastine Fumarate</t>
  </si>
  <si>
    <t>1-H05</t>
  </si>
  <si>
    <t>14976-57-9</t>
  </si>
  <si>
    <t>Antipruritic, Anti-Allergic, Antihistamine</t>
  </si>
  <si>
    <t>Clemastine is a selective histamine H1 antagonist and binds to the histamine H1 receptor. This blocks the action of endogenous histamine, which subsequently leads to temporary relief of the negative symptoms brought on by histamine. Clemastine does also act as FIASMA (functional inhibitor of acid sphingomyelinase).</t>
  </si>
  <si>
    <t xml:space="preserve">Overdosage symptoms are paradoxical, ranging from CNS depression to stimulation. Stimulation is most common in children, and is usually followed by excitement, hallucinations, ataxia, incoordination, muscle twitching, athetosis, hyperthermia, cyanosis convulsions, tremors, and hyperreflexia. This may be followed by postictal depression and cardiovascular/respiratory arrest. Other common overdose symptoms include dry mouth, fixed dilated pupils, flushing of the face, and pyrexia. In adults, overdose usually leads to CNS depression, ranging from drowsiness to coma.
</t>
  </si>
  <si>
    <t>CCCC1=NC(=C2N1NC(=NC2=O)C3=C(C=CC(=C3)S(=O)(=O)N4CCN(CC4)CC)OCC)C</t>
  </si>
  <si>
    <t>2-[2-ethoxy-5-(4-ethylpiperazin-1-yl)sulfonylphenyl]-5-methyl-7-propyl-1H-imidazo[5,1-f][1,2,4]triazin-4-one</t>
  </si>
  <si>
    <t xml:space="preserve">Vardenafil </t>
  </si>
  <si>
    <t>1-H06</t>
  </si>
  <si>
    <t>224785-90-4</t>
  </si>
  <si>
    <t>Erectile dysfunction and impotence</t>
  </si>
  <si>
    <t>Vardenafil inhibits the cGMP specific phosphodiesterase type 5 (PDE5) which is responsible for degradation of cGMP in the corpus cavernosum located around the penis. Penile erection during sexual stimulation is caused by increased penile blood flow resulting from the relaxation of penile arteries and corpus cavernosal smooth muscle. This response is mediated by the release of nitric oxide (NO) from nerve terminals and endothelial cells, which stimulates the synthesis of cGMP in smooth muscle cells. Cyclic GMP causes smooth muscle relaxation and increased blood flow into the corpus cavernosum. The inhibition of phosphodiesterase type 5 (PDE5) by vardenafil enhances erectile function by increasing the amount of cGMP.</t>
  </si>
  <si>
    <t xml:space="preserve">The common, adverse drug reactions are the same as with other PDE5 inhibitors. The frequent vardenafil-specific side-effect is nausea; the infrequent side-effects are: abdominal pain, back pain, photosensitivity, abnormal vision, eye pain, facial oedema, hypotension, palpitation, tachycardia, arthralgia, myalgia, rash, itch, and priapism. 
One possibly serious, but rare, side-effect with vardenafil is heart attack. Also, in rare cases, vardenafil use may cause priapism, a very painful emergency condition that can cause impotence if left untreated. 
On 18 October 2007, the U.S. Food and Drug Administration (FDA) announced that a warning about possible deafness (sudden hearing loss) would be added to the drug labels of Vardenafil, and other PDE5 inhibitors.
</t>
  </si>
  <si>
    <t>CC(=O)NC[C@H]1CN(C(=O)O1)C2=CC(=C(C=C2)N3CCOCC3)F</t>
  </si>
  <si>
    <t>N-[[(5S)-3-(3-fluoro-4-morpholin-4-ylphenyl)-2-oxo-1,3-oxazolidin-5-yl]methyl]acetamide</t>
  </si>
  <si>
    <t>Linezolid</t>
  </si>
  <si>
    <t>1-H07</t>
  </si>
  <si>
    <t>165800-03-3</t>
  </si>
  <si>
    <t xml:space="preserve">Linezolid is a synthetic antibacterial agent of the oxazolidinone class of antibiotics. It has in vitro activity against aerobic Gram positive bacteria, certain Gram negative bacteria and anaerobic microorganisms. It selectively inhibits bacterial protein synthesis through binding to sites on the bacterial ribosome and prevents the formation of a functional 70S-initiation complex. Specifically, linezolid binds to a site on the bacterial 23S ribosomal RNA of the 50S subunit and prevents the formation of a functional 70S initiation complex, which is an essential component of the bacterial translation process. </t>
  </si>
  <si>
    <t>When administered for short periods, linezolid is a relatively safe drug; it can be used in patients of all ages and in people with liver disease or poor kidney function. Common adverse effects of short-term use include headache, diarrhea, and nausea. Long-term use, however, has been associated with serious adverse effects; linezolid can cause bone marrow suppression and low platelet counts, particularly when used for more than two weeks. If used for longer periods still, it may cause peripheral neuropathy (which can be irreversible), optic nerve damage, and lactic acidosis (a buildup of lactic acid in the body), all most likely due to mitochondrial toxicity.</t>
  </si>
  <si>
    <t>CC1=C2[C@H](C(=O)[C@@]3([C@H](C[C@@H]4[C@]([C@H]3[C@@H]([C@@](C2(C)C)(C[C@@H]1OC(=O)[C@@H]([C@H](C5=CC=CC=C5)NC(=O)OC(C)(C)C)O)O)OC(=O)C6=CC=CC=C6)(CO4)OC(=O)C)O)C)O</t>
  </si>
  <si>
    <t>(1S,2S,3R,4S,7R,9S,10S,12R,15S)-4-(acetyloxy)-15-{[(2R,3S)-3-{[(tert-butoxy)carbonyl]amino}-2-hydroxy-3-phenylpropanoyl]oxy}-1,9,12-trihydroxy-10,14,17,17-tetramethyl-11-oxo-6-oxatetracyclo[11.3.1.0³,¹⁰.0⁴,⁷]heptadec-13-en-2-yl benzoate</t>
  </si>
  <si>
    <t>1-H08</t>
  </si>
  <si>
    <t>114977-28-5</t>
  </si>
  <si>
    <t>Antineoplastic</t>
  </si>
  <si>
    <t xml:space="preserve">Docetaxel interferes with the normal function of microtubule growth. Whereas drugs like colchicine cause the depolymerization of microtubules in vivo, docetaxel arrests their function by having the opposite effect; it hyper-stabilizes their structure. This destroys the cell's ability to use its cytoskeleton in a flexible manner. Specifically, docetaxel binds to the β-subunit of tubulin. Tubulin is the "building block" of mictotubules, and the binding of docetaxel locks these building blocks in place. The resulting microtubule/docetaxel complex does not have the ability to disassemble. This adversely affects cell function because the shortening and lengthening of microtubules (termed dynamic instability) is necessary for their function as a transportation highway for the cell. </t>
  </si>
  <si>
    <t>As with all chemotherapy, adverse effects are common and many varying side-effects have been documented. The drug is cytotoxic to all dividing cells in the body. This includes tumour cells as well as hair follicles, bone marrow and other germ cells. For this reason, common side effects such as alopecia occur; sometimes this can be permanent. Haematological adverse effects include Neutropenia (95.5%), Anaemia (90.4%), Febrile neutropenia (11.0%) and Thrombocytopenia (8.0%). Deaths due to toxicity accounted for 1.7% of the 2045 patients and incidence was increased (9.8%) in patients with elevated baseline liver function tests (liver dysfunction).</t>
  </si>
  <si>
    <t>CN(C)CC/C=C\1/C2=CC=CC=C2COC3=C1C=C(C=C3)CC(=O)O</t>
  </si>
  <si>
    <t>2-[(11Z)-11-[3-(dimethylamino)propylidene]-6H-benzo[c][1]benzoxepin-2-yl]acetic acid</t>
  </si>
  <si>
    <t>Olopatadine</t>
  </si>
  <si>
    <t>1-H09</t>
  </si>
  <si>
    <t>113806-05-6</t>
  </si>
  <si>
    <t>Antihistamine agent</t>
  </si>
  <si>
    <t>Selective histamine H1 antagonist. It blocks the action of endogenous histamine, which subsequently leads to temporary relief of the negative symptoms brought on by histamine. Olopatadine is devoid of effects on alpha-adrenergic, dopamine and muscarinic type 1 and 2 receptors.</t>
  </si>
  <si>
    <t>Side effects may include headaches (7% of occurrence) burning and stinging (5%), dry eye, foreign body sensation, hyperemia, keratitis, lid edema, pruritus, asthenia, cold syndrome, pharyngitis, rhinitis, sinusitis, and taste perversion.</t>
  </si>
  <si>
    <t>CC1=CC=C(C=C1)C(=O)C2=CC(=C(C(=C2)O)O)[N+](=O)[O-]</t>
  </si>
  <si>
    <t>(3,4-dihydroxy-5-nitrophenyl)-(4-methylphenyl)methanone</t>
  </si>
  <si>
    <t>Tolcapone</t>
  </si>
  <si>
    <t>1-H10</t>
  </si>
  <si>
    <t>134308-13-7</t>
  </si>
  <si>
    <t>Antiparkinson, Antidyskinetic</t>
  </si>
  <si>
    <t xml:space="preserve">Potent, selective, and reversible Catechol-O-methyltransferase (COMT) inhibitor. </t>
  </si>
  <si>
    <t xml:space="preserve">Tolcapone has demonstrated significant hepatotoxicity that limits the drug's utility. </t>
  </si>
  <si>
    <t>CCCC1=NC(=C(N1CC2=CC=C(C=C2)C3=CC=CC=C3C4=NNN=N4)C(=O)O)C(C)(C)O</t>
  </si>
  <si>
    <t>5-(2-hydroxypropan-2-yl)-2-propyl-3-[[4-[2-(2H-tetrazol-5-yl)phenyl]phenyl]methyl]imidazole-4-carboxylic acid</t>
  </si>
  <si>
    <t>Olmesartan</t>
  </si>
  <si>
    <t>1-H11</t>
  </si>
  <si>
    <t>144689-24-7</t>
  </si>
  <si>
    <t>Antihypertensive agent</t>
  </si>
  <si>
    <t>Angiotensin  II antagonist, with greater affinity for the AT1 receptor than the AT2 receptor.</t>
  </si>
  <si>
    <t>CC1=C(C(C(=C(N1)C)C(=O)OCC(C)C)C2=CC=CC=C2[N+](=O)[O-])C(=O)OC</t>
  </si>
  <si>
    <t>3-O-methyl 5-O-(2-methylpropyl) 2,6-dimethyl-4-(2-nitrophenyl)-1,4-dihydropyridine-3,5-dicarboxylate</t>
  </si>
  <si>
    <t>Nisoldipine</t>
  </si>
  <si>
    <t>2-A02</t>
  </si>
  <si>
    <t>63675-72-9</t>
  </si>
  <si>
    <t>Antihypertensive, Vasodilator</t>
  </si>
  <si>
    <t xml:space="preserve">Calcium channel blocker of the dihydropyridine class. </t>
  </si>
  <si>
    <t>Side effects have include peripheral edema (up to 22%), vasodilation (4%), palpitation (3%), chest pain (2%), headache (up to 22%), dizziness (5%), sinusitis (up to 3%),  pharyngitis (up to 5%), nausea (2%), anorexia, rash (2%), acne, alopecia, dry skin, exfoliative dermatitis, fungal dermatitis.</t>
  </si>
  <si>
    <t>CC1=CC2=C(NC3=CC=CC=C3N=C2S1)N4CCN(CC4)C</t>
  </si>
  <si>
    <t>2-methyl-4-(4-methylpiperazin-1-yl)-5H-thieno[3,2-c][1,5]benzodiazepine</t>
  </si>
  <si>
    <t>Olanzapine</t>
  </si>
  <si>
    <t>2-A03</t>
  </si>
  <si>
    <t>132539-06-1</t>
  </si>
  <si>
    <t>Antipsychotic, Antiemetic</t>
  </si>
  <si>
    <t>Olanzapine's antipsychotic activity is likely due to a combination of antagonism at D2 receptors in the mesolimbic pathway and 5HT2A receptors in the frontal cortex. Antagonism at D2 receptors relieves positive symptoms while antagonism at 5HT2A receptors relieves negative symptoms of schizophrenia.</t>
  </si>
  <si>
    <t>As with all neuroleptic drugs, olanzapine can cause the irreversible movement disorder tardive dyskinesia, and the rare, but life-threatening, neuroleptic malignant syndrome. Some also associate all antipsychotics with permanent brain damage. Other recognized side effects may include: akathisia; restlessness, anhedonia, dry mouth, dizziness, 
irritability, sedation, insomnia, constipation, urinary retention, orthostatic hypotension, weight gain, impaired judgment, seizures, trouble swallowing,  
apathy, hyperprolactinemia, hyperglycemia, diabetes mellitus and auditory hallucinations.</t>
  </si>
  <si>
    <t>CC[C@H](C)C(=O)O[C@H]1C[C@H](C=C2[C@H]1[C@H]([C@H](C=C2)C)CC[C@@H]3C[C@H](CC(=O)O3)O)C</t>
  </si>
  <si>
    <t>[(1S,3R,7S,8S,8aR)-8-[2-[(2R,4R)-4-hydroxy-6-oxooxan-2-yl]ethyl]-3,7-dimethyl-1,2,3,7,8,8a-hexahydronaphthalen-1-yl] (2S)-2-methylbutanoate</t>
  </si>
  <si>
    <t>Lovastatin</t>
  </si>
  <si>
    <t>2-A04</t>
  </si>
  <si>
    <t>75330-75-5</t>
  </si>
  <si>
    <t>Anticholesteremic</t>
  </si>
  <si>
    <t>Lovastatin is an inhibitor of 3-hydroxy-3methylglutaryl-coenzyme A reductase (HMG-CoA reductase), an enzyme that catalyzes the conversion of HMG-CoA to mevalonate. Mevalonate is a required building block for cholesterol biosynthesis and lovastatin interferes with its production by acting as a reversible competitive inhibitor for HMG-CoA, which binds to the HMG-CoA reductase. Lovastatin, being inactive in the native form, the form in which it is administered, is hydrolysed to the β-hydroxy acid form in the body; it is this form that is active.</t>
  </si>
  <si>
    <t>Lovastatin is usually well tolerated. Lovastatin, and all statin drugs, can rarely cause myopathy or rhabdomyolysis. This can be life-threatening if not recognised and treated in time, so any unexplained muscle pain or weakness whilst on lovastatin should be promptly mentioned to the prescribing doctor. 
Lovastatin is contraindicated during pregnancy (Pregnancy Category X); it may cause skeletal deformities or learning disabilities.</t>
  </si>
  <si>
    <t>C1=CC(=C(C(=C1)Cl)Cl)C2=C(N=C(N=N2)N)N</t>
  </si>
  <si>
    <t>6-(2,3-dichlorophenyl)-1,2,4-triazine-3,5-diamine</t>
  </si>
  <si>
    <t>Lamotrigine</t>
  </si>
  <si>
    <t>2-A05</t>
  </si>
  <si>
    <t>84057-84-1</t>
  </si>
  <si>
    <t>Antidepressant, Anticonvulsant</t>
  </si>
  <si>
    <t xml:space="preserve">Lamotrigine inhibits voltage-sensitive sodium channels and/or calcium channels, thereby stabilizing neuronal membranes and consequently modulating presynaptic transmitter release of excitatory amino acids (e.g., glutamate and aspartate). Studies on lamotrigine show binding to sodium channels similar to local anesthetics. </t>
  </si>
  <si>
    <t xml:space="preserve">Lamotrigine has a black box warning about life-threatening skin reactions, including Stevens–Johnson syndrome, DRESS syndrome and toxic epidermal necrolysis. 
 or recently discontinued a valproate-type anticonvulsant drug, as these medications interact in such a way that the clearance of both is decreased and the effective dose of lamotrigine is increased.
As of December 2010, lamotrigine carries an FDA black box warning for aseptic meningitis.
Side-effects such as rash, fever, and fatigue are very serious, as they may indicate incipient Stevens–Johnson syndrome, toxic epidermal necrolysis, DRESS syndrome or aseptic meningitis.
Other side-effects include loss of balance or coordination, double vision, crossed eyes, blurred vision, dizziness and lack of coordination, drowsiness, insomnia, anxiety, vivid dreams or nightmares, dry mouth, mouth ulcers, memory and cognitive problems, mood changes, runny nose, cough, nausea, indigestion, abdominal pain, weight loss, missed or painful menstrual periods, and vaginitis. Lamotrigine has been associated with leucopenia. 
</t>
  </si>
  <si>
    <t>CN1C=NC(=C1SC2=NC=NC3=C2NC=N3)[N+](=O)[O-]</t>
  </si>
  <si>
    <t>6-(3-methyl-5-nitroimidazol-4-yl)sulfanyl-7H-purine</t>
  </si>
  <si>
    <t>Azathioprine</t>
  </si>
  <si>
    <t>2-A06</t>
  </si>
  <si>
    <t>446-86-6</t>
  </si>
  <si>
    <t>Immunosuppressant</t>
  </si>
  <si>
    <t>DNA chain terminatin and cytotoxicity</t>
  </si>
  <si>
    <t>Side effects are uncommon, but include nausea, fatigue, hair loss, and rash. Because azathioprine suppresses the bone marrow, patients will be more susceptible to infection. Acute pancreatitis can also occur, especially in patients with Crohn's disease. Caution should be exercised when it is used in conjunction with purine analogues such as allopurinol. The enzyme thiopurine S-methyltransferase (TPMT) deactivates 6-mercaptopurine. Genetic polymorphisms of TPMT can lead to excessive drug toxicity, thus assay of serum TPMT may be useful to avoid this complication.</t>
  </si>
  <si>
    <t>CCCC1=NN(C2=C1NC(=NC2=O)C3=C(C=CC(=C3)S(=O)(=O)N4CCN(CC4)C)OCC)C.C(C(=O)O)C(CC(=O)O)(C(=O)O)O</t>
  </si>
  <si>
    <t>5-[2-ethoxy-5-(4-methylpiperazin-1-yl)sulfonylphenyl]-1-methyl-3-propyl-4H-pyrazolo[4,3-d]pyrimidin-7-one;2-hydroxypropane-1,2,3-tricarboxylic acid</t>
  </si>
  <si>
    <t>Sildenafil Citrate</t>
  </si>
  <si>
    <t>2-A07</t>
  </si>
  <si>
    <t>171599-83-0</t>
  </si>
  <si>
    <t>Erectile dysfunction, vasodilator, pulmonary arterial hypertension treatment</t>
  </si>
  <si>
    <t>Sildenafil is an inhibitor of cGMP specific phosphodiesterase type 5 (PDE5), which is responsible for degradation of cGMP.</t>
  </si>
  <si>
    <t>C1CC(CCC1C2=CC=C(C=C2)Cl)C3=C(C4=CC=CC=C4C(=O)C3=O)O</t>
  </si>
  <si>
    <t>3-[4-(4-chlorophenyl)cyclohexyl]-4-hydroxynaphthalene-1,2-dione</t>
  </si>
  <si>
    <t>Atovaquone</t>
  </si>
  <si>
    <t>2-A08</t>
  </si>
  <si>
    <t>95233-18-4</t>
  </si>
  <si>
    <t>Antipneumocystic/Antimalarial</t>
  </si>
  <si>
    <t>The mechanism of action against Pneumocystis carinii has not been fully elucidated. In Plasmodium species, the site of action appears to be the cytochrome bc1 complex (Complex III). Several metabolic enzymes are linked to the mitochondrial electron transport chain via ubiquinone. Inhibition of electron transport by atovaquone will result in indirect inhibition of these enzymes. The ultimate metabolic effects of such blockade may include inhibition of nucleic acid and ATP synthesis. Atovaquone also has been shown to have good in vitro activity against Toxoplasma gondii.</t>
  </si>
  <si>
    <t xml:space="preserve">Gastrointestinal side effects are among the most common and have included nausea (up to 40%), diarrhea (up to 42%), vomiting (up to 22%), abdominal pain (up to 21%), oral monilia (up to 10%), taste perversion (3%), and constipation (3%). Dermatologic side effects have included rash (up to 46%), pruritus (greater than or equal to 10%), exfoliative dermatitis, photosensitivity, and toxic epidermal necrolysis. Hematologic side effects have included anemia (up to 6%) and neutropenia (up to 5%). Metabolic side effects have included hyponatremia (up to 10%), hyperglycemia (9%), and hypoglycemia (1%). Other side effects have included fever (up to 40%), asthenia (up to 31%), flu syndrome (greater than or equal to 10%), pain (greater than or equal to 10%), infection (up to 22%), sweating (greater than or equal to 10%), dyspnea (up to 21%), increased cough (up to 25%), rhinitis (up to 24%), sinusitis (greater than or equal to 10%), insomnia (up to 19%), dizziness (up to 8%), headache (up to 31%), anxiety (7%), and depression (greater than or equal to 10%).
</t>
  </si>
  <si>
    <t>C1=CC2=C(C(=C1)Cl)SC=C2COC(CN3C=CN=C3)C4=C(C=C(C=C4)Cl)Cl</t>
  </si>
  <si>
    <t>1-[2-[(7-chloro-1-benzothiophen-3-yl)methoxy]-2-(2,4-dichlorophenyl)ethyl]imidazole</t>
  </si>
  <si>
    <t>2-A09</t>
  </si>
  <si>
    <t>99592-32-2</t>
  </si>
  <si>
    <t>Used to treat skin infections (fungal)</t>
  </si>
  <si>
    <t>Sertaconazole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Sertaconazole may also inhibit endogenous respiration, interact with membrane phospholipids, inhibit the transformation of yeasts to mycelial forms, inhibit purine uptake, and impair triglyceride and/or phospholipid biosynthesis.</t>
  </si>
  <si>
    <t>Side effects were rarely reported with sertaconazole therapy, but may include contact dermatitis, burning on application site and skin dryness.</t>
  </si>
  <si>
    <t>[H+].C[N+]1(CCCC1)CC2=C(N3C(C(C3=O)NC(=O)/C(=N\OC)/C4=CSC(=N4)N)SC2)C(=O)O.O.[Cl-].[Cl-]</t>
  </si>
  <si>
    <t>7-[[(2Z)-2-(2-amino-1,3-thiazol-4-yl)-2-methoxyiminoacetyl]amino]-3-[(1-methylpyrrolidin-1-ium-1-yl)methyl]-8-oxo-5-thia-1-azabicyclo[4.2.0]oct-2-ene-2-carboxylic acid;hydron;dichloride;hydrate</t>
  </si>
  <si>
    <t>Cefepime·2HCl Hydrate</t>
  </si>
  <si>
    <t>2-A10</t>
  </si>
  <si>
    <t>123171-59-5</t>
  </si>
  <si>
    <t>Disrupts the synthesis of peptidoglycan layers in the cell wall of bacteria.</t>
  </si>
  <si>
    <t>C1CC(=O)NC2=C1C=CC(=C2)OCCCCN3CCN(CC3)C4=C(C(=CC=C4)Cl)Cl</t>
  </si>
  <si>
    <t>7-[4-[4-(2,3-dichlorophenyl)piperazin-1-yl]butoxy]-3,4-dihydro-1H-quinolin-2-one</t>
  </si>
  <si>
    <t>Aripiprazole</t>
  </si>
  <si>
    <t>2-A11</t>
  </si>
  <si>
    <t>129722-12-9</t>
  </si>
  <si>
    <t>D2 and 5HT2A antagonist</t>
  </si>
  <si>
    <t xml:space="preserve">Common side effects include  headache (31% to 32%), agitation (25%), anxiety (20% to 25%), insomnia (20% to 24%), nausea (14% to 16%), dyspepsia (15%), akathisia (10% to 15%), constipation (10% to 13%), vomiting (11% to 12%), lightheadedness (11%), somnolence (11% to 12%), dizziness (11%), asthenia (7% to 8%), sedation (7%), extrapyramidal syndrome (6%), fatigue (6%), bronchitis (6%), tremor (3% to 9%), accidental injury (5% to 6%), restlessness (5%), dry mouth (5%), pharyngitis (4%) and rhinitis (4%). </t>
  </si>
  <si>
    <t>CCOC1=NC2=CC=CC(=C2N1CC3=CC=C(C=C3)C4=CC=CC=C4C5=NNN=N5)C(=O)O</t>
  </si>
  <si>
    <t>2-ethoxy-3-[[4-[2-(2H-tetrazol-5-yl)phenyl]phenyl]methyl]benzimidazole-4-carboxylic acid</t>
  </si>
  <si>
    <t>Candesartan</t>
  </si>
  <si>
    <t>2-B02</t>
  </si>
  <si>
    <t>139481-59-7</t>
  </si>
  <si>
    <t>Candesartan selectively blocks the binding of angiotensin II to AT1 in many tissues including vascular smooth muscle and the adrenal glands. This inhibits the AT1-mediated vasoconstrictive and aldosterone-secreting effects of angiotensin II and results in an overall decrease in blood pressure. Candesartan is greater than 10,000 times more selective for AT1 than AT2. Inhibition of aldosterone secretion may increase sodium and water excretion while decreasing potassium excretion.</t>
  </si>
  <si>
    <t xml:space="preserve">Nervous system side effects have been reported the most frequently. These have included headache (3%) and dizziness. Fatigue, vertigo, and paresthesias have been reported in at least 0.5% of patients. Cardiovascular side effects including peripheral edema and chest pain have been reported in 1% of patients and at rates similar to placebo. Myocardial infarction and angina pectoris have been reported rarely. Musculoskeletal side effects have included back pain (3%), arthralgias (1%), and myalgias (0.5%). Genitourinary side effects including hematuria has been reported in 0.5% of patients. </t>
  </si>
  <si>
    <t>CC(C)(C)C1=CC=C(C=C1)CN(C)CC2=CC=CC3=CC=CC=C32.Cl</t>
  </si>
  <si>
    <t>1-(4-tert-butylphenyl)-N-methyl-N-(naphthalen-1-ylmethyl)methanamine;hydrochloride</t>
  </si>
  <si>
    <t>Butenafine·HCl</t>
  </si>
  <si>
    <t>2-B03</t>
  </si>
  <si>
    <t> 101827-46-7</t>
  </si>
  <si>
    <t>Antifungal</t>
  </si>
  <si>
    <t>A squalene epoxidase inhibitor, causing an inhibition in the synthesis of ergosterol, a necessary component of fungal cell membranes.</t>
  </si>
  <si>
    <t>CCN[C@H]1C[C@@H](S(=O)(=O)C2=C1C=C(S2)S(=O)(=O)N)C.Cl</t>
  </si>
  <si>
    <t>(4S,6S)-4-(ethylamino)-6-methyl-7,7-dioxo-5,6-dihydro-4H-thieno[2,3-b]thiopyran-2-sulfonamide;hydrochloride</t>
  </si>
  <si>
    <t>Dorzolamide·HCl</t>
  </si>
  <si>
    <t>2-B04</t>
  </si>
  <si>
    <t>130693-82-2</t>
  </si>
  <si>
    <t>Inhibitor of carbonic anhydrase</t>
  </si>
  <si>
    <t>CN(C)CCC[C@@]1(C2=C(CO1)C=C(C=C2)C#N)C3=CC=C(C=C3)F</t>
  </si>
  <si>
    <t>(1S)-1-[3-(dimethylamino)propyl]-1-(4-fluorophenyl)-3H-2-benzofuran-5-carbonitrile</t>
  </si>
  <si>
    <t>2-B05</t>
  </si>
  <si>
    <t>128196-01-0</t>
  </si>
  <si>
    <t>Escitalopram blocks the reuptake of serotonin at the serotonin reuptake pump of the neuronal membrane, enhancing the actions of serotonin on 5HT1A autoreceptors. SSRIs bind with significantly less affinity to histamine, acetylcholine, and norepinephrine receptors than tricyclic antidepressant drugs.</t>
  </si>
  <si>
    <t>Common side effects are insomnia (14% vs. 4% for placebo), constricted pupils (15% vs. 5% for placebo), dry mouth (9% vs 3% for placebo), somnolence (9% vs 1% for placebo), dizziness (7% vs 2% for placebo), sweating (8% vs 1% for placebo), constipation (6% vs 1% for placebo), fatigue (6% vs 2% for placebo) and indigestion (6% vs. 1% for placebo).  Escitalopram, like other SSRIs, has been shown to affect sexual functions causing side effects such as decreased libido, delayed ejaculation, genital anesthesia, and anorgasmia.</t>
  </si>
  <si>
    <t>CCCCC1=NC=C(N1CC2=CC=C(C=C2)C(=O)O)/C=C(\CC3=CC=CS3)/C(=O)O.CS(=O)(=O)O</t>
  </si>
  <si>
    <t>4-[[2-butyl-5-[(E)-2-carboxy-3-thiophen-2-ylprop-1-enyl]imidazol-1-yl]methyl]benzoic acid;methanesulfonic acid</t>
  </si>
  <si>
    <t>Eprosartan Mesylate</t>
  </si>
  <si>
    <t>2-B06</t>
  </si>
  <si>
    <t>144143-96-4</t>
  </si>
  <si>
    <t>Eprosartan blocks the vasoconstrictor and aldosterone-secreting effects of angiotensin II by selectively blocking the binding of angiotensin II to the AT1 receptor found in many tissues (e.g., vascular smooth muscle, adrenal gland). There is also an AT2 receptor found in many tissues but it is not known to be associated with cardiovascular homeostasis. Eprosartan does not exhibit any partial agonist activity at the AT1 receptor. Its affinity for the AT1 receptor is 1,000 times greater than for the AT2 receptor. In vitro binding studies indicate that eprosartan is a reversible, competitive inhibitor of the AT1 receptor. Eprosartan has also been shown to bind to AT1 receptors both presynaptically and synaptically. Its action on presynaptic AT1 receptors results in the inhibition of sympathetically stimulated noradrenaline release. Unlike ACE inhibitors, eprosartan and other ARBs do not interfere with response to bradykinins and substance P, which allows for the absence of adverse effects that are present in ACE inhibitors (eg. dry cough).</t>
  </si>
  <si>
    <t>Eprosartan mesylate was well tolerated and  most adverse events were of mild severity and do not require discontinuation of therapy.</t>
  </si>
  <si>
    <t>CCN(CC)C(=O)/C(=C/C1=CC(=C(C(=C1)O)O)[N+](=O)[O-])/C#N</t>
  </si>
  <si>
    <t>(E)-2-cyano-3-(3,4-dihydroxy-5-nitrophenyl)-N,N-diethylprop-2-enamide</t>
  </si>
  <si>
    <t>Entacapone</t>
  </si>
  <si>
    <t>2-B07</t>
  </si>
  <si>
    <t>130929-57-6</t>
  </si>
  <si>
    <t>Antiparkinsonian</t>
  </si>
  <si>
    <t xml:space="preserve"> Catechol-O-methyl transferase (COMT) inhibitor</t>
  </si>
  <si>
    <t>The most frequent undesirable effects caused by entacapone relate to the increased effects of L-DOPA, such as involuntary movements (dyskinesias). Other common side effects are gastrointestinal problems, including nausea and abdominal pains. Diarrhea is a frequently reported. Entacapone may cause urine to turn reddish-brown. This is a harmless side effect and is not a cause for concern. In studies with entacapone, some people have reported experiencing a dry mouth.</t>
  </si>
  <si>
    <t>2-B08</t>
  </si>
  <si>
    <t>Although the exact mechanism of action of bleomycin is unknown, available evidence would seem to indicate that the main mode of action is the inhibition of DNA synthesis with some evidence of lesser inhibition of RNA and protein synthesis. DNA cleavage by bleomycin depends on oxygen and metal ions, at least in vitro. It is believed that bleomycin chelates metal ions (primarily iron) producing a pseudoenzyme that reacts with oxygen to produce superoxide and hydroxide free radicals that cleave DNA.</t>
  </si>
  <si>
    <t>The most serious complication of bleomycin is pulmonary fibrosis and impaired lung function. It has been suggested that bleomycin induces sensitivity to oxygen toxicity  and recent studies support the role of the proinflammatory cytokines IL-18 and IL-1beta in the mechanism of bleomycin-induced lung injury. Other side effects include fever, rash, dermatographism, hyperpigmentation, alopecia and Raynaud's phenomenon (discoloration of fingers and toes).</t>
  </si>
  <si>
    <t>C1=CC(=C(C(=C1)Cl)CC(=O)N=C(N)N)Cl.Cl</t>
  </si>
  <si>
    <t>N-(diaminomethylidene)-2-(2,6-dichlorophenyl)acetamide;hydrochloride</t>
  </si>
  <si>
    <t>Guanfacine·HCl</t>
  </si>
  <si>
    <t>2-B09</t>
  </si>
  <si>
    <t>29110-48-3</t>
  </si>
  <si>
    <t xml:space="preserve"> α2 noradrenergic receptor agonist</t>
  </si>
  <si>
    <t>C1CN=C(N1)NC2=C(C=CC3=NSN=C32)Cl.Cl</t>
  </si>
  <si>
    <t>5-chloro-N-(4,5-dihydro-1H-imidazol-2-yl)-2,1,3-benzothiadiazol-4-amine;hydrochloride</t>
  </si>
  <si>
    <t>Tizanidine·HCl</t>
  </si>
  <si>
    <t>2-B10</t>
  </si>
  <si>
    <t> 64461-82-1</t>
  </si>
  <si>
    <t xml:space="preserve"> Muscle relaxant</t>
  </si>
  <si>
    <t>Centrally acting α2 adrenergic agonist.</t>
  </si>
  <si>
    <t>COC1=CC=CC=C1OCCNCC(COC2=CC=CC3=C2C4=CC=CC=C4N3)O</t>
  </si>
  <si>
    <t>1-(9H-carbazol-4-yloxy)-3-[2-(2-methoxyphenoxy)ethylamino]propan-2-ol</t>
  </si>
  <si>
    <t>Carvedilol</t>
  </si>
  <si>
    <t>2-B11</t>
  </si>
  <si>
    <t>72956-09-3</t>
  </si>
  <si>
    <t>Antihypertensive, Congestive heart failure treatment</t>
  </si>
  <si>
    <t>A non-selective β-adrenergic blocker with α1 blocking activity.</t>
  </si>
  <si>
    <t>CCOC(=O)C1=C2CN(C(=O)C3=C(N2C=N1)C=CC(=C3)F)C</t>
  </si>
  <si>
    <t>ethyl 8-fluoro-5-methyl-6-oxo-4H-imidazo[1,5-a][1,4]benzodiazepine-3-carboxylate</t>
  </si>
  <si>
    <t>Flumazenil</t>
  </si>
  <si>
    <t>2-C02</t>
  </si>
  <si>
    <t>78755-81-4</t>
  </si>
  <si>
    <t>Benzodiazepine antagonist</t>
  </si>
  <si>
    <t>Competitive inhibitor of benzodiazepine recognition site on the GABA / benzodiazepine receptor complex.</t>
  </si>
  <si>
    <t>Flumazenil has been associated with seizures in patients with severe hepatic insufficiency and patients who were taking benzodiazepines for seizure control. Nervous system side effects have included seizures, agitation, anxiety, nervousness, dry mouth, tremor, palpitations, insomnia, dyspnea, hyperventilation, dizziness, vertigo, ataxia, confusion, somnolence, resedation (as flumazenil's effects wane), headache, and paresthesia have also been reported. Nausea and vomiting were reported in 11% of treated patients. Cardiovascular side effects have included cutaneous vasodilation (sweating, flushing, and hot flashes) in 1% to 3% of patients. Arrhythmias (atrial, nodal, ventricular extrasystoles), tachycardia, bradycardia, premature ventricular depolarizations, heart block, cardiac arrest, hypertension, and chest pain have been reported in less than 1% of patients.</t>
  </si>
  <si>
    <t>COC1=C(C=C2C(=C1)N=CN=C2NC3=CC(=C(C=C3)F)Cl)OCCCN4CCOCC4</t>
  </si>
  <si>
    <t>N-(3-chloro-4-fluorophenyl)-7-methoxy-6-(3-morpholin-4-ylpropoxy)quinazolin-4-amine</t>
  </si>
  <si>
    <t>Gefitinib</t>
  </si>
  <si>
    <t>2-C03</t>
  </si>
  <si>
    <t>184475-35-2</t>
  </si>
  <si>
    <t xml:space="preserve">Selective inhibitor of epidermal growth factor receptor's (EGFR) tyrosine kinase domain. Inhibits EGFR tyrosine kinase by binding to the adenosine triphosphate (ATP)-binding site of the enzyme. </t>
  </si>
  <si>
    <t>Acne is reported very commonly. Other common adverse effects (≥1% of patients) include: diarrhoea, nausea, vomiting, anorexia, stomatitis, dehydration, skin reactions, paronychia, asymptomatic elevations of liver enzymes, asthenia, conjunctivitis, blepharitis. Infrequent adverse effects (0.1–1% of patients) include: interstitial lung disease, corneal erosion, aberrant eyelash and hair growth. The drug carries low risk of thrombocytopenia and neutropenia.</t>
  </si>
  <si>
    <t>CC1=C(C=C(C=C1)NC(=O)C2=CC=C(C=C2)CN3CCN(CC3)C)NC4=NC=CC(=N4)C5=CN=CC=C5.CS(=O)(=O)O</t>
  </si>
  <si>
    <t>methanesulfonic acid;4-[(4-methylpiperazin-1-yl)methyl]-N-[4-methyl-3-[(4-pyridin-3-ylpyrimidin-2-yl)amino]phenyl]benzamide</t>
  </si>
  <si>
    <t>2-C04</t>
  </si>
  <si>
    <t>220127-57-1</t>
  </si>
  <si>
    <t>Imatinib mesylate is a protein-tyrosine kinase inhibitor.  It inhibits the constitutive abnormal tyrosine which is created by the Philadelphia chromosome abnormality in chronic myeloid leukemia (Bcr-Abl tyrosine kinase).  It induces apoptosis in Philadelphia chromosome positive chronic myeloid leukemia cells, as well as Bcl-Abl positive cells lines.</t>
  </si>
  <si>
    <t>CC1C(C(CC(O1)OC2CC(CC3=C(C4=C(C(=C23)O)C(=O)C5=CC=CC=C5C4=O)O)(C(=O)C)O)N)O.Cl</t>
  </si>
  <si>
    <t>9-acetyl-7-(4-amino-5-hydroxy-6-methyloxan-2-yl)oxy-6,9,11-trihydroxy-8,10-dihydro-7H-tetracene-5,12-dione;hydrochloride</t>
  </si>
  <si>
    <t>2-C05</t>
  </si>
  <si>
    <t>57852-57-0</t>
  </si>
  <si>
    <t>Antineoplastic, Antibiotic</t>
  </si>
  <si>
    <t>Idarubicin intercalates between DNA base pairs.  Idarubicin also inhibits topoisomerase II by stabilizing the the DNA-topoisomerase II complex and inhibiting topoisomerase II catalyzed religation.</t>
  </si>
  <si>
    <t>CC(C)(C1=CC=CC=C1CC[C@H](C2=CC=CC(=C2)/C=C/C3=NC4=C(C=CC(=C4)Cl)C=C3)SCC5(CC5)CC(=O)[O-])O.[Na+]</t>
  </si>
  <si>
    <t>sodium;2-[1-[[(1R)-1-[3-[(E)-2-(7-chloroquinolin-2-yl)ethenyl]phenyl]-3-[2-(2-hydroxypropan-2-yl)phenyl]propyl]sulfanylmethyl]cyclopropyl]acetate</t>
  </si>
  <si>
    <t>Montelukast·Na</t>
  </si>
  <si>
    <t>2-C06</t>
  </si>
  <si>
    <t>151767-02-1</t>
  </si>
  <si>
    <t xml:space="preserve">Anti-Asthmatic, Antiarrhythmic </t>
  </si>
  <si>
    <t>Montelukast is a leukotriene receptor antagonist specific to the CysLT1 receptor.  It is used to treat asthma and seasonal allergies.</t>
  </si>
  <si>
    <t>C[C@]12CC[C@H]3[C@H]([C@@H]1CCC2=O)CC(=C)C4=CC(=O)C=C[C@]34C</t>
  </si>
  <si>
    <t>(8R,9S,10R,13S,14S)-10,13-dimethyl-6-methylidene-7,8,9,11,12,14,15,16-octahydrocyclopenta[a]phenanthrene-3,17-dione</t>
  </si>
  <si>
    <t>Exemestane</t>
  </si>
  <si>
    <t>2-C07</t>
  </si>
  <si>
    <t>107868-30-4</t>
  </si>
  <si>
    <t>iirreversible steroidal aromatase inhibitor used in the adjuvant treatment of hormonally-responsive breast cancer in postmenopausal women.</t>
  </si>
  <si>
    <t>Cardiovascular: Chest pain; hypertension; peripheral edema. CNS: Fatigue; depression; insomnia; anxiety; headache; dizziness. 
Dermatologic: Rash; increased sweating; androgenic effects reported including hypertrichosis, hair loss, and acne. 
Endocrine: Hot flushes; weight gain.
Hematologic: Lymphopenia. Musculoskeletal
Musculoskeletal pain; arthralgia.</t>
  </si>
  <si>
    <t>CCCCC[C@@H](/C=C/[C@H]1[C@@H](CC(=O)[C@@H]1C/C=C\CCCC(=O)O)O)O</t>
  </si>
  <si>
    <t>(Z)-7-[(1R,2R,3R)-3-hydroxy-2-[(E,3S)-3-hydroxyoct-1-enyl]-5-oxocyclopentyl]hept-5-enoic acid</t>
  </si>
  <si>
    <t>2-C08</t>
  </si>
  <si>
    <t>363-24-6</t>
  </si>
  <si>
    <t>Muscle relaxant (used in labor), bone resorption stimulant</t>
  </si>
  <si>
    <t>Dinoprostone administered intravaginally stimulates the myometrium of the gravid uterus to contract in a manner that is similar to the contractions seen in the term uterus during labor, resulting in the evacuation of the products of conception from the uterus. It is believed that dinoprostone exerts its uterine effects via direct myometrial stimulation, but the exact mechanism of action is unkown. Other suggested mechanisms include the regulation of cellular membrane calcium transport and of intracellular concentrations of cyclic 3',5'-adenosine monophosphate. Dinoprostone also appears to produce local cervical effects including softening, effacement, and dilation. The exact mechanism of action for this effect is also unknown, but it has been suggested that this effect may be associated with collagen degradation caused by secretion of the enzyme collagenase as a partial response to locally administered dinoprostone.</t>
  </si>
  <si>
    <t xml:space="preserve">Possible side effects: Hypotension, Abnormally strong or frequent uterine contractions, Severe uterine pain, Abnormal, excessive, or persistent vaginal bleeding, Persistent fever, nausea, vomiting, abdominal (stomach) pain, or diarrhea, Chest pain or pressure, arrhythmias, Allergic reactions. </t>
  </si>
  <si>
    <t>CN(C)C(=N)N=C(N)N.Cl</t>
  </si>
  <si>
    <t>3-(diaminomethylidene)-1,1-dimethylguanidine;hydrochloride</t>
  </si>
  <si>
    <t>2-C09</t>
  </si>
  <si>
    <t>1115-70-4</t>
  </si>
  <si>
    <t>Antidiabetic</t>
  </si>
  <si>
    <t xml:space="preserve">Metformin improves insulin sensitivity, and decreases blood glucose levels by inhibiting hepatic glucose synthesis.  </t>
  </si>
  <si>
    <t>C1C2=C(C=CC(=C2Cl)Cl)NC3=NC(=O)CN31</t>
  </si>
  <si>
    <t>6,7-dichloro-5,10-dihydro-3H-imidazo[2,1-b]quinazolin-2-one</t>
  </si>
  <si>
    <t>Anagrelide</t>
  </si>
  <si>
    <t>2-C10</t>
  </si>
  <si>
    <t>68475-42-3</t>
  </si>
  <si>
    <t xml:space="preserve">Used in treating  thrombocytosis </t>
  </si>
  <si>
    <t>Anagrelide inhibits cyclic AMP phosphodieterase III (PDEIII) which can inhibit platelet aggregation.  The mechanism is not fully understood and is still under investigation.</t>
  </si>
  <si>
    <t>Can cause patients to be fatigue , hairloss and dizziness</t>
  </si>
  <si>
    <t>CN(CCC1=CC=C(C=C1)NS(=O)(=O)C)CCOC2=CC=C(C=C2)NS(=O)(=O)C</t>
  </si>
  <si>
    <t>N-[4-[2-[2-[4-(methanesulfonamido)phenoxy]ethyl-methylamino]ethyl]phenyl]methanesulfonamide</t>
  </si>
  <si>
    <t>Dofetilide</t>
  </si>
  <si>
    <t>2-C11</t>
  </si>
  <si>
    <t>115256-11-6</t>
  </si>
  <si>
    <t>The mechanism of action of Dofetilide is a blockade of the cardiac ion channel carrying the rapid component of the delayed rectifier potassium current, IKr. This inhibition of potassium channels results in a prolongation of action potential duration and the effective refractory period of accessory pathways (both anterograde and retrograde conduction in the accessory pathway).</t>
  </si>
  <si>
    <t xml:space="preserve">Torsades de pointes is the most serious side effect of dofetilide therapy. The incidence of torsades de pointes is dose-related, and is 0.3-10.5%. The risk appears to be dose-dependent, with an increased incidence of torsades de pointes associated with higher doses of dofetilide administered. </t>
  </si>
  <si>
    <t>COCCOC1=C(C=C2C(=C1)C(=NC=N2)NC3=CC=CC(=C3)C#C)OCCOC</t>
  </si>
  <si>
    <t>N-(3-ethynylphenyl)-6,7-bis(2-methoxyethoxy)quinazolin-4-amine</t>
  </si>
  <si>
    <t>2-D02</t>
  </si>
  <si>
    <t>Can be used in traeting several types of non-small cell cancer (eg. Lung)</t>
  </si>
  <si>
    <t xml:space="preserve">Targets epidermal growth factor receptor (EGFR) tyrosine kinase, which is highly expressed and occasionally mutated in various forms of cancer. Binds in a reversible fashion to the adenosine triphosphate (ATP) binding site of the receptor. </t>
  </si>
  <si>
    <t>Rash occurs in the majority of patients; Diarrhea; Loss of appetite; Fatigue;  
Rarely: Interstitial pneumonitis; 
It has also been suggested that erlotinib can cause hearing loss. 
Partial hair loss. Rare side effect: In spring 2009, the US Food and Drug Administration issued a warning on erlotinib. The FDA reported serious gastrointestinal tract, skin, and ocular disorders in patients taking the drug. In addition, some people prescribed erlotinib have developed serious or fatal gastrointestinal tract perforations, some fatal; and serious eye problems such as corneal lesions. The drug may cause severe leukopenia.</t>
  </si>
  <si>
    <t>C1CCC2=NC3=CC=CC=C3C(=C2C1)N.Cl</t>
  </si>
  <si>
    <t>1,2,3,4-tetrahydroacridin-9-amine;hydrochloride</t>
  </si>
  <si>
    <t>Tacrine·HCl</t>
  </si>
  <si>
    <t>2-D03</t>
  </si>
  <si>
    <t>1684-40-8</t>
  </si>
  <si>
    <t>Alzheimer's disease treatment</t>
  </si>
  <si>
    <t xml:space="preserve">Parasympathomimetic and a centrally acting cholinesterase inhibitor as well as histamine N-methyltransferase inhibitor.  </t>
  </si>
  <si>
    <t>The use of tacrine is limited by poor oral bioavailability, the necessity for four-times daily dosing, and considerable adverse drug reactions (including nausea, diarrhea, urinary incontinence and hepatotoxicity) such that few patients could tolerate therapeutic doses. 
Newer cholinesterase inhibitors, such as donepezil, are now preferred over tacrine.</t>
  </si>
  <si>
    <t>CN1CC[C@@]23C=C[C@@H](C[C@@H]2OC4=C(C=CC(=C34)C1)OC)O.Br</t>
  </si>
  <si>
    <t>(1S,12S,14R)-9-methoxy-4-methyl-11-oxa-4-azatetracyclo[8.6.1.0¹,¹².0⁶,¹⁷]heptadeca-6(17),7,9,15-tetraen-14-ol hydrobromide</t>
  </si>
  <si>
    <t>2-D04</t>
  </si>
  <si>
    <t>Galantamine is a competitive and reversible cholinesterase inhibitor. It reduces the action of AChE and therefore tends to increase the concentration of acetylcholine in the brain. It is hypothesized that this action might relieve some of the symptoms of Alzheimer's. It is also an allosteric ligand at nicotinic acetylcholine receptors.</t>
  </si>
  <si>
    <t>Galantamine's side effect profile was very similar to that of other cholinesterase inhibitors, with gastrointestinal symptoms being the most notable and most commonly observed. In practice, some other cholinesterase inhibitors might be better tolerated; however, a careful and gradual titration over more than three months may lead to equivalent long-term tolerability.</t>
  </si>
  <si>
    <t>C1(=C(N=C(C(=N1)Cl)N)N)C(=O)N=C(N)N.O.O.Cl</t>
  </si>
  <si>
    <t>3,5-diamino-6-chloro-N-(diaminomethylidene)pyrazine-2-carboxamide;dihydrate;hydrochloride</t>
  </si>
  <si>
    <t>2-D05</t>
  </si>
  <si>
    <t>17440-83-4</t>
  </si>
  <si>
    <t>Diuretic</t>
  </si>
  <si>
    <t>CCOC(=O)C1=C(NC(=C(C1C2=CC=CC=C2Cl)C(=O)OC)C)COCCN</t>
  </si>
  <si>
    <t>3-O-ethyl 5-O-methyl 2-(2-aminoethoxymethyl)-4-(2-chlorophenyl)-6-methyl-1,4-dihydropyridine-3,5-dicarboxylate</t>
  </si>
  <si>
    <t>Amlodipine</t>
  </si>
  <si>
    <t>2-D06</t>
  </si>
  <si>
    <t>88150-42-9</t>
  </si>
  <si>
    <t>Antihypertensive agent and in treating angina pectoris</t>
  </si>
  <si>
    <t>Amlodipine decreases arterial smooth muscle contractility and subsequent vasoconstriction by inhibiting the influx of calcium ions through L-type calcium channels. Calcium ions entering the cell through these channels bind to calmodulin. Calcium-bound calmodulin then binds to and activates myosin light chain kinase (MLCK). Activated MLCK catalyzes the phosphorylation of the regulatory light chain subunit of myosin, a key step in muscle contraction. Signal amplification is achieved by calcium-induced calcium release from the sarcoplasmic reticulum through ryanodine receptors. Inhibition of the initial influx of calcium decreases the contractile activity of arterial smooth muscle cells and results in vasodilation. The vasodilatory effects of amlodipine result in an overall decrease in blood pressure. Amlodipine is a long-acting CCB that may be used to treat mild to moderate essential hypertension and exertion-related angina (chronic stable angina). Another possible mechanism is that amlodipine inhibits vascular smooth muscle carbonic anhydrase I activity causing cellular pH increases which may be involved in regulating intracelluar calcium influx through calcium channels.</t>
  </si>
  <si>
    <t xml:space="preserve">Adverse side effects include: 
Very often: peripheral edema in 8.3% of users, fatigue in 4.5% of users,;  
Often: dizziness; palpitations; muscle-, stomach- or headache; dyspepsia; nausea - in 1 in 100 users; 
Sometimes: blood disorders, development of breasts in men (gynecomastia), impotence, depression, insomnia, tachycardia, gingival enlargement - in 1 in 1,000 users, 
Rarely: erratic behavior, hepatitis, jaundice - in 1 in 10,000 users 
Very rarely: hyperglycemia, tremor, Stevens–Johnson syndrome - in 1 in 100,000 users. 
</t>
  </si>
  <si>
    <t>CC(=O)O[C@@H]1[C@@H](SC2=CC=CC=C2N(C1=O)CCN(C)C)C3=CC=C(C=C3)OC.Cl</t>
  </si>
  <si>
    <t>[(2S,3S)-5-[2-(dimethylamino)ethyl]-2-(4-methoxyphenyl)-4-oxo-2,3-dihydro-1,5-benzothiazepin-3-yl] acetate;hydrochloride</t>
  </si>
  <si>
    <t>2-D07</t>
  </si>
  <si>
    <t>33286-22-5</t>
  </si>
  <si>
    <t>Antihypertensive, Vasodilator, Cardiovascular Agent (antianginal), Antiarrhythmic</t>
  </si>
  <si>
    <t>Possibly by deforming the channel, inhibiting ion-control gating mechanisms, and/or interfering with the release of calcium from the sarcoplasmic reticulum, diltiazem, like verapamil, inhibits the influx of extracellular calcium across both the myocardial and vascular smooth muscle cell membranes. The resultant inhibition of the contractile processes of the myocardial smooth muscle cells leads to dilation of the coronary and systemic arteries and improved oxygen delivery to the myocardial tissue.</t>
  </si>
  <si>
    <t>A reflex sympathetic response, caused by the peripheral dilation of vessels and the resulting drop in BP, works to counteract the negative inotropic, chronotropic and dromotropic effects of diltiazem. Undesirable effects include hypotension, bradycardia, dizziness, and flushing.</t>
  </si>
  <si>
    <t>CC1=C(C(C(=C(N1)C)C(=O)OC)C2=CC=CC=C2[N+](=O)[O-])C(=O)OC</t>
  </si>
  <si>
    <t>dimethyl 2,6-dimethyl-4-(2-nitrophenyl)-1,4-dihydropyridine-3,5-dicarboxylate</t>
  </si>
  <si>
    <t>Nifedipine</t>
  </si>
  <si>
    <t>2-D08</t>
  </si>
  <si>
    <t>21829-25-4</t>
  </si>
  <si>
    <t xml:space="preserve">Antihypertensive, Vasodilator, Tocolytic </t>
  </si>
  <si>
    <t xml:space="preserve">Nifedipine decreases arterial smooth muscle contractility and subsequent vasoconstriction by inhibiting the influx of calcium ions through L-type calcium channels. Calcium ions entering the cell through these channels bind to calmodulin. Calcium-bound calmodulin then binds to and activates myosin light chain kinase (MLCK). Activated MLCK catalyzes the phosphorylation of the regulatory light chain subunit of myosin, a key step in muscle contraction. Signal amplification is achieved by calcium-induced calcium release from the sarcoplasmic reticulum through ryanodine receptors. Inhibition of the initial influx of calcium inhibits the contractile processes of smooth muscle cells, causing dilation of the coronary and systemic arteries, increased oxygen delivery to the myocardial tissue, decreased total peripheral resistance, decreased systemic blood pressure, and decreased afterload. The vasodilatory effects of nifedipine result in an overall decrease in blood pressure. </t>
  </si>
  <si>
    <t>Nifedipine rapidly lowers blood pressure, and patients are commonly warned they may feel dizzy or faint after taking the first few doses. Tachycardia (fast heart rate) may occur as a reaction.</t>
  </si>
  <si>
    <t>CC1=C(C(C(=C(N1)C)C(=O)OC(C)C)C2=CC(=CC=C2)[N+](=O)[O-])C(=O)OCCOC</t>
  </si>
  <si>
    <t>3-O-(2-methoxyethyl) 5-O-propan-2-yl 2,6-dimethyl-4-(3-nitrophenyl)-1,4-dihydropyridine-3,5-dicarboxylate</t>
  </si>
  <si>
    <t>Nimodipine</t>
  </si>
  <si>
    <t>2-D09</t>
  </si>
  <si>
    <t>66085-59-4</t>
  </si>
  <si>
    <t>Nimodipine blocks intracellular influx of calcium through voltage-dependent and receptor-operated slow calcium channels across the membranes of myocardial, vascular smooth muscle, and neuronal cells. Nimodipine binds specifically to L-type voltage-gated calcium channels. The inhibition of calcium ion transfer results in the inhibition of vascular smooth muscle contraction. Evidence suggests that the dilation of small cerebral resistance vessels, with a resultant increase in collateral circulation, and/or a direct effect involving the prevention of calcium overload in neurons may be responsible for nimodipine's clinical effect in patients with subarachnoid hemorrhage.</t>
  </si>
  <si>
    <t>For the high dosage of the drug less than 1% of the patients experienced adverse conditions including itching, gastrointestinal hemorrhage, thrombocytopenia, neurological deterioration, vomiting, diaphoresis, congestive heart failure, hyponatremia, decreasing platelet count, disseminated intravascular coagulation, deep vein thrombosis.</t>
  </si>
  <si>
    <t>CC(C)C(CCCN(C)CCC1=CC(=C(C=C1)OC)OC)(C#N)C2=CC(=C(C=C2)OC)OC.Cl</t>
  </si>
  <si>
    <t>2-(3,4-dimethoxyphenyl)-5-[2-(3,4-dimethoxyphenyl)ethyl-methylamino]-2-propan-2-ylpentanenitrile;hydrochloride</t>
  </si>
  <si>
    <t>2-D10</t>
  </si>
  <si>
    <t>152-11-4</t>
  </si>
  <si>
    <t>Antihypertensive, Antiangina, Antiarrhythmia, and most recently, cluster headaches treatment</t>
  </si>
  <si>
    <t>L-Type Calcium Channel Blocker</t>
  </si>
  <si>
    <t>C1CCC(CC1)(CC(=O)O)CN</t>
  </si>
  <si>
    <t>2-[1-(aminomethyl)cyclohexyl]acetic acid</t>
  </si>
  <si>
    <t>Gabapentin</t>
  </si>
  <si>
    <t>2-D11</t>
  </si>
  <si>
    <t>60142-96-3</t>
  </si>
  <si>
    <t>Anticonvulsant, Anti-anxiety Agent, Antiparkinson Agent, Analgesic</t>
  </si>
  <si>
    <t>Gabapentin interacts with cortical neurons at auxillary subunits of voltage-sensitive calcium channels. Gabapentin increases the synaptic concentration of GABA, enhances GABA responses at non-synaptic sites in neuronal tissues, and reduces the release of mono-amine neurotransmitters. One of the mechanisms implicated in this effect of gabapentin is the reduction of the axon excitability measured as an amplitude change of the presynaptic fibre volley (FV) in the CA1 area of the hippocampus. This is mediated through its binding to presynaptic NMDA receptors. Other studies have shown that the antihyperalgesic and antiallodynic effects of gabapentin are mediated by the descending noradrenergic system, resulting in the activation of spinal alpha2-adrenergic receptors. Gabapentin has also been shown to bind and activate the adenosine A1 receptor.</t>
  </si>
  <si>
    <t xml:space="preserve">Gabapentin's most common side effects in adult patients include dizziness, fatigue, weight gain, drowsiness, and peripheral edema (swelling of extremities). Also, children 3–12 years of age were observed to be susceptible to mild-to-moderate mood swings, hostility, concentration problems, and hyperactivity. Although rare, there are several cases of hepatotoxicity reported in the literature. An increase in formation of adenocarcinomas was observed in rats during preclinical trials; however, the clinical significance of these results remains undetermined. Gabapentin is also known to induce pancreatic acinar cell carcinomas in rats through an unknown mechanism, perhaps by stimulation of DNA synthesis; these tumors did not affect the lifespan of the rats and did not metastasize.
</t>
  </si>
  <si>
    <t>CCOC(=O)C1=C(NC(=C(C1C2=C(C(=CC=C2)Cl)Cl)C(=O)OC)C)C</t>
  </si>
  <si>
    <t>5-O-ethyl 3-O-methyl 4-(2,3-dichlorophenyl)-2,6-dimethyl-1,4-dihydropyridine-3,5-dicarboxylate</t>
  </si>
  <si>
    <t>Felodipine</t>
  </si>
  <si>
    <t>2-E02</t>
  </si>
  <si>
    <t>72509-76-3</t>
  </si>
  <si>
    <t xml:space="preserve"> Calcium channel blocker</t>
  </si>
  <si>
    <t>Contraindicated with allergy to felodipine or other calcium channel blockers, sick sinus syndrome, heart block (second and third degree), lactation. Use cautiously with pregnancy, impaired hepatic function.</t>
  </si>
  <si>
    <t>CC(COC1=CC=CC=C1)N(CCCl)CC2=CC=CC=C2.Cl</t>
  </si>
  <si>
    <t>N-benzyl-N-(2-chloroethyl)-1-phenoxypropan-2-amine;hydrochloride</t>
  </si>
  <si>
    <t>2-E03</t>
  </si>
  <si>
    <t>63-92-3</t>
  </si>
  <si>
    <t xml:space="preserve">Antihypertensive, Vasodilator </t>
  </si>
  <si>
    <t xml:space="preserve">Phenoxybenzamine produces its therapeutic actions by blocking alpha receptors, leading to a muscle relaxation and a widening of the blood vessels. This widening of the blood vessels results in a lowering of blood pressure. Phenoxybenzamine forms a permanent covalent bond with adrenergic receptors. Based on known information about the structures of these receptors, it likely involves attack by the cysteine at position 3.36 in transmembrane helix 3 to form a stable linkage. Thus, it remains permanently bound to the receptor, preventing adrenaline and noradrenaline from binding. This causes vasodilatation in blood vessels, due to its antagonistic effect at the alpha-1 adrenoceptor found in the walls of blood vessels, resulting in a drop in blood pressure. It will also affect the postsynaptic alpha 1 and 2 receptors in the nervous system, and so reduce sympathetic activity. This results in further vasodilation, pupil constriction, an increase in GI tract motility and secretions, and glycogen synthesis. It also has partial agonist/antagonist properties at the serotonin 5-HT2A receptor. Due to its 5-HT2A antagonism, it is useful in the treatment of carcinoid tumor, a neoplasm that secretes large amounts of serotonin and causes diarrhea, bronchoconstriction, and flushing.
</t>
  </si>
  <si>
    <t>Cardiovascular side effects include postural hypotension and tachycardia. 
Genitourinary side effects include inhibition of ejaculation. This symptom is indicative of adrenergic blockade and varies according to the degree of blockade. 
Respiratory side effects include nasal congestion. This symptom is indicative of adrenergic blockade and varies according to the degree of blockade.
Ocular side effects include miosis while Nervous system side effects are associated with drowsiness and fatigue.</t>
  </si>
  <si>
    <t>CN1CCN(CC1)CCCN2C3=CC=CC=C3SC4=C2C=C(C=C4)C(F)(F)F.Cl.Cl</t>
  </si>
  <si>
    <t>10-[3-(4-methylpiperazin-1-yl)propyl]-2-(trifluoromethyl)phenothiazine;dihydrochloride</t>
  </si>
  <si>
    <t>2-E04</t>
  </si>
  <si>
    <t>440-17-5</t>
  </si>
  <si>
    <t>Antipsychotic, Antiemetics</t>
  </si>
  <si>
    <t>Trifluoperazine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</si>
  <si>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A 2004 meta-analysis of the studies on trifluoperazine found that it is more likely than placebo to cause extrapyramidal side effects such as akathisia, dystonia, and Parkinsonism. It is also more likely to cause somnolence and anticholinergic side effects such as blurred vision and xerostomia (dry mouth). All phenothiazines can cause the rare and sometimes fatal neuroleptic malignant syndrome. Trifluoperazine can lower the seizure threshold. The antimuscarinic action of trifluoperazine can cause excessive dilation of the pupils (mydriasis), which increases the chances of patients with hyperopia developing glaucoma.</t>
  </si>
  <si>
    <t>CC(C)OC(=O)CCC/C=C\C[C@H]1[C@H](C[C@H]([C@@H]1CC[C@H](CCC2=CC=CC=C2)O)O)O</t>
  </si>
  <si>
    <t>propan-2-yl (Z)-7-[(1R,2R,3R,5S)-3,5-dihydroxy-2-[(3R)-3-hydroxy-5-phenylpentyl]cyclopentyl]hept-5-enoate</t>
  </si>
  <si>
    <t>Latanoprost</t>
  </si>
  <si>
    <t>2-E05</t>
  </si>
  <si>
    <t>130209-82-4</t>
  </si>
  <si>
    <t xml:space="preserve">Antiglaucoma, Antihypertensive, Neuroprotective </t>
  </si>
  <si>
    <t>Latanoprost is a prostaglandin F2a analogue. Specifically, Latanoprost is a prostanoid selective FP receptor agonist that is believed to reduce the intraocular pressure (IOP) by increasing the outflow of aqueous humor. Studies in animals and man suggest that the main mechanism of action is increased uveoscleral outflow. Elevated IOP represents a major risk factor for glaucomatous field loss. The higher the level of IOP, the greater the likelihood of optic nerve damage and visual field loss.</t>
  </si>
  <si>
    <t xml:space="preserve">May cause reddening of the eyes (hyperemia), blurred vision; eye discomfort; 
permanent darkening of the iris to brown (heterochromia); temporary burning sensation during use. Rarely, the drug may induce herpes simplex keratitis. </t>
  </si>
  <si>
    <t>CN(CCCNC(=O)C1CCCO1)C2=NC3=CC(=C(C=C3C(=N2)N)OC)OC</t>
  </si>
  <si>
    <t>N-[3-[(4-amino-6,7-dimethoxyquinazolin-2-yl)-methylamino]propyl]oxolane-2-carboxamide</t>
  </si>
  <si>
    <t>Alfuzosin</t>
  </si>
  <si>
    <t>2-E06</t>
  </si>
  <si>
    <t>81403-80-7</t>
  </si>
  <si>
    <t xml:space="preserve">Used in treating benign prostatic hyperplasia (BPH). It works by relaxing the muscles </t>
  </si>
  <si>
    <t>Alfuzosin is a non-subtype specific alpha(1)-adrenergic blocking agent that exhibits selectivity for alpha(1)-adrenergic receptors in the lower urinary tract. Inhibition of these adrenoreceptors leads to the relaxation of smooth muscle in the bladder neck and prostate, resulting in the improvement in urine flow and a reduction in symptoms in benign prostate hyperplasia. Alfuzosin also inhibits the vasoconstrictor effect of circulating and locally released catecholamines (epinephrine and norepinephrine), resulting in peripheral vasodilation.</t>
  </si>
  <si>
    <t>The most common side effects are dizziness (due to postural hypotension), upper respiratory tract infection, headache, and fatigue.</t>
  </si>
  <si>
    <t>CC(C)C[C@H]1C(=O)N2CCC[C@H]2[C@]3(N1C(=O)[C@](O3)(C(C)C)NC(=O)[C@H]4CN(C5CC6=C(NC7=CC=CC(=C67)C5=C4)Br)C)O.CS(=O)(=O)O</t>
  </si>
  <si>
    <t>(4R)-10-bromo-N-[(1S,2S,4R,7S)-2-hydroxy-7-(2-methylpropyl)-5,8-dioxo-4-(propan-2-yl)-3-oxa-6,9-diazatricyclo[7.3.0.0²,⁶]dodecan-4-yl]-6-methyl-6,11-diazatetracyclo[7.6.1.0²,⁷.0¹²,¹⁶]hexadeca-1(15),2,9,12(16),13-pentaene-4-carboxamide; methanesulfonic acid</t>
  </si>
  <si>
    <t>Bromocriptine Mesylate</t>
  </si>
  <si>
    <t>2-E07</t>
  </si>
  <si>
    <t>22260-51-1</t>
  </si>
  <si>
    <t xml:space="preserve">Bromocriptine stimulates centrally-located dopaminergic receptors resulting in a number of pharmacologic effects. The dopamine D2 receptor is a 7-transmembrane G-protein coupled receptor associated with Gi proteins. Stimulation of dopamine D2 receptor causes inhibition of adenylyl cyclase, which decreases intracellular cAMP concentrations and blocks IP3-dependent release of Ca2+ from intracellular stores. Decreases in intracellular calcium levels may also be brought about via inhibition of calcium influx through voltage-gated calcium channels, rather than via inhibition of adenylyl cyclase. Additionally, receptor activation blocks phosphorylation of p42/p44 MAPK and decreases MAPK/ERK kinase phosphorylation. Inhibition of MAPK appears to be mediated by c-Raf and B-Raf-dependent inhibition of MAPK/ERK kinase. Dopamine-stimulated growth hormone release from the pituitary gland is mediated by a decrease in intracellular calcium influx through voltage-gated calcium channels rather than via adenylyl cyclase inhibition. Stimulation of dopamine D2 receptors in the nigrostriatal pathway leads to improvements in coordinated muscle activity in those with movement disorders. </t>
  </si>
  <si>
    <t>Most frequent side effects are nausea, orthostatic hypotension, headaches and vomiting through stimulation of the brainstem vomiting centre. Bromocriptine can cause worsening of liver problems. Vasospasms with serious consequences such as myocardial infarction and stroke have been reported in connection with the puerperium, appears to be extremely rare event. Peripheral vasospasm (of the fingers or toes) can cause Raynaud's Phenomenon. Pulmonary fibrosis has been reported when bromocriptine was used in high doses for the treatment of Parkinson's disease.</t>
  </si>
  <si>
    <t>CN1CCN(CC1)C2=C3C=CC=CC3=NC4=C(N2)C=C(C=C4)Cl</t>
  </si>
  <si>
    <t>3-chloro-6-(4-methylpiperazin-1-yl)-5H-benzo[b][1,4]benzodiazepine</t>
  </si>
  <si>
    <t>Clozapine</t>
  </si>
  <si>
    <t>2-E08</t>
  </si>
  <si>
    <t>5786-21-0</t>
  </si>
  <si>
    <t xml:space="preserve">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t>
  </si>
  <si>
    <t>The use of clozapine is associated with side effects, many of which are minor, though some are serious and potentially fatal: the more common include extreme constipation, bed-wetting, night-time drooling, muscle stiffness, sedation, tremors, orthostasis, hyperglycemia, and weight gain. The risks of extrapyramidal symptoms such as tardive dyskinesia are much less with clozapine when compared to the typical antipsychotics; this may be due to clozapine's anticholinergic effects. Extrapyramidal symptoms may subside somewhat after a person switches from another antipsychotic to clozapine.
Clozapine also carries eleven black box warnings for agranulocytosis, CNS depression, leukopenia, neutropenia, seizure disorder, bone marrow suppression, dementia, hypotension, myocarditis, orthostatic hypotension and seizures.</t>
  </si>
  <si>
    <t>CC1=CC(=C(C(=C1/C=C/C(=C/C=C/C(=C/C(=O)O)/C)/C)C)C)OC</t>
  </si>
  <si>
    <t>(2E,4E,6E,8E)-9-(4-methoxy-2,3,6-trimethylphenyl)-3,7-dimethylnona-2,4,6,8-tetraenoic acid</t>
  </si>
  <si>
    <t>Acitretin</t>
  </si>
  <si>
    <t>2-E09</t>
  </si>
  <si>
    <t>55079-83-9</t>
  </si>
  <si>
    <t>Dermatologic</t>
  </si>
  <si>
    <t>Keratolytic</t>
  </si>
  <si>
    <t>Because acitretin can be reverse metabolised into etretinate which has a long half-life, women must avoid becoming pregnant for at least 3 years. Therefore, acitretin is generally not recommended for women of child bearing age with a risk of becoming pregnant. If a patient has received the medication, he/she is advised against giving blood for at least 3 years due to the risk of birth defects.</t>
  </si>
  <si>
    <t>C[C@H](CCCC(C)(C)O)[C@H]1CC[C@@H]\2[C@@]1(CCC/C2=C\C=C/3\C[C@H](C[C@@H](C3=C)O)O)C</t>
  </si>
  <si>
    <t>(1R,3S,5Z)-5-[(2E)-2-[(1R,3aS,7aR)-1-[(2R)-6-hydroxy-6-methylheptan-2-yl]-7a-methyl-2,3,3a,5,6,7-hexahydro-1H-inden-4-ylidene]ethylidene]-4-methylidenecyclohexane-1,3-diol</t>
  </si>
  <si>
    <t>2-E10</t>
  </si>
  <si>
    <t>32222-06-3</t>
  </si>
  <si>
    <t>Antihypocalcemic Agent, Antihypoparathyroid Agent, Vitamin (Vitamin D), Bone Density Conservation Agent</t>
  </si>
  <si>
    <t>Calcitriol binds to the cellular vitamin D receptor (VDR). Vitamin D receptors belong to the superfamily of steroid-hormone zinc-finger receptors. VDRs selectively bind 1,25-(OH)2-D3 and retinoic acid X receptor (RXR) to form a heterodimeric complex that interacts with specific DNA sequences known as vitamin D-responsive elements. VDRs are ligand-activated transcription factors. The receptors activate or repress the transcription of target genes upon binding their respective ligands. It is thought that the anticarcinogenic effect of Calcitriol is mediated via VDRs in cancer cells. The immunomodulatory activity of calcitriol is thought to be mediated by vitamin D receptors (VDRs) which are expressed constitutively in monocytes but induced upon activation of T and B lymphocytes. 1,25-(OH)2-D3 has also been found to enhance the activity of some vitamin D-receptor positive immune cells and to enhance the sensitivity of certain target cells to various cytokines secreted by immune cells.</t>
  </si>
  <si>
    <t xml:space="preserve">The main adverse drug reaction associated with calcitriol therapy is hypercalcaemia – early symptoms include: nausea, vomiting, constipation, anorexia, apathy, headache, thirst, sweating, and/or polyuria. Compared to other vitamin D compounds in clinical use (cholecalciferol, ergocalciferol), calcitriol has a higher risk of inducing hypercalcaemia. </t>
  </si>
  <si>
    <t>CC(=O)N1CCN(CC1)C2=CC=C(C=C2)OC[C@H]3CO[C@](O3)(CN4C=CN=C4)C5=C(C=C(C=C5)Cl)Cl</t>
  </si>
  <si>
    <t>1-[4-[4-[[(2R,4S)-2-(2,4-dichlorophenyl)-2-(imidazol-1-ylmethyl)-1,3-dioxolan-4-yl]methoxy]phenyl]piperazin-1-yl]ethanone</t>
  </si>
  <si>
    <t>Ketoconazole</t>
  </si>
  <si>
    <t>2-E11</t>
  </si>
  <si>
    <t>65277-42-1</t>
  </si>
  <si>
    <t xml:space="preserve">Antifungal </t>
  </si>
  <si>
    <t>Ketoconazole interacts with 14-α demethylase, a cytochrome P-450 enzyme necessary for the conversion of lanosterol to ergosterol. This results in inhibition of ergosterol synthesis and increased fungal cellular permeability. Other mechanisms may involve the inhibition of endogenous respiration, interaction with membrane phospholipids, inhibition of yeast transformation to mycelial forms, inhibition of purine uptake, and impairment of triglyceride and/or phospholipid biosynthesis. Ketoconazole can also inhibit the synthesis of thromboxane and sterols such as aldosterone, cortisol, and testosterone.</t>
  </si>
  <si>
    <t xml:space="preserve">The side effects of ketoconazole are sometimes used to treat non-fungal problems. The decrease in testosterone caused by the drug makes it useful for treating prostate cancer and for preventing post-operative erections following penile surgery. Another use is the suppression of glucocorticoid synthesis, where it is used in the treatment of Cushing's syndrome. 
Ketoconazole is also used in combination with other drugs such as zinc pyrithione in rinse-off products. The anti-dandruff shampoo is designed for people who have a more serious case of dandruff where symptoms include, but are not limited to constant non-stop flaking, and severe itchiness.
It is a pregnancy category C drug because animal testing has shown it to cause teratogenesis in high dosages. </t>
  </si>
  <si>
    <t>C1=CC2=C(C(=C1)OCC(COC3=CC=CC4=C3C(=O)C=C(O4)C(=O)[O-])O)C(=O)C=C(O2)C(=O)[O-].[Na+].[Na+]</t>
  </si>
  <si>
    <t>disodium;5-[3-(2-carboxylato-4-oxochromen-5-yl)oxy-2-hydroxypropoxy]-4-oxochromene-2-carboxylate</t>
  </si>
  <si>
    <t>Cromolyn·Na (Disodium Cromoglycate)</t>
  </si>
  <si>
    <t>2-F02</t>
  </si>
  <si>
    <t>15826-37-6</t>
  </si>
  <si>
    <t xml:space="preserve"> Mast cell stabilizer, Antiallergy, Antiasthma</t>
  </si>
  <si>
    <t>Cromoglicate inhibits degranulation of mast cells, subsequently preventing the release of histamine and slow-reacting substance of anaphylaxis (SRS-A), mediators of type I allergic reactions. Cromoglicate also may reduce the release of inflammatory leukotrienes. Cromoglicate may act by inhibiting calcium influx.</t>
  </si>
  <si>
    <t>The most frequently reported adverse events were headache and diarrhea, each of which occurred in 4 of the 87 patients. Pruritus, nausea, and myalgia were each reported in 3 patients and abdominal pain, rash, and irritability in 2 patients each. One report of malaise was also recorded.</t>
  </si>
  <si>
    <t>(E)-N-[(4-hydroxy-3-methoxyphenyl)methyl]-8-methylnon-6-enamide</t>
  </si>
  <si>
    <t>Capsaicin</t>
  </si>
  <si>
    <t>2-F03</t>
  </si>
  <si>
    <t>404-86-4</t>
  </si>
  <si>
    <t>Analgesic</t>
  </si>
  <si>
    <t>The burning and painful sensations associated with capsaicin result from its chemical interaction with sensory neurons. Capsaicin, as a member of the vanilloid family, binds to a receptor called the vanilloid receptor subtype 1 (VR1). First cloned in 1997, VR1 is an ion channel-type receptor. VR1, which can also be stimulated with heat and physical abrasion, permits cations to pass through the cell membrane and into the cell when activated. The resulting depolarization of the neuron stimulates it to signal the brain. By binding to the VR1 receptor, the capsaicin molecule produces the same sensation that excessive heat or abrasive damage would cause, explaining why the spiciness of capsaicin is described as a burning sensation.</t>
  </si>
  <si>
    <t>Capsaicin is a highly irritant material requiring proper protective goggles, respirators, and proper hazardous material handling procedures. Capsaicin takes effect upon skin contact (irritant, sensitizer), eye contact (irritant), ingestion, and inhalation (lung irritant, lung sensitizer). Severe over-exposure to pure capsaicin can result in death. Painful exposures to capsaicin-containing peppers are among the most common plant-related exposures presented to poison centers. They cause burning or stinging pain to the skin, and if ingested in large amounts by adults or small amounts by children, can produce nausea, vomiting, abdominal pain and burning diarrhea. Eye exposure produces intense tearing, pain, conjunctivitis and blepharospasm.</t>
  </si>
  <si>
    <t>C[C@@H]1C[C@H]2[C@@H]3CCC4=CC(=O)C=C[C@@]4([C@]3([C@H](C[C@@]2([C@]1(C(=O)CO)O)C)O)F)C</t>
  </si>
  <si>
    <t>(8S,9R,10S,11S,13S,14S,16R,17R)-9-fluoro-11,17-dihydroxy-17-(2-hydroxyacetyl)-10,13,16-trimethyl-6,7,8,11,12,14,15,16-octahydrocyclopenta[a]phenanthren-3-one</t>
  </si>
  <si>
    <t>Dexamethasone</t>
  </si>
  <si>
    <t>2-F04</t>
  </si>
  <si>
    <t>50-02-2</t>
  </si>
  <si>
    <t>Anti-inflammatory, Hormonal, Antineoplastic</t>
  </si>
  <si>
    <t>Dexamethasone is a glucocorticoid agonist. Unbound dexamethasone crosses cell membranes and binds with high affinity to specific cytoplasmic glucocorticoid receptors. This complex binds to DNA elements (glucocorticoid response elements) which results in a modification of transcription and, hence, protein synthesis in order to achieve inhibition of leukocyte infiltration at the site of inflammation, interference in the function of mediators of inflammatory response, suppression of humoral immune responses, and reduction in edema or scar tissue. The antiinflammatory actions of dexamethasone are thought to involve phospholipase A2 inhibitory proteins, lipocortins, which control the biosynthesis of potent mediators of inflammation such as prostaglandins and leukotrienes.</t>
  </si>
  <si>
    <t>If dexamethasone is given orally or by injection (parenteral) over a period of more than a few days, side effects common to systemic glucocorticoids may occur. The short-time treatment for allergic reaction, shock, and diagnostic purposes usually does not cause serious side effects.</t>
  </si>
  <si>
    <t>C1CCN(CC1)C2=NC(=NC3=C2N=C(N=C3N4CCCCC4)N(CCO)CCO)N(CCO)CCO</t>
  </si>
  <si>
    <t>2-[[2-[bis(2-hydroxyethyl)amino]-4,8-di(piperidin-1-yl)pyrimido[5,4-d]pyrimidin-6-yl]-(2-hydroxyethyl)amino]ethanol</t>
  </si>
  <si>
    <t>Dipyridamole</t>
  </si>
  <si>
    <t>2-F05</t>
  </si>
  <si>
    <t>58-32-2</t>
  </si>
  <si>
    <t>Vasodilator, Platelet aggregation Inhibitor</t>
  </si>
  <si>
    <t>The drug acts as a thromboxane synthase inhibitor, lowering the levels of TXA2 and thus stops the effects of TXA2 (platelet aggregation, bronchioconstriction and vasoconstriction). It inhibits the cellular reuptake of adenosine into platelets, red blood cells and endothelial cells leading to increased extracellular concentrations of adenosine. It also inhibits the enzyme adenosine deaminase, which normally breaks down adenosine into inosine. This inhibition leads to further increased levels of extracellular adenosine. Dipyridamole also inhibits the phosphodiesterase enzymes that normally break down cAMP (increasing cellular cAMP levels and blocking the platelet response to ADP) and/or cGMP (resulting in added benefit when given together with NO or statins).</t>
  </si>
  <si>
    <t xml:space="preserve">Cardiovascular symptoms have been the most frequently reported adverse effects associated with dipyridamole, particularly when given intravenously. Ischemia and angina have been reported following oral administration. Intravenous administration has been associated with chest pain (20% to 25%), ST segment depression (8% to 20%), facial flushing (2%), and severe ischemia (2.5%). Atrial and ventricular premature beats, ventricular tachycardia, ventricular fibrillation, bradycardia, asystole, sinus arrest, and myocardial infarction have also been reported. Hypotension may occur, with an average decrease in mean arterial pressure of 5% to 10%. Nervous system effects included headache (12.2%), lightheadedness or dizziness (11.8%), and paresthesias (1.3%). Gastrointestinal disturbances associated with dipyridamole therapy have included nausea and vomiting in up to 5% of patients. Gallstones containing dipyridamole have been reported in patients on long-term dipyridamole therapy. Hematologic abnormalities have included rare bleeding complications due to the platelet inhibitory effects of dipyridamole. Hypersensitivity reactions have been reported rarely and included angioedema and anaphylaxis. </t>
  </si>
  <si>
    <t>CCC(=C)C(=O)C1=C(C(=C(C=C1)OCC(=O)O)Cl)Cl</t>
  </si>
  <si>
    <t>2-[2,3-dichloro-4-(2-methylidenebutanoyl)phenoxy]acetic acid</t>
  </si>
  <si>
    <t>Ethacrynic Acid</t>
  </si>
  <si>
    <t>2-F06</t>
  </si>
  <si>
    <t>58-54-8</t>
  </si>
  <si>
    <t>Inhibits sodium-potassium-chloride cotransport in the ascending loop of Henle; Potent inhibitor of glutathione S-transferase.</t>
  </si>
  <si>
    <t>Etacrynic acid can cause low potassium levels, which may manifest as muscle cramps or weakness. It has also been known to cause reversible or permanent hearing loss (ototoxicity) and liver damage. On oral administration, it produces diarrhea; intestinal bleeding may occur at higher doses.</t>
  </si>
  <si>
    <t>CC1=C(C2=C(N1C(=O)C3=CC=C(C=C3)Cl)C=CC(=C2)OC)CC(=O)O</t>
  </si>
  <si>
    <t>2-[1-(4-chlorobenzoyl)-5-methoxy-2-methylindol-3-yl]acetic acid</t>
  </si>
  <si>
    <t>Indomethacin</t>
  </si>
  <si>
    <t>2-F07</t>
  </si>
  <si>
    <t>53-86-1</t>
  </si>
  <si>
    <t xml:space="preserve">Non-steroidal antiinflammatory, Analgesic, Antipyretic </t>
  </si>
  <si>
    <t xml:space="preserve">Indomethacin is a prostaglandin G/H synthase (also known as cyclooxygenase or COX) inhibitor that acts on both prostaglandin G/H synthase 1 and 2 (COX-1 and -2). Prostaglandin G/H synthase catalyzes the conversion of arachidonic acid to a number of prostaglandins involved in fever, pain, swelling, inflammation, and platelet aggregation. Indomethacin antagonizes COX by binding to the upper portion of the active site, preventing its substrate, arachidonic acid, from entering the active site. Indomethacin, unlike other NSAIDs, also inhibits phospholipase A2, the enzyme responsible for releasing arachidonic acid from phospholipids. Indomethacin is more selective for COX-1 than COX-2, which accounts for its increased adverse gastric effects relative to other NSAIDs. COX-1 is required for maintaining the protective gastric mucosal layer. </t>
  </si>
  <si>
    <t xml:space="preserve">Since indomethacin inhibits both COX-1 and COX-2, it inhibits the production of prostaglandins in the stomach and intestines, which maintain the mucous lining of the gastrointestinal tract. Indomethacin, therefore, like other non-selective COX inhibitors can cause peptic ulcers. These ulcers can result in serious bleeding and/or perforation requiring hospitalization of the patient. 
Other common gastrointestinal complaints, including dyspepsia, heartburn and mild diarrhea are less serious and rarely require discontinuation of indomethacin.
Indomethacin also reduces plasma renin activity and aldosterone levels, and increases sodium and potassium retention. It also enhances the effects of vasopressin. Together these may lead to:
edema, hyperkalemia, hypernatremia, hypertension. Additionally, indomethacin quite often causes headache (10 to 20%), sometimes with vertigo and dizziness, hearing loss, tinnitus, blurred vision (with or without retinal damage). Cases of life-threatening shock (including angioedema, sweating, severe hypotension and tachycardia as well as acute bronchospasm), severe or lethal hepatitis and severe bone marrow damage have all been reported. Skin reactions and photosensitivity are also possible side effects. Due to its strong antipyretic activity indomethacin may obscure the clinical course of serious infections. Psychosis has also been reported with prolonged use. 
The frequency and severity of side effects and the availability of better tolerated alternatives make indomethacin today a drug of second choice. Its use in acute gout attacks and in dysmenorrhea is well-established because in these indications the duration of treatment is limited to a few days only, therefore serious side effects are not likely to occur.
</t>
  </si>
  <si>
    <t>C[C@@H](C1=CC2=C(C=C1)C=C(C=C2)OC)C(=O)O</t>
  </si>
  <si>
    <t>(2S)-2-(6-methoxynaphthalen-2-yl)propanoic acid</t>
  </si>
  <si>
    <t>Naproxen</t>
  </si>
  <si>
    <t>2-F08</t>
  </si>
  <si>
    <t>22204-53-1</t>
  </si>
  <si>
    <t>Analgesic, anti-inflammatory, antipyretic</t>
  </si>
  <si>
    <t>The mechanism of action of naproxen is believed to be associated with the inhibition of cyclooxygenase activity. Naproxen works by inhibiting both the COX-1 and COX-2 enzymes.</t>
  </si>
  <si>
    <t xml:space="preserve">COX-2 selective and non-selective NSAIDs have been linked to increases in the number of serious and potentially fatal cardiovascular events such as myocardial infarctions and stroke. A 2011 meta-analysis published in the British Medical Journal states that, of all NSAIDs evaluated, naproxen was associated with the smallest overall cardiovascular risks. The drug had roughly 50% of the associated risk of stroke as compared with ibuprofen and was also associated with a reduced number of myocardial infarctions as compared to control groups. 
As with other NSAIDs, naproxen can cause gastrointestinal problems such as heartburn, constipation, diarrhea, ulcers, and stomach bleeding. Consumption of alcohol may increase the risk of gastrointestinal complications. NSAID painkillers, such as naproxen, may interfere and reduce the efficiency of SSRI antidepressants.
</t>
  </si>
  <si>
    <t>CC(C)CC1=CC=C(C=C1)C(C)C(=O)O</t>
  </si>
  <si>
    <t>2-[4-(2-methylpropyl)phenyl]propanoic acid</t>
  </si>
  <si>
    <t>Ibuprofen</t>
  </si>
  <si>
    <t>2-F09</t>
  </si>
  <si>
    <t>15687-27-1</t>
  </si>
  <si>
    <t>Nonsteroidal anti-inflammatory, Analgesic, Antipyretic</t>
  </si>
  <si>
    <t>Ibuprofen is a non-selective inhibitor of cyclooxygenase (both the COX-1 and COX-2 enzymes are affected).</t>
  </si>
  <si>
    <t xml:space="preserve">Common adverse effects include: nausea, dyspepsia, gastrointestinal ulceration/bleeding, raised liver enzymes, diarrhea, constipation, epistaxis, headache, dizziness, priapism, rash, salt and fluid retention, and hypertension. A study from 2010 has shown regular use of NSAIDs was associated with an increase in hearing loss. Infrequent adverse effects include: esophageal ulceration, heart failure, hyperkalemia, renal impairment, confusion, and bronchospasm. Ibuprofen can exacerbate asthma sometimes fatally. Ibuprofen appears to have the lowest incidence of digestive adverse drug reactions (ADRs) of all the nonselective NSAIDs. However, this holds true only at lower doses of ibuprofen, so OTC preparations of ibuprofen are, in general, labeled to advise a maximum daily dose of 1,200 mg.
</t>
  </si>
  <si>
    <t>CCCCNC1=C(C(=CC(=C1)C(=O)O)S(=O)(=O)N)OC2=CC=CC=C2</t>
  </si>
  <si>
    <t>3-(butylamino)-4-phenoxy-5-sulfamoylbenzoic acid</t>
  </si>
  <si>
    <t>Bumetanide</t>
  </si>
  <si>
    <t>2-F10</t>
  </si>
  <si>
    <t>28395-03-1</t>
  </si>
  <si>
    <t>Bumetanide interferes with renal cAMP and/or inhibits the sodium-potassium ATPase pump. Bumetanide appears to block the active reabsorption of chloride and possibly sodium in the ascending loop of Henle, altering electrolyte transfer in the proximal tubule. This results in excretion of sodium, chloride, and water and, hence, diuresis. In the brain, bumetanide blocks the NKCC1 cation-chloride co-transporter, and thus decreases internal chloride concentration in neurons. In turn, this concentration change makes the action of GABA more hyperpolarizing, which may be useful for treatment of neonatal seizures, that quite often are not responsive to traditional GABA-targeted treatment, such as barbiturates. Bumetanide is therefore currently under evaluation as a prospective antiepileptic drug.</t>
  </si>
  <si>
    <t xml:space="preserve">On October 24, 2008, ESPN reported a number of NFL players were being suspended under the steroid policy as a result of taking bumetanide. The drug is often used for weight loss, but also to mask other drugs or steroids by helping to dilute the contents of the user's urine, yielding a lower concentration of filtered substances which may then go undetected. Bumetanide was an undisclosed active ingredient in the over the counter weight loss supplement StarCaps. StarCaps was pulled off the market after the presence of the undisclosed ingredient was discovered by the FDA.
</t>
  </si>
  <si>
    <t>C1[C@H](C([C@@H]([C@H](C1N)O[C@@H]2C([C@@H]([C@@H](C(O2)CN)O)O)N)O[C@H]3[C@H](C([C@H](O3)CO)OC4[C@H]([C@@H]([C@H](C(O4)CN)O)O)N)O)O)N.OS(=O)(=O)O.OS(=O)(=O)O.OS(=O)(=O)O</t>
  </si>
  <si>
    <t>(3S,4S,6R)-5-amino-2-(aminomethyl)-6-[(1S,2S,4R)-4,6-diamino-2-[(2S,3S,5R)-4-[(3S,4S,5R)-3-amino-6-(aminomethyl)-4,5-dihydroxyoxan-2-yl]oxy-3-hydroxy-5-(hydroxymethyl)oxolan-2-yl]oxy-3-hydroxycyclohexyl]oxyoxane-3,4-diol;sulfuric acid</t>
  </si>
  <si>
    <t>2-F11</t>
  </si>
  <si>
    <t>1405-10-3</t>
  </si>
  <si>
    <t>Neomycin irreversibly binds to specific 30S-subunit proteins and 16S rRNA. Specifically the drug binds to four nucleotides of 16S rRNA and a single amino acid of protein S12. This interferes with decoding site in the vicinity of nucleotide 1400 in 16S rRNA of 30S subunit. This region interacts with the wobble base in the anticodon of tRNA. This leads to interference with the initiation complex, misreading of mRNA so incorrect amino acids are inserted into the polypeptide leading to nonfunctional or toxic peptides and the breakup of polysomes into nonfunctional monosomes.</t>
  </si>
  <si>
    <t xml:space="preserve">Prolonged administration could result in sufficient systemic drug levels to produce neurotoxicity, ototoxicity and/or nephrotoxicity. Nephrotoxicity occurs via drug accumulation in renal proximal tubular cells resulting in cellular damage. Neomycin is the most toxic aminoglycoside agent, which is thought to be due to its large number of cationic amino groups. Otoxocity occurs via drug accumulation in the endolymph and perilymph of the inner ear causing irreversible damage to hair cells in the cochlea or summit of ampullar cristae in the vestibular complex. High frequency hearing loss is followed by low frequency hearing loss. Vestibular toxicity may result in vertigo, nausea and vomiting, dizziness and loss of balance. </t>
  </si>
  <si>
    <t>Water</t>
  </si>
  <si>
    <t>CCP(CC)CC.CC(=O)OCC1C(C(C(C(O1)[S-])OC(=O)C)OC(=O)C)OC(=O)C.[Au+]</t>
  </si>
  <si>
    <t>gold(1+);3,4,5-triacetyloxy-6-(acetyloxymethyl)oxane-2-thiolate;triethylphosphane</t>
  </si>
  <si>
    <t>Auranofin</t>
  </si>
  <si>
    <t>2-G02</t>
  </si>
  <si>
    <t>34031-32-8</t>
  </si>
  <si>
    <t>Antirheumatic</t>
  </si>
  <si>
    <t>kappa b kinase and thioredoxin reductase inhibitor</t>
  </si>
  <si>
    <t>Symptoms of overdose may include diarrhoea, vomiting, abdominal cramps, and symptoms of hypersensitivity (such as skin rash, hives, itching, and difficulty breathing).</t>
  </si>
  <si>
    <t>C[C@H](CS)C(=O)N1CCC[C@H]1C(=O)O</t>
  </si>
  <si>
    <t>(2S)-1-[(2S)-2-methyl-3-sulfanylpropanoyl]pyrrolidine-2-carboxylic acid</t>
  </si>
  <si>
    <t>Captopril</t>
  </si>
  <si>
    <t>2-G03</t>
  </si>
  <si>
    <t>62571-86-2</t>
  </si>
  <si>
    <t xml:space="preserve">An ACE inhibitor. It antagonizes the effect of the RAAS. </t>
  </si>
  <si>
    <t xml:space="preserve">Adverse effects of captopril include cough due to increase in the plasma levels of bradykinin, angioedema, agranulocytosis, proteinuria, hyperkalemia, taste alteration, teratogenicity, postural hypotension, acute renal failure and leukopenia. Except for postural hypotension, which occurs due to short and fast mode of action of captopril, most of the side effects mentioned are common for all ACE inhibitors. Among these, cough is the most common adverse effect. </t>
  </si>
  <si>
    <t>C1C(C1N)C2=CC=CC=C2.C1C(C1N)C2=CC=CC=C2.OS(=O)(=O)O</t>
  </si>
  <si>
    <t>2-phenylcyclopropan-1-amine;sulfuric acid</t>
  </si>
  <si>
    <t>Tranylcypromine Hemisulfate</t>
  </si>
  <si>
    <t>2-G04</t>
  </si>
  <si>
    <t>13492-01-8</t>
  </si>
  <si>
    <t>Antidepressant and anxiolytic</t>
  </si>
  <si>
    <t xml:space="preserve"> Non-selective and irreversible inhibitor of the enzyme monoamine oxidase (MAO).</t>
  </si>
  <si>
    <t>CN1C(=C(C2=CC=CC=C2S1(=O)=O)O)C(=O)NC3=CC=CC=N3</t>
  </si>
  <si>
    <t>4-hydroxy-2-methyl-1,1-dioxo-N-pyridin-2-yl-1$l^{6},2-benzothiazine-3-carboxamide</t>
  </si>
  <si>
    <t>Piroxicam</t>
  </si>
  <si>
    <t>2-G05</t>
  </si>
  <si>
    <t>36322-90-4</t>
  </si>
  <si>
    <t xml:space="preserve">Non-steroidal anti-inflammatory agent </t>
  </si>
  <si>
    <t>The antiinflammatory effect of Piroxicam may result from the reversible inhibition of cyclooxygenase, causing the peripheral inhibition of prostaglandin synthesis. The prostaglandins are produced by an enzyme called Cox-1. Piroxicam blocks the Cox-1 enzyme, resulting into the disruption of production of prostaglandins. Piroxicam also inhibits the migration of leukocytes into sites of inflammation and prevents the formation of thromboxane A2, an aggregating agent, by the platelets.</t>
  </si>
  <si>
    <t xml:space="preserve">Piroxicam use can result in gastrointestinal toxicity, tinnitus, dizziness, headache, rash, and pruritus. The most severe adverse reactions are peptic ulceration, gastrointestinal bleeding, and severe skin reactions including Stevens–Johnson syndrome and toxic epidermal necrolysis. Approximately 30% of all patients receiving daily doses of 20 mg of piroxicam experience side effects. Piroxicam may cause skin to become more sensitive to sunlight. Avoidance of sunlight and use of sunscreen is recommended.
</t>
  </si>
  <si>
    <t>COC1=C2C(=CC(=C1N3C[C@@H]4CCCN[C@@H]4C3)F)C(=O)C(=CN2C5CC5)C(=O)O.Cl</t>
  </si>
  <si>
    <t>7-[(4aS,7aS)-1,2,3,4,4a,5,7,7a-octahydropyrrolo[3,4-b]pyridin-6-yl]-1-cyclopropyl-6-fluoro-8-methoxy-4-oxoquinoline-3-carboxylic acid;hydrochloride</t>
  </si>
  <si>
    <t>Moxifloxacin·HCl</t>
  </si>
  <si>
    <t>2-G06</t>
  </si>
  <si>
    <t>186826-86-8</t>
  </si>
  <si>
    <t>Moxifloxacin inhibits topoisomerase II (DNA gyrase) and topoisomerase IV.  Topoisomerase II is essential to the replication, transcription and repair of bacterial DNA and topoisomerase IV is involved in the division of bacterial chromosomal DNA.</t>
  </si>
  <si>
    <t>CC(CC1=CC(=C(C=C1)O)O)(C(=O)O)NN.O</t>
  </si>
  <si>
    <t>(2S)-3-(3,4-dihydroxyphenyl)-2-hydrazinyl-2-methylpropanoic acid;hydrate</t>
  </si>
  <si>
    <t>S(-)-Carbidopa . monohydrate</t>
  </si>
  <si>
    <t>2-G07</t>
  </si>
  <si>
    <t>38821-49-7</t>
  </si>
  <si>
    <t>Antiparkinson, Antidyskinetic agent</t>
  </si>
  <si>
    <t xml:space="preserve">Peripheral inhibitor of aromatic L-amino acid decarboxylase. When administered with levodopa, it prevents conversion to dopamine, thereby increasing the amount of levodopa transferred to the CNS. </t>
  </si>
  <si>
    <t>CC(C1=CC=CC(=C1)C(=O)C2=CC=CC=C2)C(=O)O</t>
  </si>
  <si>
    <t>2-(3-benzoylphenyl)propanoic acid</t>
  </si>
  <si>
    <t>Ketoprofen</t>
  </si>
  <si>
    <t>2-G08</t>
  </si>
  <si>
    <t>22071-15-4</t>
  </si>
  <si>
    <t xml:space="preserve">The anti-inflammatory effects of ketoprofen are believed to be due to inhibition cylooxygenase-2 (COX-2), an enzyme involved in prostaglandin synthesis via the arachidonic acid pathway. This results in decreased levels of prostaglandins that mediate pain, fever and inflammation. Ketoprofen is a non-specific cyclooxygenase inhibitor and inhibition of COX-1 is thought to confer some of its side effects, such as GI upset and ulceration. Ketoprofen is thought to have anti-bradykinin activity, as well as lysosomal membrane-stabilizing action. Antipyretic effects may be due to action on the hypothalamus, resulting in an increased peripheral blood flow, vasodilation, and subsequent heat dissipation. </t>
  </si>
  <si>
    <t xml:space="preserve">Symptoms of overdose include drowsiness, vomiting and abdominal pain. 
Side effects are usually mild and mainly involved the GI tract. Most common adverse GI effect is dyspepsia (11% of patients). May cause nausea, diarrhea, abdominal pain, constipation and flatulence in greater than 3% of patients.
</t>
  </si>
  <si>
    <t>CC1=CN=C(S1)NC(=O)C2=C(C3=CC=CC=C3S(=O)(=O)N2C)O</t>
  </si>
  <si>
    <t>4-hydroxy-2-methyl-N-(5-methyl-1,3-thiazol-2-yl)-1,1-dioxo-1$l^{6},2-benzothiazine-3-carboxamide</t>
  </si>
  <si>
    <t>Meloxicam</t>
  </si>
  <si>
    <t>2-G09</t>
  </si>
  <si>
    <t>71125-38-7</t>
  </si>
  <si>
    <t xml:space="preserve">Nonsteroidal Anti-inflammatory,  Analgesic, Antineoplastic </t>
  </si>
  <si>
    <t>Meloxicam inhibits cyclooxygenase (COX), the enzyme responsible for converting arachidonic acid into prostaglandin H2—the first step in the synthesis of prostaglandins, which are mediators of inflammation. Meloxicam has been shown, especially at its low therapeutic dose, selectively to inhibit COX-2 over COX-1. Meloxicam concentrations in synovial fluid range from 40% to 50% of those in plasma. The free fraction in synovial fluid is 2.5 times higher than in plasma, due to the lower albumin content in synovial fluid as compared to plasma. The significance of this penetration is unknown,[1] but it may account for the fact that it performs exceptionally well in treatment of arthritis in animal models.</t>
  </si>
  <si>
    <t>Meloxicam use can result in gastrointestinal toxicity and bleeding, tinnitus, blinding headaches, rash, and very dark or black stool (a sign of intestinal bleeding). It has fewer gastrointestinal side effects than diclofenac, piroxicam, naproxen, and perhaps all other NSAIDs which are not COX-2 selective. Although meloxicam does inhibit thromboxane A, it does not appear to do so at levels that would interfere with platelet function.</t>
  </si>
  <si>
    <t>CC(C)(C)C#C/C=C/CN(C)CC1=CC=CC2=CC=CC=C21.Cl</t>
  </si>
  <si>
    <t>(E)-N,6,6-trimethyl-N-(naphthalen-1-ylmethyl)hept-2-en-4-yn-1-amine;hydrochloride</t>
  </si>
  <si>
    <t>Terbinafine·HCl</t>
  </si>
  <si>
    <t>2-G10</t>
  </si>
  <si>
    <t>78628-80-5</t>
  </si>
  <si>
    <t>A squalene monooxygenase inhibitor, causing an inhibition in the synthesis of ergosterol, a necessary component of fungal cell membranes.</t>
  </si>
  <si>
    <t>C1=CC=C(C=C1)CCCC(=O)[O-].[Na+]</t>
  </si>
  <si>
    <t>sodium;4-phenylbutanoate</t>
  </si>
  <si>
    <t>Sodium Phenylbutyrate</t>
  </si>
  <si>
    <t>2-G11</t>
  </si>
  <si>
    <t>1716-12-7</t>
  </si>
  <si>
    <t>Antimicrobial spectrum: Antifungal and antimycotic. Fungicidal against dermatopytes and some yeasts; fungistatic against Candida albicans.</t>
  </si>
  <si>
    <t>Phenylbutyrate is a prodrug. In the human body it is metabolized by beta-oxidation to phenylacetate.</t>
  </si>
  <si>
    <t>CCC(C)(C)C(=O)O[C@H]1C[C@H](C=C2[C@H]1[C@H]([C@H](C=C2)C)CC[C@@H]3C[C@H](CC(=O)O3)O)C</t>
  </si>
  <si>
    <t>[(1S,3R,7S,8S,8aR)-8-[2-[(2R,4R)-4-hydroxy-6-oxooxan-2-yl]ethyl]-3,7-dimethyl-1,2,3,7,8,8a-hexahydronaphthalen-1-yl] 2,2-dimethylbutanoate</t>
  </si>
  <si>
    <t>Simvastatin</t>
  </si>
  <si>
    <t>2-H02</t>
  </si>
  <si>
    <t>79902-63-9</t>
  </si>
  <si>
    <t xml:space="preserve">Anticholesteremic, antilipemic </t>
  </si>
  <si>
    <t>A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t>
  </si>
  <si>
    <t xml:space="preserve">Common side effects (&gt;1% incidence) may include abdominal pain, diarrhea, indigestion, and a general feeling of weakness. Rare side effects include joint pain, memory loss, and muscle cramps. Cholestatic hepatitis, hepatic cirrhosis, rhabdomyolysis and myositis have been reported in patients receiving the drug chronically.
A type of DNA variant known as a single nucleotide polymorphism (SNP) may help predict individuals prone to developing myopathy when taking simvastatin; a study ultimately including 32,000 patients concluded that carriers of one or two risk alleles of particular SNPs were at 5x or 16x increased risk, respectively. On June 8, 2011, the U.S. Food and Drug Administration (FDA) announced new safety recommendations for high-dose simvastatin (80 mg) due to muscle injury risk.
</t>
  </si>
  <si>
    <t>CC(C)CC(C(=O)NC(CCCN=C(N)N)C(=O)N1CCCC1C(=O)NNC(=O)N)NC(=O)C(COC(C)(C)C)NC(=O)C(CC2=CC=C(C=C2)O)NC(=O)C(CO)NC(=O)C(CC3=CNC4=CC=CC=C43)NC(=O)C(CC5=CN=CN5)NC(=O)C6CCC(=O)N6.CC(=O)O</t>
  </si>
  <si>
    <t>acetic acid;N-[1-[[1-[[1-[[1-[[1-[[1-[[1-[2-[(carbamoylamino)carbamoyl]pyrrolidin-1-yl]-5-(diaminomethylideneamino)-1-oxopentan-2-yl]amino]-4-methyl-1-oxopentan-2-yl]amino]-3-[(2-methylpropan-2-yl)oxy]-1-oxopropan-2-yl]amino]-3-(4-hydroxyphenyl)-1-oxopropan-2-yl]amino]-3-hydroxy-1-oxopropan-2-yl]amino]-3-(1H-indol-3-yl)-1-oxopropan-2-yl]amino]-3-(1H-imidazol-5-yl)-1-oxopropan-2-yl]-5-oxopyrrolidine-2-carboxamide</t>
  </si>
  <si>
    <t>Goserelin Acetate</t>
  </si>
  <si>
    <t>2-H03</t>
  </si>
  <si>
    <t>145781-92-6</t>
  </si>
  <si>
    <t>Terbinafine inhibits squalene monooxygenase thereby blocking the biosynthesis of ergosterol, which is an essential component of fungal cell membranes. The inhibition of squalene monooxygenase also results in the accumulation of squalene. Terbinafine hydrochloride is highly lipophilic and tends to accumulate in skin, nails, and fatty tissues1. It is antifungal and antimycotic. It is fungicidal against dermatopytes and some yeasts and is fungistatic against Candida albicans.</t>
  </si>
  <si>
    <t xml:space="preserve">Goserelin Acetate may cause a temporary increase in bone pain and symptoms of prostatic cancer during the first few weeks of treatment. This is known as the tumour flare effect, and is the result of an initial increase in luteinizing hormone production, before the receptors are desensitised and hormonal production is inhibited. Goserelin may cause bone pain, hot flushes, headache, stomach upset, depression, difficulty urinating (isolated cases), weight gain, swelling and tenderness of breasts (infrequent), decreased erections and reduced sexual desire. 
Memory loss may be severe and may not return to normal levels. </t>
  </si>
  <si>
    <t>C1CCN(CC1)CCOC2=CC=C(C=C2)C(=O)C3=C(SC4=C3C=CC(=C4)O)C5=CC=C(C=C5)O.Cl</t>
  </si>
  <si>
    <t>[6-hydroxy-2-(4-hydroxyphenyl)-1-benzothiophen-3-yl]-[4-(2-piperidin-1-ylethoxy)phenyl]methanone;hydrochloride</t>
  </si>
  <si>
    <t>Raloxifene·HCl</t>
  </si>
  <si>
    <t>2-H04</t>
  </si>
  <si>
    <t>82640-04-8</t>
  </si>
  <si>
    <t>Antihypocalcemic, Osteoporosis Prophylactic, Bone Density Conservation Agent</t>
  </si>
  <si>
    <t xml:space="preserve">Raloxifene binds to estrogen receptors, resulting in differential expression of multiple estrogen-regulated genes in different tissues. Raloxifene produces estrogen-like effects on bone, reducing resorption of bone and increasing bone mineral density in postmenopausal women, thus slowing the rate of bone loss. The maintenance of bone mass by raloxifene and estrogens is, in part, through the regulation of the gene-encoding transforming growth factor-β3 (TGF-β3), which is a bone matrix protein with antiosteoclastic properties. Raloxifene activates TGF-β3 through pathways that are estrogen receptor-mediated but involve DNA sequences distinct from the estrogen response element. The drug also binds to the estrogen receptor and acts as an estrogen agonist in preosteoclastic cells, which results in the inhibtion of their proliferative capacity. This inhibition is thought to contribute to the drug's effect on bone resorption. Other mechanisms include the suppression of activity of the bone-resorbing cytokine interleukin-6 promoter activity. Raloxifene also antagonizes the effects of estrogen on mammary tissue and blocks uterotrophic responses to estrogen. By competing with estrogens for the estrogen receptors in reproductive tissue, raloxifene prevents the transcriptional activation of genes containing the estrogen response element. As well, raloxifene inhibits the estradiol-dependent proliferation of MCF-7 human mammary tumor cells in vitro. The mechansim of action of raloxifene has not been fully determined, but evidence suggests that the drug's tissue-specific estrogen agonist or antagonist activity is related to the structural differences between the raloxifene-estrogen receptor complex (specifically the surface topography of AF-2) and the estrogen-estrogen receptor complex. Also, the existence of at least 2 estrogen receptors (ERα, ERβ) may contribute to the tissue specificity of raloxifene. </t>
  </si>
  <si>
    <t xml:space="preserve">Common adverse events considered to be drug-related were hot flashes and leg cramps. 
Raloxifene may infrequently cause serious blood clots to form in the legs, lungs, or eyes. Other reactions experienced include leg swelling/pain, trouble breathing, chest pain, vision changes. Raloxifene is a teratogenic drug. </t>
  </si>
  <si>
    <t>CC1C=CC=C(C(=O)NC2=C(C3=C(C(=C4C(=C3C(=O)C2=CNN5CCN(CC5)C)C(=O)C(O4)(OC=CC(C(C(C(C(C(C1O)C)O)C)OC(=O)C)C)OC)C)C)O)O)C</t>
  </si>
  <si>
    <t>(7S,9E,11S,12S,13R,14S,15S,16R,17R,18R,19E,21Z)-2,15,17,27,29-pentahydroxy-11-methoxy-3,7,12,14,16,18,22-heptamethyl-26-[(E)-N-(4-methylpiperazin-1-yl)carboximidoyl]-6,23-dioxo-8,30-dioxa-24-azatetracyclo[23.3.1.1⁴,⁷.0⁵,²⁸]triaconta-1,3,5(28),9,19,21,25(29),26-octaen-13-yl acetate</t>
  </si>
  <si>
    <t>2-H05</t>
  </si>
  <si>
    <t>13292-46-1</t>
  </si>
  <si>
    <t xml:space="preserve">Antibiotic, Antituberculosis Agent, Leprostatic </t>
  </si>
  <si>
    <t>Rifampicin binds to RNA polymerase causing RNA synthesis inhibition.</t>
  </si>
  <si>
    <t>C[C@@H]1OC[C@@H]2[C@@H](O1)[C@@H]([C@H]([C@@H](O2)O[C@H]3[C@H]4COC(=O)[C@@H]4[C@@H](C5=CC6=C(C=C35)OCO6)C7=CC(=C(C(=C7)OC)O)OC)O)O</t>
  </si>
  <si>
    <t>(5S,5aR,8aR,9R)-5-[[(2R,4aR,6R,7R,8R,8aS)-7,8-dihydroxy-2-methyl-4,4a,6,7,8,8a-hexahydropyrano[3,2-d][1,3]dioxin-6-yl]oxy]-9-(4-hydroxy-3,5-dimethoxyphenyl)-5a,6,8a,9-tetrahydro-5H-[2]benzofuro[6,5-f][1,3]benzodioxol-8-one</t>
  </si>
  <si>
    <t>Etoposide</t>
  </si>
  <si>
    <t>2-H06</t>
  </si>
  <si>
    <t>33419-42-0</t>
  </si>
  <si>
    <t xml:space="preserve"> Topoisomerase II inhibitor</t>
  </si>
  <si>
    <t>Common side reactions are: hypotension, alopecia, pain and or burning at the IV site 
constipation or diarrhea, metallic food taste, severe myelosuppression with leukopenia,  thrombocytopenia and anemia; Less common are: nausea and vomiting, allergic reactions, rash, 
fever.</t>
  </si>
  <si>
    <t>CC1=C(C(=O)C2=C(C1=O)N3C[C@H]4[C@@H]([C@@]3([C@@H]2COC(=O)N)OC)N4)N</t>
  </si>
  <si>
    <t>[(4S,6S,7R,8S)-11-amino-7-methoxy-12-methyl-10,13-dioxo-2,5-diazatetracyclo[7.4.0.0²,⁷.0⁴,⁶]trideca-1(9),11-dien-8-yl]methyl carbamate</t>
  </si>
  <si>
    <t>Mitomycin C</t>
  </si>
  <si>
    <t>2-H07</t>
  </si>
  <si>
    <t>50-07-7</t>
  </si>
  <si>
    <t>Antineoplastic antibiotic, Alkylating Agent, Cross-Linking Reagent</t>
  </si>
  <si>
    <t xml:space="preserve">Potent DNA crosslinker. A single crosslink per genome has shown to be effective in killing bacteria. This is accomplished by reductive activation followed by two N-alkylations. Both alkylations are sequence specific for a guanine nucleoside in the sequence 5'-CpG-3'. </t>
  </si>
  <si>
    <t>Myelosuppression is the most common and most serious toxicity, occurring in 64.4% of patients. Thrombocytopenia and/or leukopenia may occur anytime within 8 weeks after onset of therapy. About 25% of the leukopenic or thrombocytopenic episodes did not recover. Mitomycin produces cumulative myelosuppression. Symptoms of overdose include nausea and vomiting.</t>
  </si>
  <si>
    <t>CC(C)NC1=C(N=CC=C1)N2CCN(CC2)C(=O)C3=CC4=C(N3)C=CC(=C4)NS(=O)(=O)C.CS(=O)(=O)O</t>
  </si>
  <si>
    <t>methanesulfonic acid;N-[2-[4-[3-(propan-2-ylamino)pyridin-2-yl]piperazine-1-carbonyl]-1H-indol-5-yl]methanesulfonamide</t>
  </si>
  <si>
    <t>Delavirdine Mesylate</t>
  </si>
  <si>
    <t>2-H08</t>
  </si>
  <si>
    <t>147221-93-0</t>
  </si>
  <si>
    <t>Antiviral, Anti-HIV Agent</t>
  </si>
  <si>
    <t>Delavirdine is a non-nucleoside reverse transcriptase inhibitor (nNRTI) with activity against Human Immunodeficiency Virus Type 1 (HIV-1). Delavirdine binds directly to reverse transcriptase (RT) and blocks the RNA-dependent and DNA-dependent DNA polymerase activities by causing a disruption of the enzyme's catalytic site. The activity of Delavirdine does not compete with template or nucleoside triphosphates. HIV-2 RT and eukaryotic DNA polymerases (such as human DNA polymerases alpha, beta, or sigma) are not inhibited by Delavirdine.</t>
  </si>
  <si>
    <t>The most common adverse event is moderate to severe rash, which occurs in up to 20% of patients. Other common adverse events include fatigue, headache and nausea. Liver toxicity has also been reported.</t>
  </si>
  <si>
    <t>C[C@H]1[C@H]([C@H](C[C@@H](O1)O[C@H]2C[C@@](CC3=C(C4=C(C(=C23)O)C(=O)C5=C(C4=O)C=CC=C5OC)O)(C(=O)C)O)N)O.Cl</t>
  </si>
  <si>
    <t>(7S,9S)-9-acetyl-7-[(2R,4S,5S,6S)-4-amino-5-hydroxy-6-methyloxan-2-yl]oxy-6,9,11-trihydroxy-4-methoxy-8,10-dihydro-7H-tetracene-5,12-dione;hydrochloride</t>
  </si>
  <si>
    <t>2-H09</t>
  </si>
  <si>
    <t>23541-50-6</t>
  </si>
  <si>
    <t xml:space="preserve">Daunorubicin exhibits cytotoxic activity through topoisomerase-mediated interaction with DNA, thereby inhibiting DNA replication and repair and RNA and protein synthesis. Substrate for Pgp, MRP-1 and BCRP. </t>
  </si>
  <si>
    <t xml:space="preserve">Dose-limiting toxicity includes myelosuppression and cardiotoxicity. Risk of Heart failure (arrhythmias, myocarditis, pericarditis, sudden cardiac death). Reversible alopecia occurs in most patients. Rash, contact dermatitis and urticaria have occurred rarely. Acute nausea and vomiting occur but are usually mild. Rarely, anaphylactoid reaction, fever, and chills can occur. Hyperuricemia may occur, especially in patients with leukemia, and serum uric acid levels should be monitored.
</t>
  </si>
  <si>
    <t>C[C@H]1[C@H]([C@H](C[C@@H](O1)O[C@H]2C[C@@](CC3=C(C4=C(C(=C23)O)C(=O)C5=C(C4=O)C=CC=C5OC)O)(C(=O)CO)O)N)O.Cl</t>
  </si>
  <si>
    <t>(7S,9S)-7-[(2R,4S,5S,6S)-4-amino-5-hydroxy-6-methyloxan-2-yl]oxy-6,9,11-trihydroxy-9-(2-hydroxyacetyl)-4-methoxy-8,10-dihydro-7H-tetracene-5,12-dione;hydrochloride</t>
  </si>
  <si>
    <t>2-H10</t>
  </si>
  <si>
    <t>25316-40-9</t>
  </si>
  <si>
    <t>DNA Intercalator, Inhibitor of reverse transcriptase and RNA polymerase.</t>
  </si>
  <si>
    <t>Acute adverse effects of doxorubicin can include nausea, vomiting, and heart arrhythmias. It can also cause neutropenia (a decrease in white blood cells), as well as complete alopecia (hair loss). A more mild side effect is discoloration of the urine, which can turn bright red for up to 48 hours after dosing. When the cumulative dose of doxorubicin reaches 550 mg/m², the risks of developing cardiac side effects, including CHF, dilated cardiomyopathy, and death, dramatically increase. Doxorubicin cardiotoxicity is characterized by a dose-dependent decline in mitochondrial oxidative phosphorylation. Reactive oxygen species, generated by the interaction of doxorubicin with iron, can then damage the myocytes (heart cells), causing myofibrillar loss and cytoplasmic vacuolization. Additionally, some patients may develop PPE, characterized by skin eruptions on the palms of the hand or soles of the feet, swelling, pain and erythema.</t>
  </si>
  <si>
    <t>C1CN(CCN1CCOCC(=O)O)C(C2=CC=CC=C2)C3=CC=C(C=C3)Cl.Cl.Cl</t>
  </si>
  <si>
    <t>2-[2-[4-[(4-chlorophenyl)-phenylmethyl]piperazin-1-yl]ethoxy]acetic acid;dihydrochloride</t>
  </si>
  <si>
    <t>Cetirizine 2HCl</t>
  </si>
  <si>
    <t>2-H11</t>
  </si>
  <si>
    <t>83881-52-1</t>
  </si>
  <si>
    <t>Anti-Allergic, Antihistamine</t>
  </si>
  <si>
    <t>Cetirizine competes with histamine for binding at H1-receptor sites on the effector cell surface, resulting in suppression of histaminic edema, flare, and pruritus. The low incidence of sedation can be attributed to reduced penetration of cetirizine into the CNS as a result of the less lipophilic carboxyl group on the ethylamine side chain.</t>
  </si>
  <si>
    <t>Dryness of the mouth, nose and throat, drowsiness, urinary retention, blurred vision, nightmares and stomach ache are commonly reported side effects of this drug.</t>
  </si>
  <si>
    <t>CC1=CC=C(C=C1)S(=O)(=O)O.CC1=CC=C(C=C1)S(=O)(=O)O.CS(=O)(=O)CCNCC1=CC=C(O1)C2=CC3=C(C=C2)N=CN=C3NC4=CC(=C(C=C4)OCC5=CC(=CC=C5)F)Cl</t>
  </si>
  <si>
    <t>N-[3-chloro-4-[(3-fluorophenyl)methoxy]phenyl]-6-[5-[(2-methylsulfonylethylamino)methyl]furan-2-yl]quinazolin-4-amine;4-methylbenzenesulfonic acid</t>
  </si>
  <si>
    <t>Lapatinib Ditosylate</t>
  </si>
  <si>
    <t>3-A02</t>
  </si>
  <si>
    <t>Lapatinib inhibits tumor cell growth by binding to the intracellular tyrosine kinase domains of epidermal growth factor receptor (HER1/erbB1/EGFR) and human epidermal growth factor receptor type 2 (HER2/erbB2)</t>
  </si>
  <si>
    <t>CCC1=CN=C(C=C1)CCOC2=CC=C(C=C2)CC3C(=O)NC(=O)S3.Cl</t>
  </si>
  <si>
    <t>5-[[4-[2-(5-ethylpyridin-2-yl)ethoxy]phenyl]methyl]-1,3-thiazolidine-2,4-dione;hydrochloride</t>
  </si>
  <si>
    <t>Pioglitazone·HCl</t>
  </si>
  <si>
    <t>3-A03</t>
  </si>
  <si>
    <t>112529-15-4</t>
  </si>
  <si>
    <t>Antidiabetic, Hypoglycemic Agent</t>
  </si>
  <si>
    <t xml:space="preserve">Peroxisome Proliferator-Activated Receptors (PPARs) Agonist. </t>
  </si>
  <si>
    <t xml:space="preserve">A press release by GlaxoSmithKline in February 2007 noted that there is a greater incidence of fractures of the upper arms, hands and feet in female diabetics given rosiglitazone compared with those given metformin or glyburide. Pioglitazone can cause fluid retention and peripheral edema. As a result, it may precipitate congestive heart failure (which worsens with fluid overload in those at risk). It may cause anemia. Mild weight gain is common due to increase in subcutaneous adipose tissue. In studies, patients on pioglitazone had an increased proportion of upper respiratory tract infection, sinusitis, headache, myalgia and tooth problems. 
On July 30, 2007 an Advisory Committee of the Food and Drug Administration concluded that the use of rosiglitazone for the treatment of type 2 diabetes was associated with a greater risk of "myocardial ischemic events" when compared to placebo, but when compared to other diabetes drugs, there was no increased risk. On June 9, 2011 the French Agency for the Safety of Health Products decided to withdraw pioglitazone in regards to high risk of bladder cancer. On June 10, 2011 Germany's Federal Institute for Drugs and Medical Devices also advised doctors not to prescribe the medication until further investigation of the cancer risk had been conducted. 
On June 15, 2011 the U.S. FDA announced that pioglitazone use for more than one year may be associated with an increased risk of bladder cancer, and that the information about this risk will be added to the Warnings and Precautions section of the label for pioglitazone-containing medicines. The patient Medication Guide for these medicines will also be revised to include information on the risk of bladder cancer.
</t>
  </si>
  <si>
    <t>CCN(C)C(=O)OC1=CC=CC(=C1)[C@H](C)N(C)C.[C@@H]([C@H](C(=O)O)O)(C(=O)O)O</t>
  </si>
  <si>
    <t>(2R,3R)-2,3-dihydroxybutanedioic acid;[3-[(1S)-1-(dimethylamino)ethyl]phenyl] N-ethyl-N-methylcarbamate</t>
  </si>
  <si>
    <t>Rivastigmine Tartrate</t>
  </si>
  <si>
    <t>3-A04</t>
  </si>
  <si>
    <t> 129101-54-8</t>
  </si>
  <si>
    <t>Neuroprotective, Dementia treatment</t>
  </si>
  <si>
    <t>Mechanism of Action is not fully understood. Research suggests reversible binding and inactivation of cholinesterase, preventing acetylcholine hydrolysis, which leads to a higher concentration of acetylcholine at cholinergic synapses.</t>
  </si>
  <si>
    <t>3-A05</t>
  </si>
  <si>
    <t>CC1=C(C2=C(C1=CC3=CC=C(C=C3)S(=O)C)C=CC(=C2)F)CC(=O)O</t>
  </si>
  <si>
    <t>2-[6-fluoro-2-methyl-3-[(4-methylsulfinylphenyl)methylidene]inden-1-yl]acetic acid</t>
  </si>
  <si>
    <t>Sulindac</t>
  </si>
  <si>
    <t>3-A06</t>
  </si>
  <si>
    <t>38194-50-2</t>
  </si>
  <si>
    <t xml:space="preserve">Nonsteroidal anti-inflammatory, Analgesic, Antipyretic, Antineoplastic </t>
  </si>
  <si>
    <t>Sulindac's exact mechanism of action is unknown. Its antiinflammatory effects are believed to be due to inhibition of both COX-1 and COX-2 which leads to the inhibition of prostaglandin synthesis. Antipyretic effects may be due to action on the hypothalamus, resulting in an increased peripheral blood flow, vasodilation, and subsequent heat dissipation.</t>
  </si>
  <si>
    <t>Cases of overdose have been reported and rarely, deaths have occurred. The following signs and symptoms may be observed following overdose: stupor, coma, diminished urine output and hypotension.</t>
  </si>
  <si>
    <t>CCCC(CCC)C(=O)[O-].[Na+]</t>
  </si>
  <si>
    <t>sodium;2-propylpentanoate</t>
  </si>
  <si>
    <t>3-A07</t>
  </si>
  <si>
    <t>1069-66-5</t>
  </si>
  <si>
    <t>Anticonvulsant and mood-stabilizer; Also used to treat migraine headaches and schizophrenia.</t>
  </si>
  <si>
    <t>Histone deacetylase 1 (HDAC1) inhibitor, GABA transaminase inhibitor, voltage-gated sodium channels and T-type calcium channels blocker.</t>
  </si>
  <si>
    <t>Hepatotixic</t>
  </si>
  <si>
    <t>C[C@H](/C=C/C(C1CC1)O)[C@H]2CC[C@H]\3[C@@]2(CCC/C3=C\C=C/4\C[C@H](C[C@H](C4=C)O)O)C</t>
  </si>
  <si>
    <t>(1R,3R,5Z)-5-[(2E)-2-[(1R,3aR,7aR)-1-[(E,2R)-5-cyclopropyl-5-hydroxypent-3-en-2-yl]-7a-methyl-2,3,3a,5,6,7-hexahydro-1H-inden-4-ylidene]ethylidene]-4-methylidenecyclohexane-1,3-diol</t>
  </si>
  <si>
    <t>Calcipotriene</t>
  </si>
  <si>
    <t>3-A08</t>
  </si>
  <si>
    <t>112965-21-6</t>
  </si>
  <si>
    <t xml:space="preserve">Dermatologic Agent, Antipsoriatic </t>
  </si>
  <si>
    <t>The precise mechanism of calcipotriol in remitting psoriasis is not well-understood. However, it has been shown to have comparable affinity with calcitriol for the Vitamin D receptor, while being less than 1% as active as the calcitriol in regulating calcium metabolism. The Vitamin D receptor (VDR) belongs to the steroid/thyroid receptor superfamily, and is found on the cells of many different tissues including the thyroid, bone, kindney, and T cells of the immune system. T cells are known to play a role in psoriasis, and it is thought that the binding of calcipotriol to the VDR modulates the T cells gene transcription of cell differentiation and proliferation related genes.</t>
  </si>
  <si>
    <t>Calcipotriol has been shown in clinical trials to have an excellent safety profile. Reports of hypercalcaemia are rare.</t>
  </si>
  <si>
    <t>CC1=CC=CC=C1S(=O)(=O)NC(=O)C2=CC(=C(C=C2)CC3=CN(C4=C3C=C(C=C4)NC(=O)OC5CCCC5)C)OC</t>
  </si>
  <si>
    <t>cyclopentyl N-[3-[[2-methoxy-4-[(2-methylphenyl)sulfonylcarbamoyl]phenyl]methyl]-1-methylindol-5-yl]carbamate</t>
  </si>
  <si>
    <t>Zafirlukast</t>
  </si>
  <si>
    <t>3-A09</t>
  </si>
  <si>
    <t>107753-78-6</t>
  </si>
  <si>
    <t xml:space="preserve">Antiasthmatic </t>
  </si>
  <si>
    <t>Leukotriene receptor antagonist (LTRA); It blocks the action of the cysteinyl leukotrienes on the CysLT1 receptors, thus reducing constriction of the airways, build-up of mucus in the lungs and inflammation of the breathing passages.</t>
  </si>
  <si>
    <t xml:space="preserve">Side effects include rash and upset stomach. A letter was submitted to the FDA by Zeneca Pharmaceuticals on July 22, 1997, notifying them of a change in product labeling that includes the following potential reaction in patients undergoing a dosage reduction of oral steroids who are currently taking zafirlukast: 
The reduction of the oral steroid dose, in some patients on ACCOLATE therapy, has been followed in rare cases by the occurrence of eosinophilia, vasculitic rash, worsening pulmonary symptoms, cardiac complications, and/or neuropathy sometimes presenting as Churg–Strauss syndrome, a systemic eosinophilic vasculitis. Although a causal relationship with ACCOLATE has not been established, caution is required when oral steroid reduction is being considered.
</t>
  </si>
  <si>
    <t>CC(C1=CC2=CC=CC=C2S1)N(C(=O)N)O</t>
  </si>
  <si>
    <t>1-[1-(1-benzothiophen-2-yl)ethyl]-1-hydroxyurea</t>
  </si>
  <si>
    <t>Zileuton</t>
  </si>
  <si>
    <t>3-A10</t>
  </si>
  <si>
    <t>111406-87-2</t>
  </si>
  <si>
    <t>Inhibitor of 5-lipoxygenase. It inhibits leukotrienes (LTB4, LTC4, LTD4, and LTE4) formation.</t>
  </si>
  <si>
    <t xml:space="preserve">The most common adverse reactions reported were sinusitis (6.5%), nausea (5%), and pharyngolaryngeal pain (5%) vs. placebo, 4%, 1.5%, and 4% respectively. The most serious side effect of the drug is a potential elevation of liver enzymes (in 2% of patients). Therefore, zileuton is contraindicated in patients with active liver disease or persistent hepatic function enzymes elevations greater than three times the upper limit of normal. </t>
  </si>
  <si>
    <t>B([C@H](CC(C)C)NC(=O)[C@H](CC1=CC=CC=C1)NC(=O)C2=NC=CN=C2)(O)O</t>
  </si>
  <si>
    <t>[(1R)-3-methyl-1-[[(2S)-3-phenyl-2-(pyrazine-2-carbonylamino)propanoyl]amino]butyl]boronic acid</t>
  </si>
  <si>
    <t>Bortezomib</t>
  </si>
  <si>
    <t>3-A11</t>
  </si>
  <si>
    <t>179324-69-7</t>
  </si>
  <si>
    <t>Bortezomib is a reversible inhibitor of the chymotrypsin-like activity of the 26S proteasome in mammalian cells. The 26S proteasome is a large protein complex that degrades ubiquitinated proteins. The active site of the proteasome has chymotrypsin-like, trypsin-like, and postglutamyl peptide hydrolysis activity. The 26S proteasome degrades various proteins critical to cancer cell survival, such as cyclins, tumor suppressors, BCL-2, and cyclin-dependent kinase inhibitors. Inhibition of these degradations sensitizes cells to apoptosis. Bortezomib is a potent inhibitor of 26S proteasome, which sensitizes activity in dividing multiple myeloma and leukemic cells, thus inducing apoptosis. In addition, bortezomib appears to increase the sensitivity of cancer cells to traditional anticancer agents (e.g., gemcitabine, cisplatin, paclitaxel, irinotecan, and radiation).</t>
  </si>
  <si>
    <t>Bortezomib is associated with peripheral neuropathy in 30% of patients; occasionally, it can be painful. In addition, myelosuppression causing neutropenia and thrombocytopenia can also occur and be dose-limiting. However, these side effects are usually mild relative to bone marrow transplantation and other treatment options for patients with advanced disease. Bortezomib is associated with a high rate of shingles, although prophylactic acyclovir can reduce the risk of this.
Gastro-intestinal (GI) effects and asthenia are the most common adverse events.</t>
  </si>
  <si>
    <t>CC1=NS(=O)(=O)C2=C(N1)C=CC(=C2)Cl</t>
  </si>
  <si>
    <t>7-chloro-3-methyl-4H-1$l^{6},2,4-benzothiadiazine 1,1-dioxide</t>
  </si>
  <si>
    <t>Diazoxide</t>
  </si>
  <si>
    <t>3-B02</t>
  </si>
  <si>
    <t>364-98-7</t>
  </si>
  <si>
    <t xml:space="preserve">Antihypertensive, Vasodilator, Diuretic </t>
  </si>
  <si>
    <t>As a diuretic, diazoxide inhibits active chloride reabsorption at the early distal tubule via the Na-Cl cotransporter, resulting in an increase in the excretion of sodium, chloride, and water. Thiazides like diazoxide also inhibit sodium ion transport across the renal tubular epithelium through binding to the thiazide sensitive sodium-chloride transporter. This results in an increase in potassium excretion via the sodium-potassium exchange mechanism. The antihypertensive mechanism of diazoxide is less well understood although it may be mediated through its action on carbonic anhydrases in the smooth muscle or through its action on the large-conductance calcium-activated potassium (KCa) channel, also found in the smooth muscle. As a antihypoglycemic, diazoxide inhibits insulin release from the pancreas, probably by opening potassium channels in the beta cell membrane.</t>
  </si>
  <si>
    <t>The most common reactions reported following diazoxide administration include hypotension (7%), nausea and vomiting (4%), dizziness and weakness (2%).</t>
  </si>
  <si>
    <t>COC1=C(C=C(C=C1)Cl)C(=O)NCCC2=CC=C(C=C2)S(=O)(=O)NC(=O)NC3CCCCC3</t>
  </si>
  <si>
    <t>5-chloro-N-[2-[4-(cyclohexylcarbamoylsulfamoyl)phenyl]ethyl]-2-methoxybenzamide</t>
  </si>
  <si>
    <t>Glyburide</t>
  </si>
  <si>
    <t>3-B03</t>
  </si>
  <si>
    <t>10238-21-8</t>
  </si>
  <si>
    <t>Sulfonylureas such as glyburide bind to ATP-sensitive potassium channels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</si>
  <si>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This drug is a major cause of drug induced hypoglycemia. Cholestatic jaundice is noted.
Recently published data suggest glibenclamide is associated with significantly higher annual mortality when combined with metformin than other insulin-secreting medications. Glibenclamide causes cholestasis as the major side effect.</t>
  </si>
  <si>
    <t>C1CCN(CC1)C2=NC(=N)N(C(=C2)N)O</t>
  </si>
  <si>
    <t>3-hydroxy-2-imino-6-piperidin-1-ylpyrimidin-4-amine</t>
  </si>
  <si>
    <t>Minoxidil</t>
  </si>
  <si>
    <t>3-B04</t>
  </si>
  <si>
    <t>38304-91-5</t>
  </si>
  <si>
    <t>Minoxidil is thought to promote the survival of human dermal papillary cells (DPCs) or hair cells by activating both extracellular signal-regulated kinase (ERK) and Akt and by preventing cell death by increasing the ratio of BCl-2/Bax. Minoxidil may stimulate the growth of human hairs by prolonging anagen through these proliferative and anti-apoptotic effects on DPCs. Minoxidil, when used as a vasodilator, acts by opening adenosine triphosphate-sensitive potassium channels in vascular smooth muscle cells. This vasodilation may also improve the viability of hair cells or hair follicles.</t>
  </si>
  <si>
    <t>Side effects include cardiovascular effects associated with hypotension such as sudden weight gain, rapid heart beat, faintness or dizziness. Common side effects of minoxidil include burning or irritation of the eye, itching, redness or irritation at the treated area, as well as unwanted hair growth elsewhere on the body. Users should stop treatment and seek medical attention right away if they experience any of the following serious side effects: Severe allergic reactions (rash; hives; itching; difficulty breathing; tightness in the chest; swelling of the mouth, face, lips, or tongue); chest pain; dizziness; fainting; fast heartbeat; sudden, unexplained weight gain; swollen hands or feet.</t>
  </si>
  <si>
    <t>CC1=CC=C(C=C1)S(=O)(=O)NC(=O)NN2CCCCCC2</t>
  </si>
  <si>
    <t>1-(azepan-1-yl)-3-(4-methylphenyl)sulfonylurea</t>
  </si>
  <si>
    <t>Tolazamide</t>
  </si>
  <si>
    <t>3-B05</t>
  </si>
  <si>
    <t>1156-19-0</t>
  </si>
  <si>
    <t>Sulfonylureas likely bind to ATP-sensitive potassium-channel receptors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</si>
  <si>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Overdosage of sulfonylureas can produce hypoglycemia. Severe hypoglycemic reactions with coma, seizure, or other neurological impairment occur infrequently, but constitute medical emergencies requiring immediate hospitalization.</t>
  </si>
  <si>
    <t>CC1=CC2=C(C=C1C(=C)C3=CC=C(C=C3)C(=O)O)C(CCC2(C)C)(C)C</t>
  </si>
  <si>
    <t>4-[1-(3,5,5,8,8-pentamethyl-6,7-dihydronaphthalen-2-yl)ethenyl]benzoic acid</t>
  </si>
  <si>
    <t>Bexarotene</t>
  </si>
  <si>
    <t>3-B06</t>
  </si>
  <si>
    <t>153559-49-0</t>
  </si>
  <si>
    <t>Bexarotene selectively binds with and activates retinoid X receptor subtypes. There are three subtypes in total: RXRα, RXRβ, RXRγ. The exact mechanism of action of bexarotene in the treatment of CTCL is unknown but the drug has activity in all clinical stages of CTCL.</t>
  </si>
  <si>
    <t xml:space="preserve">Metabolic side effects have included hyperlipidemia (79%), hypercholesterolemia (32% to 62%), and increased lactic dehydrogenase (7% to 13%), hypothyroidism (29% to 53%). Hematologic side effects have included leukopenia (17% to 47%), anemia (6% to 24%), hypochromic anemia (4% to 13%), and high-grade hypertriglyceridemia. General side effects have included headache (30% to 42%), asthenia (20% to 45%), infection (13% to 22%), abdominal pain (4% to 11%), chills (10% to 13%), fever (5% to 17%), flu syndrome (4% to 13%), back pain (2% to 11%), and bacterial infection (1% to 13%). Dermatologic side effects have included rash (17% to 23%), dry skin (9% to 11%), exfoliative dermatitis (10% to 28%), alopecia (4% to 11%), and photosensitivity.
</t>
  </si>
  <si>
    <t>C1CC(CCC1CN)C(=O)O</t>
  </si>
  <si>
    <t>4-(aminomethyl)cyclohexane-1-carboxylic acid</t>
  </si>
  <si>
    <t>Tranexamic Acid</t>
  </si>
  <si>
    <t>3-B07</t>
  </si>
  <si>
    <t>1197-18-8</t>
  </si>
  <si>
    <t>Antifibrinolytic</t>
  </si>
  <si>
    <t>Competitively inhibitor of plasminogen activation</t>
  </si>
  <si>
    <t>Side effects are uncommon. Prolonged treatment may heighten the risk of an increased thrombotic tendency, such as deep vein thrombosis.</t>
  </si>
  <si>
    <t>CC1=CC=C(C=C1)C2=CC(=NN2C3=CC=C(C=C3)S(=O)(=O)N)C(F)(F)F</t>
  </si>
  <si>
    <t>4-[5-(4-methylphenyl)-3-(trifluoromethyl)pyrazol-1-yl]benzenesulfonamide</t>
  </si>
  <si>
    <t>Celecoxib</t>
  </si>
  <si>
    <t>3-B08</t>
  </si>
  <si>
    <t>169590-42-5</t>
  </si>
  <si>
    <t xml:space="preserve"> Non-steroidal anti-inflammatory, Anti-osteoarthritis, Anti-rheumatoid, analgesic </t>
  </si>
  <si>
    <t>The mechanism of action of celecoxib is believed to be due to inhibition of prostaglandin synthesis. Unlike most NSAIDs, which inhibit both types of cyclooxygenases (COX-1 and COX-2), celecoxib is a selective noncompetitive inhibitor of cyclooxygenase-2 (COX-2) enzyme. It binds with its polar sulfonamide side chain to a hydrophilic side pocket region close to the active COX-2 binding site. Both COX-1 and COX-2 catalyze the conversion of arachidonic acid to prostaglandin (PG) H2, the precursor of PGs and thromboxane.</t>
  </si>
  <si>
    <t>Due to the possibility of increased risk for heart attack and stroke in users of NSAID drugs, particularly COX-2 selective NSAIDs such as celecoxib the American Heart Association warned that celecoxib should be used "as a last resort on patients who have heart disease or a risk of developing it", and suggested that paracetamol (acetaminophen), or certain older NSAIDs, such as naproxen, may be safer choices for chronic pain relief in these patients. Celecoxib contains a sulfonamide moiety and may cause allergic reactions in those allergic to other sulfonamide-containing drugs. Celecoxib may increase the risk of renal failure with angiotensin converting enzyme-inhibitors, such as lisinopril, and diuretics, such as hydrochlorothiazide.</t>
  </si>
  <si>
    <t>CC[C@@H](C(=O)N)N1CCCC1=O</t>
  </si>
  <si>
    <t>(2S)-2-(2-oxopyrrolidin-1-yl)butanamide</t>
  </si>
  <si>
    <t>Levetiracetam</t>
  </si>
  <si>
    <t>3-B09</t>
  </si>
  <si>
    <t>102767-28-2</t>
  </si>
  <si>
    <t xml:space="preserve">Anticonvulsant, Nootropic </t>
  </si>
  <si>
    <t>The exact mechanism by which levetiracetam acts to treat epilepsy is unknown. However, the drug binds to a synaptic vesicle protein, SV2A, which is believed to impede nerve conduction across synapses.</t>
  </si>
  <si>
    <t>Generally well tolerated, but may cause drowsiness, weakness, unsteady gait, coordination problems, headache, pain, forgetfulness, anxiety, irritability or agitation, dizziness, mood changes, nervousness, loss of appetite, vomiting, diarrhea, constipation, and changes in skin pigmentation.
Serious side effects may include depression, hallucinations, suicidal thoughts, seizures that are worse or different, fever, sore throat, signs of infection, double vision, itching, rash, swelling of the face. A study published in 2005 suggests that the addition of pyridoxine (vitamin B6) may curtail some of the psychiatric symptoms.</t>
  </si>
  <si>
    <t>C1=CC(=CC=C1C#N)C(C2=CC=C(C=C2)C#N)N3C=NC=N3</t>
  </si>
  <si>
    <t>4-[(4-cyanophenyl)-(1,2,4-triazol-1-yl)methyl]benzonitrile</t>
  </si>
  <si>
    <t>Letrozole</t>
  </si>
  <si>
    <t>3-B10</t>
  </si>
  <si>
    <t>112809-51-5</t>
  </si>
  <si>
    <t xml:space="preserve">Third-generation aromatase inhibitor. It selectively and reversibly inhibits aromatase, which may result in growth inhibition of estrogen-dependent breast cancer cells. Aromatase, a cytochrome P-450 enzyme localized to the endoplasmic reticulum of the cell and found in many tissues including those of the premenopausal ovary, liver, and breast, catalyzes the aromatization of androstenedione and testosterone into estrone and estradiol, the final step in estrogen biosynthesis. </t>
  </si>
  <si>
    <t>The most common side effects are sweating, hot flashes, arthralgia (joint pain), and fatigue. Generally, side effects include signs and symptoms of hypoestrogenism. There is concern that long term use may lead to osteoporosis.</t>
  </si>
  <si>
    <t>CC(C)(C#N)C1=CC(=CC(=C1)CN2C=NC=N2)C(C)(C)C#N</t>
  </si>
  <si>
    <t>2-[3-(2-cyanopropan-2-yl)-5-(1,2,4-triazol-1-ylmethyl)phenyl]-2-methylpropanenitrile</t>
  </si>
  <si>
    <t>Anastrozole</t>
  </si>
  <si>
    <t>3-B11</t>
  </si>
  <si>
    <t>120511-73-1</t>
  </si>
  <si>
    <t>Aromatase Inhibitor</t>
  </si>
  <si>
    <t>Bone weakness has been associated with anastrozole. Women who switched to anastrozole after two years on tamoxifen reported twice as many fractures as those who continued to take tamoxifen (2.1% compared to 1%).</t>
  </si>
  <si>
    <t>CC(CS(=O)(=O)C1=CC=C(C=C1)F)(C(=O)NC2=CC(=C(C=C2)C#N)C(F)(F)F)O</t>
  </si>
  <si>
    <t>N-[4-cyano-3-(trifluoromethyl)phenyl]-3-(4-fluorophenyl)sulfonyl-2-hydroxy-2-methylpropanamide</t>
  </si>
  <si>
    <t>Bicalutamide</t>
  </si>
  <si>
    <t>3-C02</t>
  </si>
  <si>
    <t>90357-06-5</t>
  </si>
  <si>
    <t>Competes with androgen for the binding of androgen receptors, consequently blocking the action of androgens of adrenal and testicular origin which stimulate the growth of normal and malignant prostatic tissue.</t>
  </si>
  <si>
    <t>Adverse reactions include reproductive system and breast disorders, breast tenderness, gynaecomastia, hot flushes, gastrointestinal disorders, diarrhoea, nausea, hepatic changes (elevated levels of transaminases, jaundice), asthenia and pruritus.</t>
  </si>
  <si>
    <t>CCCCCCCCCCCCCCCC(=O)OC1C(C(C(OC1SC)C(C(C)Cl)NC(=O)C2CC(CN2C)CCC)O)O.Cl</t>
  </si>
  <si>
    <t>[6-[2-chloro-1-[(1-methyl-4-propylpyrrolidine-2-carbonyl)amino]propyl]-4,5-dihydroxy-2-methylsulfanyloxan-3-yl] hexadecanoate;hydrochloride</t>
  </si>
  <si>
    <t>Clindamycin Palmitate·HCl</t>
  </si>
  <si>
    <t>3-C03</t>
  </si>
  <si>
    <t>25507-04-4</t>
  </si>
  <si>
    <t>C1=CC=C(C=C1)NC(=O)CCCCCCC(=O)NO</t>
  </si>
  <si>
    <t>N'-hydroxy-N-phenyloctanediamide</t>
  </si>
  <si>
    <t>3-C04</t>
  </si>
  <si>
    <t>149647-78-9</t>
  </si>
  <si>
    <t>Antineoplastic; Treatment of cutaneous T cell lymphoma (CTCL)</t>
  </si>
  <si>
    <t>Histone deacetylase (HDAC) inhibitor</t>
  </si>
  <si>
    <t>General side effects including fatigue (52.3%), decreased weight (20.9%), chills (16.3%), dizziness (15.1%), and pyrexia (10.5%) have been reported. Other common effects are: diarrhea (52.3%), nausea (40.7%), thrombocytopenia (25.6%), muscle spasms (19.8%), alopecia (18.6%), pruritis (11.6%), peripheral edema (12.8%), headache (11.6%), upper respiratory infection (10.5%) and cough (10.5%).</t>
  </si>
  <si>
    <t>C1C[C@@H](O[C@@H]1CO)N2C=NC3=C2NC=NC3=O</t>
  </si>
  <si>
    <t>9-[(2R,5S)-5-(hydroxymethyl)oxolan-2-yl]-3H-purin-6-one</t>
  </si>
  <si>
    <t>Didanosine</t>
  </si>
  <si>
    <t>3-C05</t>
  </si>
  <si>
    <t>69655-05-6</t>
  </si>
  <si>
    <t>Didanosine (ddI) is metabolized intracellularly by a series of cellular enzymes to its active moiety, dideoxyadenosine triphosphate (ddATP), which inhibits the HIV reverse transcriptase enzyme competitively by competing with natural dATP. It also acts as a chain terminator by its incorporation into viral DNA as the lack of a 3'-OH group in the incorporated nucleoside analogue prevents the formation of the 5' to 3' phosphodiester linkage essential for DNA chain elongation, and therefore, the viral DNA growth is terminated.</t>
  </si>
  <si>
    <t>The most common adverse events with didanosine are diarrhea, nausea, vomiting, abdominal pain, fever, headache and rash. Peripheral neuropathy occurred in 21-26% of participants in key didanosine trials. Pancreatitis is rarely observed but has caused occasional fatalities, and has black box warning status. Other reported serious adverse events are retinal changes, optic neuritis and alterations of liver functions. The risk of some of these serious adverse events is increased by drinking alcohol.
In February 2010, the United States Food and Drug Administration issued a statement that patients using Didanosine (Videx) are at risk for a rare but potentially fatal liver disorder, non-cirrhotic portal hypertension.</t>
  </si>
  <si>
    <t>C1[C@H]2CC(CC3N2CC(=O)C1C3)OC(=O)C4=CNC5=CC=CC=C54</t>
  </si>
  <si>
    <t>(3S,7S)-1,3,7-trihydrogenio-10-oxo-8-azatricyclo[5.3.1.0³,⁸]undecan-5-yl 1H-indole-3-carboxylate</t>
  </si>
  <si>
    <t>Dolasetron</t>
  </si>
  <si>
    <t>3-C06</t>
  </si>
  <si>
    <t>115956-12-2</t>
  </si>
  <si>
    <t>Antinauseant and antiemetic agent.</t>
  </si>
  <si>
    <t>Selective serotonin 5-HT3 receptor antagonist. In vivo, the drug is rapidly converted into its major active metabolite, hydrodolasetron, which seems to be largely responsible for the drug's pharmacological activity. The antiemetic activity of the drug is brought about through the inhibition of 5-HT3 receptors present both centrally (medullary chemoreceptor zone) and peripherally (GI tract). This inhibition of 5-HT3 receptors in turn inhibits the visceral afferent stimulation of the vomiting center, likely indirectly at the level of the area postrema, as well as through direct inhibition of serotonin activity within the area postrema and the chemoreceptor trigger zone.</t>
  </si>
  <si>
    <t xml:space="preserve">Well-tolerated drug with few side effects. Headache, dizziness, and constipation are the most commonly reported side effects associated with its use. There is a potential for prolonging of the QT interval to occur as well. </t>
  </si>
  <si>
    <t>CCOC(=O)[C@H](CCC1=CC=CC=C1)N[C@@H](C)C(=O)N2CCC[C@H]2C(=O)O.C(=C\C(=O)O)\C(=O)O</t>
  </si>
  <si>
    <t>(Z)-but-2-enedioic acid;(2S)-1-[(2S)-2-[[(2S)-1-ethoxy-1-oxo-4-phenylbutan-2-yl]amino]propanoyl]pyrrolidine-2-carboxylic acid</t>
  </si>
  <si>
    <t>Enalaprilat Maleate</t>
  </si>
  <si>
    <t>3-C07</t>
  </si>
  <si>
    <t>76095-16-4</t>
  </si>
  <si>
    <t xml:space="preserve"> ACE inhibitor</t>
  </si>
  <si>
    <t>CC(C)N1C2=CC=CC=C2C(=C1/C=C/[C@@H](C[C@@H](CC(=O)[O-])O)O)C3=CC=C(C=C3)F.[Na+]</t>
  </si>
  <si>
    <t>sodium;(E,3S,5R)-7-[3-(4-fluorophenyl)-1-propan-2-ylindol-2-yl]-3,5-dihydroxyhept-6-enoate</t>
  </si>
  <si>
    <t>3-C08</t>
  </si>
  <si>
    <t> 93957-55-2</t>
  </si>
  <si>
    <t xml:space="preserve">Fluvastatin is a competitive inhibitor of hydroxymethylglutaryl-coenzyme A (HMG-CoA) reductase.  HMG-CoA reductase is responsible for the conversion of HMG-CoA to mevalonic acid, the rate-limiting step in cholesterol biosynthesis. </t>
  </si>
  <si>
    <t>CCC(=O)OC(C(C)C)OP(=O)(CCCCC1=CC=CC=C1)CC(=O)N2C[C@@H](C[C@H]2C(=O)[O-])C3CCCCC3.[Na+]</t>
  </si>
  <si>
    <t>sodium;(2S,4S)-4-cyclohexyl-1-[2-[(2-methyl-1-propanoyloxypropoxy)-(4-phenylbutyl)phosphoryl]acetyl]pyrrolidine-2-carboxylate</t>
  </si>
  <si>
    <t>Fosinopril·Na</t>
  </si>
  <si>
    <t>3-C09</t>
  </si>
  <si>
    <t>88889-14-9</t>
  </si>
  <si>
    <t xml:space="preserve"> Angiotensin converting enzyme (ACE) inhibitor</t>
  </si>
  <si>
    <t>C1=CN(C(=O)N=C1N)[C@H]2C([C@@H]([C@H](O2)CO)O)(F)F.Cl</t>
  </si>
  <si>
    <t>4-amino-1-[(2R,4R,5R)-3,3-difluoro-4-hydroxy-5-(hydroxymethyl)oxolan-2-yl]pyrimidin-2-one;hydrochloride</t>
  </si>
  <si>
    <t>3-C10</t>
  </si>
  <si>
    <t> 122111-03-9</t>
  </si>
  <si>
    <t xml:space="preserve">Antineoplastic,  Antiviral, Immunosuppressive </t>
  </si>
  <si>
    <t>Gemcitabine inhibits DNA synthesis through the inhibition of thymidylate synthetase.</t>
  </si>
  <si>
    <t>CN1[C@@H]2CCC[C@H]1CC(C2)NC(=O)C3=NN(C4=CC=CC=C43)C.Cl</t>
  </si>
  <si>
    <t>1-methyl-N-[(1S,5R)-9-methyl-9-azabicyclo[3.3.1]nonan-3-yl]indazole-3-carboxamide;hydrochloride</t>
  </si>
  <si>
    <t>Granisetron·HCl</t>
  </si>
  <si>
    <t>3-C11</t>
  </si>
  <si>
    <t>107007-99-8</t>
  </si>
  <si>
    <t>Antiemetic</t>
  </si>
  <si>
    <t>A serotonin 5-HT3 receptor antagonist.</t>
  </si>
  <si>
    <t>C1CC[C@H]([C@@H](C1)N)N.C(=O)(C(=O)O)O.[Pt]</t>
  </si>
  <si>
    <t>(1R,2R)-cyclohexane-1,2-diamine;oxalic acid;platinum</t>
  </si>
  <si>
    <t>Oxaliplatin</t>
  </si>
  <si>
    <t>3-D02</t>
  </si>
  <si>
    <t>61825-94-3</t>
  </si>
  <si>
    <t xml:space="preserve">DNA Crosslinker. After displacement of oxalate ligand, compound alkylates macromolecules, forming both inter- and intra-strand platinum-DNA crosslinks, which result in inhibition of DNA replication and transcription and cell-cycle nonspecific cytotoxicity. </t>
  </si>
  <si>
    <t>Neuropathy (both an acute, reversible sensitivity to cold and numbness in the hands and feet and a chronic, possibly irreversible foot/leg, hand/arm numbness), 
fatigue, nausea, vomiting, and/or diarrhea, neutropenia, ototoxicity, hypokalemia.</t>
  </si>
  <si>
    <t>CC(C)(C)[C@@H](C(=O)N[C@@H](CC1=CC=CC=C1)[C@H](CN(CC2=CC=C(C=C2)C3=CC=CC=N3)NC(=O)[C@H](C(C)(C)C)NC(=O)OC)O)NC(=O)OC</t>
  </si>
  <si>
    <t>methyl N-[(2S)-1-[2-[(2S,3S)-2-hydroxy-3-[[(2S)-2-(methoxycarbonylamino)-3,3-dimethylbutanoyl]amino]-4-phenylbutyl]-2-[(4-pyridin-2-ylphenyl)methyl]hydrazinyl]-3,3-dimethyl-1-oxobutan-2-yl]carbamate</t>
  </si>
  <si>
    <t>Atazanavir</t>
  </si>
  <si>
    <t>3-D03</t>
  </si>
  <si>
    <t>198904-31-3</t>
  </si>
  <si>
    <t>Antiretrovial drug and protease inhibitor</t>
  </si>
  <si>
    <t>Atazanavir selectively inhibits the virus-specific processing of viral Gag and Gag-Pol polyproteins in HIV-1 infected cells by binding to the active site of HIV-1 protease, thus preventing the formation of mature virions. Atazanavir is not active against HIV-2.</t>
  </si>
  <si>
    <t>Bilirubin levels in the blood are normally asymptomatically raised with atazanavir. A single case of torsades de pointes attributable to atazanavir therapy has been described.</t>
  </si>
  <si>
    <t>CC1=C(C(=C(C2=C1COC2=O)O)C/C=C(\C)/CCC(=O)OCCN3CCOCC3)OC</t>
  </si>
  <si>
    <t>2-morpholin-4-ylethyl (E)-6-(4-hydroxy-6-methoxy-7-methyl-3-oxo-1H-2-benzofuran-5-yl)-4-methylhex-4-enoate</t>
  </si>
  <si>
    <t>Mycophenolate Mofetil</t>
  </si>
  <si>
    <t>3-D04</t>
  </si>
  <si>
    <t>128794-94-5</t>
  </si>
  <si>
    <t>Antineoplastic, Immunosuppressant</t>
  </si>
  <si>
    <t>Metabolised in the liver to mycophenolic acid. Inhibits inosine monophosphate dehydrogenase, the enzyme that controls the rate of synthesis of guanine monophosphate in the de novo pathway of purine synthesis used in the proliferation of B and T lymphocytes.</t>
  </si>
  <si>
    <t>Intravenous (IV) administration of mycophenolate mofetil is commonly associated with thrombophlebitis and thrombosis. Infrequent adverse effects (0.1–1% of patients) include esophagitis, gastritis, gastrointestinal tract hemorrhage, and/or invasive cytomegalovirus (CMV) infection. Several cases of pure red cell aplasia (PRCA) have also been reported.</t>
  </si>
  <si>
    <t>C1=NC2=C(N1[C@H]3[C@H]([C@@H]([C@H](O3)CO)O)F)N=C(N=C2N)Cl</t>
  </si>
  <si>
    <t>(2R,3R,4S,5R)-5-(6-amino-2-chloropurin-9-yl)-4-fluoro-2-(hydroxymethyl)oxolan-3-ol</t>
  </si>
  <si>
    <t>Clofarabine</t>
  </si>
  <si>
    <t>3-D05</t>
  </si>
  <si>
    <t>123318-82-1</t>
  </si>
  <si>
    <t>Clofarabine is phosphorylated intracellularly to the cytotoxic active 5'-triphosphate, which inhibits the activities of ribonucleotide reductase and DNA polymerase, resulting in inhibition of DNA repair and synthesis of DNA and RNA. Also disrupts mitochondrial function and membrane integrity, resulting in the release of pre-apoptotic factors, including cytochrome C and apoptotic-inducing factor, which activate apoptosis.</t>
  </si>
  <si>
    <t>Systemic Inflammatory Response Syndrome (SIRS), Bone marrow suppression, 
Dehydration and low blood pressure, Vomiting and diarrhea, 
Clofarabine can also cause tachycardia and can affect the liver and kidneys.</t>
  </si>
  <si>
    <t>CCNC(=O)N(CCCN(C)C)C(=O)[C@@H]1C[C@H]2[C@@H](CC3=CNC4=CC=CC2=C34)N(C1)CC=C</t>
  </si>
  <si>
    <t>(6aR,9R,10aR)-N-[3-(dimethylamino)propyl]-N-(ethylcarbamoyl)-7-prop-2-enyl-6,6a,8,9,10,10a-hexahydro-4H-indolo[4,3-fg]quinoline-9-carboxamide</t>
  </si>
  <si>
    <t>Cabergoline</t>
  </si>
  <si>
    <t>3-D06</t>
  </si>
  <si>
    <t>81409-90-7</t>
  </si>
  <si>
    <t xml:space="preserve">Antiparkinson </t>
  </si>
  <si>
    <t>Although cabergoline is commonly described principally as a dopamine D2 receptor agonist, it also possesses significant affinity for the D3, D4, 5-HT1A, 5-HT2A, 5-HT2B, 5-HT2C, α2B- receptors, and moderate/low affinity for the D1 and 5-HT7 receptors. Cabergoline functions as an agonist at all receptors except for 5-HT7 and α2B-, where it acts as an antagonist</t>
  </si>
  <si>
    <t>Overdosage might be expected to produce nasal congestion, syncope, or hallucinations.</t>
  </si>
  <si>
    <t>CCCCCN(C)CCC(O)(P(=O)(O)O)P(=O)(O)[O-].O.[Na+]</t>
  </si>
  <si>
    <t>sodium;hydroxy-[1-hydroxy-3-[methyl(pentyl)amino]-1-phosphonopropyl]phosphinate;hydrate</t>
  </si>
  <si>
    <t>Ibandronate·Na Monohydrate</t>
  </si>
  <si>
    <t>3-D07</t>
  </si>
  <si>
    <t>138926-19-9</t>
  </si>
  <si>
    <t>Inhibits osteoclast-mediated bone resorption</t>
  </si>
  <si>
    <t>Ibandronate inhibits farnesyl pyrophosphate (FPP) synthase, preventing post-translational farnesylation and geranylgeranylation of GTPase signalling proteins.</t>
  </si>
  <si>
    <t>Side effects include chest pain, severe joint and muscle pain, swelling and difficulty in swallowing</t>
  </si>
  <si>
    <t>Imipenem</t>
  </si>
  <si>
    <t>3-D08</t>
  </si>
  <si>
    <t>inhibits osteoclast-mediated bone resorption</t>
  </si>
  <si>
    <t>Imipenem acts as an antimicrobial through the inhibition of cell wall synthesis of various gram-positive and gram-negative bacteria. This inhibition of cell wall synthesis in gram-negative bateria is attained by binding to pencillin binding proteins (PBPs). In E. coli and selected strains of P. aeruginosa, imipenem has shown to have the highest affinity to PBP-2, PBP-1a, and PBP-1b. This preferential binding to PBP-2 and PBP-1b results in the direct conversion of the individual cell to a spheroblast, which leads to rapid cell lysis and death without filament formation.</t>
  </si>
  <si>
    <t>Common adverse drug reactions are nausea and vomiting. People who are allergic to penicillin and other beta-lactam antibiotics should take caution if taking imipenem, as cross-reactivity rates are low. At high doses, imipenem is actually seizuregenic.</t>
  </si>
  <si>
    <t>C1CCC(CC1)NC(=O)N(CCCl)N=O</t>
  </si>
  <si>
    <t>1-(2-chloroethyl)-3-cyclohexyl-1-nitrosourea</t>
  </si>
  <si>
    <t>Lomustine</t>
  </si>
  <si>
    <t>3-D09</t>
  </si>
  <si>
    <t>13010-47-4</t>
  </si>
  <si>
    <t xml:space="preserve">Nitrogen Mustard Alkylating Agent, DNA Crosslinker. </t>
  </si>
  <si>
    <t xml:space="preserve">Causes severe, sometimes delayed, myelosuppression. Pulmonary toxicity has been reported at cumulative doses usually greater than 1,100 mg/m2. </t>
  </si>
  <si>
    <t>COC1=C(C=C(C=C1)C2=CC3=C(C=C2)C=C(C=C3)C(=O)O)C45CC6CC(C4)CC(C6)C5</t>
  </si>
  <si>
    <t>6-[3-(1-adamantyl)-4-methoxyphenyl]naphthalene-2-carboxylic acid</t>
  </si>
  <si>
    <t>Adapalene</t>
  </si>
  <si>
    <t>3-D10</t>
  </si>
  <si>
    <t>106685-40-9</t>
  </si>
  <si>
    <t>Retinoic acid Receptor agonist. Binds to gamma and beta retinoic acid nuclear receptors and retinoid X receptors but does not bind to the cytosolic receptor protein. Although the exact mode of action of adapalene is unknown, it is suggested that topical adapalene may normalize the differentiation of follicular epithelial cells resulting in decreased microcomedone formation.</t>
  </si>
  <si>
    <t>Chronic ingestion of the drug may lead to the same side effects as those associated with excessive oral intake of Vitamin A.</t>
  </si>
  <si>
    <t>C[C@@H]1[C@@H]2[C@H](C(=O)N2C(=C1S[C@H]3C[C@H](NC3)C(=O)N(C)C)C(=O)O)[C@@H](C)O</t>
  </si>
  <si>
    <t>(4R,5S,6S)-3-[(3S,5S)-5-(dimethylcarbamoyl)pyrrolidin-3-yl]sulfanyl-6-[(1R)-1-hydroxyethyl]-4-methyl-7-oxo-1-azabicyclo[3.2.0]hept-2-ene-2-carboxylic acid</t>
  </si>
  <si>
    <t>3-D11</t>
  </si>
  <si>
    <t>The bactericidal activity of meropenem results from the inhibition of cell wall synthesis. Meropenem readily penetrates the cell wall of most Gram-positive and Gram-negative bacteria to reach penicillin-binding- protein (PBP) targets. Its strongest affinities are toward PBPs 2, 3 and 4 of Escherichia coli and Pseudomonas aeruginosa; and PBPs 1, 2 and 4 of Staphylococcus aureus.</t>
  </si>
  <si>
    <t>The most common adverse effects are diarrhea (4.8%), nausea and vomiting (3.6%), injection-site inflammation (2.4%), headache (2.3%), rash (1.9%), and thrombophlebitis (0.9%).[2] Many of these adverse effects were observed in the setting of severely ill individuals who were already taking many medications. Meropenem also has a reduced potential for causing seizures in comparison with imipenem. Several cases of severe hypokalemia have been reported.</t>
  </si>
  <si>
    <t>CCC(CC)O[C@@H]1C=C(C[C@@H]([C@H]1NC(=O)C)N)C(=O)OCC.OP(=O)(O)O</t>
  </si>
  <si>
    <t>ethyl (3R,4R,5S)-4-acetamido-5-amino-3-pentan-3-yloxycyclohexene-1-carboxylate;phosphoric acid</t>
  </si>
  <si>
    <t>Oseltamivir Phosphate</t>
  </si>
  <si>
    <t>3-E02</t>
  </si>
  <si>
    <t>Inhibits influenza virus neuraminidase</t>
  </si>
  <si>
    <t>C(CN)C(O)(P(=O)(O)[O-])P(=O)(O)[O-].O.O.O.O.O.[Na+].[Na+]</t>
  </si>
  <si>
    <t>disodium;[3-amino-1-hydroxy-1-[hydroxy(oxido)phosphoryl]propyl]-hydroxyphosphinate;pentahydrate</t>
  </si>
  <si>
    <t>Pamidronate Disodium  Pentahydrate (Pamidronic Acid)</t>
  </si>
  <si>
    <t>3-E03</t>
  </si>
  <si>
    <t>109552-15-0</t>
  </si>
  <si>
    <t>Promotes osteoblast proliferation and differentiation while inhibiting osteoclastogenesis and osteoclast function.</t>
  </si>
  <si>
    <t>The mechanism of action of pamidronate is inhibition of bone resorption. Pamidronate adsorbs to calcium phosphate (hydroxyapatite) crystals in bone and may directly block dissolution of this mineral component of bone. In vitro studies also suggest that inhibition of osteoclast activity contributes to inhibition of bone resorption. Pamidronate also targets farnesyl pyrophosphate (FPP) synthase. Nitrogen-containing bisphosphonates (such as pamidronate, alendronate, risedronate, ibandronate and zoledronate) appear to act as analogues of isoprenoid diphosphate lipids, thereby inhibiting FPP synthase, an enzyme in the mevalonate pathway. Inhibition of this enzyme in osteoclasts prevents the biosynthesis of isoprenoid lipids (FPP and GGPP) that are essential for the post-translational farnesylation and geranylgeranylation of small GTPase signalling proteins. This activity inhibits osteoclast activity and reduces bone resorption and turnover. In postmenopausal women, it reduces the elevated rate of bone turnover, leading to, on average, a net gain in bone mass.</t>
  </si>
  <si>
    <t xml:space="preserve">Common side effects include bone pain, low calcium levels, nausea, and dizziness. Osteonecrosis of the jaw is a rare complication which has been associated with the use of bisphosphonates, including pamidronate. 
Pamidronate activates human γδ T cells in vitro and in vivo, which may lead to flu-like symptoms upon administration. </t>
  </si>
  <si>
    <t>CCCN[C@H]1CCC2=C(C1)SC(=N2)N.O.Cl.Cl</t>
  </si>
  <si>
    <t>(6S)-6-N-propyl-4,5,6,7-tetrahydro-1,3-benzothiazole-2,6-diamine;hydrate;dihydrochloride</t>
  </si>
  <si>
    <t>Pramipexole Dihydrochloride Monohydrate</t>
  </si>
  <si>
    <t>3-E04</t>
  </si>
  <si>
    <t>191217-81-9</t>
  </si>
  <si>
    <t>Nonergot dopamine agonist</t>
  </si>
  <si>
    <t xml:space="preserve">Dopamine agonist. </t>
  </si>
  <si>
    <t>Some side effects include somnolence, nausea,headache,fatigue, dyskinesia, anoerxia, sleeping problems  and dry mouth.</t>
  </si>
  <si>
    <t>CC(C)C[C@@H](C(=O)N[C@@H](CCCN=C(N)N)C(=O)N1CCC[C@H]1C(=O)NCC(=O)N)NC(=O)[C@@H](CC2=CNC3=CC=CC=C32)NC(=O)[C@H](CC4=CC=C(C=C4)O)NC(=O)[C@H](CO)NC(=O)[C@H](CC5=CNC6=CC=CC=C65)NC(=O)[C@H](CC7=CN=CN7)NC(=O)[C@@H]8CCC(=O)N8.CC(=O)O</t>
  </si>
  <si>
    <t>acetic acid;(2S)-N-[(2S)-1-[[(2S)-1-[[(2S)-1-[[(2S)-1-[[(2R)-1-[[(2S)-1-[[(2S)-1-[(2S)-2-[(2-amino-2-oxoethyl)carbamoyl]pyrrolidin-1-yl]-5-(diaminomethylideneamino)-1-oxopentan-2-yl]amino]-4-methyl-1-oxopentan-2-yl]amino]-3-(1H-indol-3-yl)-1-oxopropan-2-yl]amino]-3-(4-hydroxyphenyl)-1-oxopropan-2-yl]amino]-3-hydroxy-1-oxopropan-2-yl]amino]-3-(1H-indol-3-yl)-1-oxopropan-2-yl]amino]-3-(1H-imidazol-5-yl)-1-oxopropan-2-yl]-5-oxopyrrolidine-2-carboxamide</t>
  </si>
  <si>
    <t>Triptorelin Acetate</t>
  </si>
  <si>
    <t>3-E05</t>
  </si>
  <si>
    <t>140194-24-7</t>
  </si>
  <si>
    <t>Causes a surge in the testosterone level. Used in prostate cancer patients.</t>
  </si>
  <si>
    <t>GnRH agonist</t>
  </si>
  <si>
    <t>Painful or difficult urination, bone pain, numbness, loss of movement in any part of the body, tingiling of muscles, headache, nausea are some side effects of this drug.</t>
  </si>
  <si>
    <t>C1=CC(=CN=C1)CC(O)(P(=O)(O)O)P(=O)(O)O</t>
  </si>
  <si>
    <t>(1-hydroxy-1-phosphono-2-pyridin-3-ylethyl)phosphonic acid</t>
  </si>
  <si>
    <t>3-E06</t>
  </si>
  <si>
    <t>105462-24-6</t>
  </si>
  <si>
    <t>Used to strengthen bone , treat or prevent osteoporosis</t>
  </si>
  <si>
    <t>The action of risedronate on bone tissue is based partly on its affinity for hydroxyapatite, which is part of the mineral matrix of bone. Risedronate also targets farnesyl pyrophosphate (FPP) synthase. Nitrogen-containing bisphosphonates (such as pamidronate, alendronate, risedronate, ibandronate and zoledronate) appear to act as analogues of isoprenoid diphosphate lipids, thereby inhibiting FPP synthase, an enzyme in the mevalonate pathway. Inhibition of this enzyme in osteoclasts prevents the biosynthesis of isoprenoid lipids (FPP and GGPP) that are essential for the post-translational farnesylation and geranylgeranylation of small GTPase signalling proteins. This activity inhibits osteoclast activity and reduces bone resorption and turnover. In postmenopausal women, it reduces the elevated rate of bone turnover, leading to, on average, a net gain in bone mass.</t>
  </si>
  <si>
    <t>Side effects include abdominal pain, anxiety, back pain, belching, bladder irritation, bone disorders and pain, bronchitis, bursitis, cataracts, chest pain, colitis, constipation, depression, diarrhea, difficulty breathing, dizziness, dry eyes, eye infection, flu-like symptoms, gas, headache, high blood pressure, infection, insomnia, itching, joint disorders and pain, leg cramps, muscle pain, muscle weakness, nausea, neck pain, nerve pain, pain, pneumonia, rash, ringing in ears, sinus problems, sore throat, stomach bleeding, stuffy or runny nose, swelling, tendon problems, tumor, ulcers, urinary tract infection, vertigo, vision problems, and weakness. In common with other bisphosphonate drugs, risedronate appears to be associated with the rare side effect osteonecrosis of the jaw, often preceded by dental procedures inducing trauma to the bone.</t>
  </si>
  <si>
    <t>CC(=O)O[C@H]1[C@H](C[C@@H]2[C@@]1(CC[C@H]3[C@H]2CC[C@@H]4[C@@]3(C[C@@H]([C@H](C4)O)N5CCOCC5)C)C)[N+]6(CCCC6)CC=C.[Br-]</t>
  </si>
  <si>
    <t>[(2S,3S,5S,8R,9S,10S,13S,14S,16S,17R)-3-hydroxy-10,13-dimethyl-2-morpholin-4-yl-16-(1-prop-2-enylpyrrolidin-1-ium-1-yl)-2,3,4,5,6,7,8,9,11,12,14,15,16,17-tetradecahydro-1H-cyclopenta[a]phenanthren-17-yl] acetate;bromide</t>
  </si>
  <si>
    <t>Rocuronium Bromide</t>
  </si>
  <si>
    <t>3-E07</t>
  </si>
  <si>
    <t>119302-91-9</t>
  </si>
  <si>
    <t>Muscle Relaxant</t>
  </si>
  <si>
    <t xml:space="preserve">Rocuronium acts by competing for cholinergic receptors at the motor end-plate. This action is antagonized by acetylcholinesterase inhibitors, such as neostigmine and edrophonium. Rocuronium acts by competitively binding to nicotinic cholinergic receptors. The binding of vecuronium decreases the opportunity for acetylcholine to bind to the nicotinic receptor at the postjunctional membrane of the myoneural junction. As a result, depolarization is prevented, calcium ions are not released and muscle contraction does not occur. Evidence also suggests that nondepolarizing agents can affect ACh release. It has been hypothesized that nondepolarzing agents bind to postjunctional ("curare") receptors and may therefore interfere with the sodium and potassium flux, which is responsible for depolarization and repolarization of the membranes involved in muscle contraction. </t>
  </si>
  <si>
    <t xml:space="preserve">Risk of allergic reaction to the drug in some patients (particularly those with asthma). </t>
  </si>
  <si>
    <t>CCC1=C[C@@H]2C[C@@](C3=C(CN(C2)C1)C4=CC=CC=C4N3)(C5=C(C=C6C(=C5)[C@]78CCN9[C@H]7[C@@](C=CC9)([C@H]([C@@]([C@@H]8N6C)(C(=O)OC)O)OC(=O)C)CC)OC)C(=O)OC</t>
  </si>
  <si>
    <t>methyl (1R,9R,10S,11R,12R,19R)-11-(acetyloxy)-12-ethyl-4-[(12S,14R)-16-ethyl-14-hydrogenio-12-(methoxycarbonyl)-1,10-diazatetracyclo[12.3.1.0³,¹¹.0⁴,⁹]octadeca-3(11),4(9),5,7,15-pentaen-12-yl]-10-hydroxy-5-methoxy-8-methyl-8,16-diazapentacyclo[10.6.1.0¹,⁹.0²,⁷.0¹⁶,¹⁹]nonadeca-2(7),3,5,13-tetraene-10-carboxylate</t>
  </si>
  <si>
    <t xml:space="preserve">Vinorelbine </t>
  </si>
  <si>
    <t>3-E08</t>
  </si>
  <si>
    <t>71486-22-1</t>
  </si>
  <si>
    <t>Antineoplastic for treatment breast and non-small cell lung cancer.</t>
  </si>
  <si>
    <t>Mitotic spindle toxin; First semi-synthetic vinca alkaloid.</t>
  </si>
  <si>
    <t>Lowered resistance to infection, bruising or bleeding, anaemia, constipation, diarrhoea, nausea, numbness or tingling in hands or feet (peripheral neuropathy), tiredness and a general feeling of weakness (asthenia), inflammation of the vein into which it was injected (phlebitis). Seldom severe hyponatremia is seen.</t>
  </si>
  <si>
    <t>C1=CC=C(C=C1)CCCCOCCCCCCNCC(C2=CC(=C(C=C2)O)CO)O</t>
  </si>
  <si>
    <t>2-(hydroxymethyl)-4-[1-hydroxy-2-[6-(4-phenylbutoxy)hexylamino]ethyl]phenol</t>
  </si>
  <si>
    <t xml:space="preserve">Salmeterol </t>
  </si>
  <si>
    <t>3-E09</t>
  </si>
  <si>
    <t>89365-50-4</t>
  </si>
  <si>
    <t>2000's</t>
  </si>
  <si>
    <t>Can be used for the treatment of asthma and chronic obstructive pulmonary disease(COPD).</t>
  </si>
  <si>
    <t>β2-adrenergic receptor agonist</t>
  </si>
  <si>
    <t>Common side effects include wheezing, choking, tremors, weakness and skin rash</t>
  </si>
  <si>
    <t>methyl (1R,9R,10S,11R,12R,19R)-11-(acetyloxy)-12-ethyl-4-[(1R,13S,15R,17S)-17-ethyl-15-hydrogenio-17-hydroxy-13-(methoxycarbonyl)-1,11-diazatetracyclo[13.3.1.0⁴,¹².0⁵,¹⁰]nonadeca-4(12),5(10),6,8-tetraen-13-yl]-8-formyl-10-hydroxy-5-methoxy-8,16-diazapentacyclo[10.6.1.0¹,⁹.0²,⁷.0¹⁶,¹⁹]nonadeca-2,4,6,13-tetraene-10-carboxylate</t>
  </si>
  <si>
    <t>Vincristine Sulfate</t>
  </si>
  <si>
    <t>3-E10</t>
  </si>
  <si>
    <t>Microtubule-targeting Agent, MAO B Inhibitor.</t>
  </si>
  <si>
    <t>Main side-effects are peripheral neuropathy, hyponatremia, constipation, and alopecia.
Risk of MI or ischemia.</t>
  </si>
  <si>
    <t>CC(=O)OC1=CC=CC=C1C(=O)O</t>
  </si>
  <si>
    <t>2-acetyloxybenzoic acid</t>
  </si>
  <si>
    <t>Aspirin (Acetylsalicylic Acid)</t>
  </si>
  <si>
    <t>3-E11</t>
  </si>
  <si>
    <t>50-78-2</t>
  </si>
  <si>
    <t>Cyclooxygenase inhibitor</t>
  </si>
  <si>
    <t>Effects of overdose include: tinnitus, abdominal pain, hypokalemia, hypoglycemia, pyrexia, hyperventilation, dysrhythmia, hypotension, hallucination, renal failure, confusion, seizure, coma, and death.</t>
  </si>
  <si>
    <t>C1=NC2=C(N1COCCO)NC(=NC2=O)N</t>
  </si>
  <si>
    <t>2-amino-9-(2-hydroxyethoxymethyl)-3H-purin-6-one</t>
  </si>
  <si>
    <t>3-F02</t>
  </si>
  <si>
    <t>59277-89-3</t>
  </si>
  <si>
    <t>DNA polymerase inhibitor/Chain terminator</t>
  </si>
  <si>
    <t>Common adverse drug reactions (≥1% of patients) associated with systemic acyclovir therapy (oral or IV) include: nausea, vomiting, diarrhea and/or headache. In high doses, hallucinations have been reported. Infrequent adverse effects (0.1–1% of patients) include: agitation, vertigo, confusion, dizziness, oedema, arthralgia, sore throat, constipation, abdominal pain, hair loss, rash and/or weakness. Rare adverse effects (&lt;0.1% of patients) include: coma, seizures, neutropenia, leukopenia, crystalluria, anorexia, fatigue, hepatitis, Stevens–Johnson syndrome, toxic epidermal necrolysis and/or anaphylaxis. Since cellular DNA can incorporate acyclovir into itself, the drug acts as a chromosome mutagen.</t>
  </si>
  <si>
    <t>CC1=CN(C(=O)NC1=O)[C@H]2C[C@@H]([C@H](O2)CO)N=[N+]=[N-]</t>
  </si>
  <si>
    <t>1-[(2R,4S,5S)-4-azido-5-(hydroxymethyl)oxolan-2-yl]-5-methylpyrimidine-2,4-dione</t>
  </si>
  <si>
    <t>3-F03</t>
  </si>
  <si>
    <t>30516-87-1</t>
  </si>
  <si>
    <t xml:space="preserve"> Antiviral, Anti-HIV</t>
  </si>
  <si>
    <t>Nucleoside analog reverse transcriptase inhibitor (NRTI)</t>
  </si>
  <si>
    <t>Early long-term higher-dose therapy with AZT was initially associated with side effects that sometimes limited therapy, including anemia, neutropenia, hepatotoxicity, cardiomyopathy, and myopathy. All of these conditions were generally found to be reversible upon reduction of AZT dosages. They have been attributed to several possible causes, including transient depletion of mitochondrial DNA, sensitivity of the γ-DNA polymerase in some cell mitochondria, the depletion of thymidine triphosphate, oxidative stress, reduction of intracellular L-carnitine or apoptosis of the muscle cells. Anemia due to AZT was successfully treated using vitamins to stimulate red blood cell production. Most common side-effects included upset stomach and acid reflux (heartburn), headache, cosmetic reduction in abdominal body fat, light sleeping, and occasional loss of appetite; while less common complaints included faint discoloration of fingernails and toenails, mood elevation, occasional tingling or transient numbness of the hands or feet, and minor skin discoloration. Allergic reactions were rare.</t>
  </si>
  <si>
    <t>C1=C2C(=NC=NC2=O)NN1</t>
  </si>
  <si>
    <t>1,2-dihydropyrazolo[3,4-d]pyrimidin-4-one</t>
  </si>
  <si>
    <t>Allopurinol</t>
  </si>
  <si>
    <t>3-F04</t>
  </si>
  <si>
    <t>315-30-0</t>
  </si>
  <si>
    <t>Antiurolithic</t>
  </si>
  <si>
    <t>Xanthine oxidase inhibitor</t>
  </si>
  <si>
    <t>The most serious adverse effect is a hypersensitivity syndrome consisting of fever, skin rash, eosinophilia, hepatitis, worsened renal function, and, in some cases, allopurinol hypersensitivity syndrome. Allopurinol is one of the drugs commonly known to cause Stevens–Johnson syndrome (SJS) and toxic epidermal necrolysis (TENS), two life-threatening dermatological conditions. More common is a less-serious rash that leads to discontinuing this drug.</t>
  </si>
  <si>
    <t>CN(C)C1=NC(=NC(=N1)N(C)C)N(C)C</t>
  </si>
  <si>
    <t>2-N,2-N,4-N,4-N,6-N,6-N-hexamethyl-1,3,5-triazine-2,4,6-triamine</t>
  </si>
  <si>
    <t>Altretamine</t>
  </si>
  <si>
    <t>3-F05</t>
  </si>
  <si>
    <t>645-05-6</t>
  </si>
  <si>
    <t>Alkylating agent</t>
  </si>
  <si>
    <t>Side effects include nausea, vomiting, anemia and peripheral sensory neuropathy. Hematologic  effects include anemia (33%), thrombocytopenia (9%), and leukopenia (5%).</t>
  </si>
  <si>
    <t>C(CC(O)(P(=O)(O)O)P(=O)(O)[O-])CN.O.O.O.[Na+]</t>
  </si>
  <si>
    <t>sodium;(4-amino-1-hydroxy-1-phosphonobutyl)-hydroxyphosphinate;trihydrate</t>
  </si>
  <si>
    <t>Alendronate·Na Trihydrate</t>
  </si>
  <si>
    <t>3-F06</t>
  </si>
  <si>
    <t>121268-17-5</t>
  </si>
  <si>
    <t>Bone resorption inhibitor</t>
  </si>
  <si>
    <t>Farnesyl pyrophosphate synthase inhibitor</t>
  </si>
  <si>
    <t>Side effects: Gastrointestinal tract (ulceration of the esophagus), General (skin rash, rarely manifesting as Stevens–Johnson syndrome and toxic epidermal necrolysis, eye problems (uveitis, scleritis) and generalized muscle, joint, and bone pain), Osteonecrosis of the Jaw, Bone (low-impact femoral fractures).</t>
  </si>
  <si>
    <t>CCCSC1=CC2=C(C=C1)N=C(N2)NC(=O)OC</t>
  </si>
  <si>
    <t>methyl N-(6-propylsulfanyl-1H-benzimidazol-2-yl)carbamate</t>
  </si>
  <si>
    <t>Albendazole</t>
  </si>
  <si>
    <t>3-F07</t>
  </si>
  <si>
    <t>54965-21-8</t>
  </si>
  <si>
    <t>Antihelminithic</t>
  </si>
  <si>
    <t>Tubulin modulator</t>
  </si>
  <si>
    <t>Albendazole may cause abdominal pain, dizziness, headache, fever, nausea, vomiting, or temporary hair loss. In rare cases it may cause persistent sore throat, severe headache, seizures, vision problems, yellowing eyes or skin, dark urine, stomach pain, easy bruising, mental/mood changes, very stiff neck, change in amount of urine. Elevation of liver enzymes during treatment is a common side effect, but in rare cases there have also been reports of acute liver failure. Allergic reactions are also possible. 
Rarely Albendazole has been reported to cause marrow suppression, agranulocytosis or aplastic anemia which may be permanent.</t>
  </si>
  <si>
    <t>CNS(=O)(=O)CC1=CC2=C(C=C1)NC=C2CCN(C)C.C(CC(=O)O)C(=O)O</t>
  </si>
  <si>
    <t>butanedioic acid;1-[3-[2-(dimethylamino)ethyl]-1H-indol-5-yl]-N-methylmethanesulfonamide</t>
  </si>
  <si>
    <t>Sumatriptan Succinate</t>
  </si>
  <si>
    <t>3-F08</t>
  </si>
  <si>
    <t>103628-48-4</t>
  </si>
  <si>
    <t>Antimigraine, Vasoconstrictor</t>
  </si>
  <si>
    <t>Selective agonist of vascular serotonin ((5-hydroxytryptamine; 5-HT) type 1-like receptors, likely the 5-HT1D and 5-HT1B subtypes. It has no significant affinity (as measured using standard radioligand binding assays) or pharmacological activity at 5-HT2, 5-HT3 receptor subtypes or at alpha1-, alpha2-, or beta-adrenergic; dopamine1; dopamine2; muscarinic; or benzodiazepine receptors.</t>
  </si>
  <si>
    <t xml:space="preserve">Large doses of sumatriptan can cause sulfhemoglobinemia, a rare condition in which the blood changes from red to greenish-black, due to the integration of sulfur into the hemoglobin molecule. If sumatriptan is discontinued, the condition reverses within a few weeks.
Serious cardiac events, including some that have been fatal, have occurred following the use of the drug. Events reported have included coronary artery vasospasm, transient myocardial ischemia, myocardial infarction, ventricular tachycardia, and ventricular fibrillation.
The most common side-effects reported by at least 2% of patients are atypical sensations (paresthesias and warm/cold sensations),  pain and other pressure sensations (including chest pain),  neurological events (vertigo) and malaise/fatigue.  </t>
  </si>
  <si>
    <t>C(CN)CNCCSP(=O)(O)O</t>
  </si>
  <si>
    <t>2-(3-aminopropylamino)ethylsulfanylphosphonic acid</t>
  </si>
  <si>
    <t>Amifostine</t>
  </si>
  <si>
    <t>3-F09</t>
  </si>
  <si>
    <t>20537-88-6</t>
  </si>
  <si>
    <t>Cyto- and radioprotective</t>
  </si>
  <si>
    <t>Common side effects of amifostine include hypocalcemia, diarrhea, nausea, vomiting, sneezing, somnolence, and hiccoughs. Serious side effects include: hypotension (found in 62% of patients), erythema multiforme, Stevens–Johnson syndrome and toxic epidermal necrolysis, immune hypersensitivity syndrome, erythroderma, anaphylaxis, and loss of consciousness (rare).</t>
  </si>
  <si>
    <t>C1=CC(=C(C=C1N)O)C(=O)O</t>
  </si>
  <si>
    <t>4-amino-2-hydroxybenzoic acid</t>
  </si>
  <si>
    <t>4-Aminosalicylic Acid</t>
  </si>
  <si>
    <t>3-F10</t>
  </si>
  <si>
    <t>65-49-6</t>
  </si>
  <si>
    <t>Antibacterial</t>
  </si>
  <si>
    <t>Antitubercular</t>
  </si>
  <si>
    <t xml:space="preserve">Gastrointestinal side-effects (nausea, vomiting, diarrhoea) are common; the delayed-release formulation is meant to help overcome this problem. It is also a cause of drug-induced hepatitis. Patients with glucose-6-phosphate dehydrogenase deficiency should avoid taking aminosalicylic acid as it causes haemolysis. Thyroid goitre is also a side-effect because aminosalicylic acid inhibits the synthesis of thyroid hormones. </t>
  </si>
  <si>
    <t>C1=CC(=C(C=C1N)C(=O)O)O</t>
  </si>
  <si>
    <t>5-amino-2-hydroxybenzoic acid</t>
  </si>
  <si>
    <t>3-F11</t>
  </si>
  <si>
    <t>89-57-6</t>
  </si>
  <si>
    <t xml:space="preserve">Anti-inflammatory </t>
  </si>
  <si>
    <t>Although the mechanism of action of mesalazine is not fully understood, it appears to be topical rather than systemic. Mucosal production of arachidonic acid metabolites, both through the cyclooxygenase pathways, i.e., prostanoids, and through the lipoxygenase pathways, i.e., leukotrienes and hydroxyeicosatetraenoic acids, is increased in patients with chronic inflammatory bowel disease, and it is possible that mesalazine diminishes inflammation by blocking cyclooxygenase and inhibiting prostaglandin production in the colon.</t>
  </si>
  <si>
    <t>Common side effects include diarrhea, nausea, cramping and flatulence.</t>
  </si>
  <si>
    <t>CC1([C@@H](N2[C@H](S1)[C@@H](C2=O)NC(=O)[C@@H](C3=CC=CC=C3)N)C(=O)O)C.O.O.O</t>
  </si>
  <si>
    <t>(2S,5R,6R)-6-[[(2R)-2-amino-2-phenylacetyl]amino]-3,3-dimethyl-7-oxo-4-thia-1-azabicyclo[3.2.0]heptane-2-carboxylic acid;trihydrate</t>
  </si>
  <si>
    <t>Ampicillin Trihydrate</t>
  </si>
  <si>
    <t>3-G02</t>
  </si>
  <si>
    <t>7177-48-2</t>
  </si>
  <si>
    <t xml:space="preserve">Broad-spectrum antibiotic, Anti-Bacterial </t>
  </si>
  <si>
    <t>By binding to specific penicillin-binding proteins (PBPs) located inside the bacterial cell wall, Ampicillin inhibits the third and last stage of bacterial cell wall synthesis. Cell lysis is then mediated by bacterial cell wall autolytic enzymes such as autolysins; it is possible that Ampicillin interferes with an autolysin inhibitor.</t>
  </si>
  <si>
    <t>Ampicilin can sometimes result in reactions that range in severity from a rash (in the case of patients that may unwittingly have mononucleosis) to potentially lethal allergic reactions such as anaphylaxis. However, as with other penicillin drugs, it is relatively non-toxic and adverse effects of a serious nature are encountered only rarely.</t>
  </si>
  <si>
    <t>CC(C)NCC(COC1=CC=C(C=C1)CC(=O)N)O</t>
  </si>
  <si>
    <t>2-[4-[2-hydroxy-3-(propan-2-ylamino)propoxy]phenyl]acetamide</t>
  </si>
  <si>
    <t>3-G03</t>
  </si>
  <si>
    <t>29122-68-7</t>
  </si>
  <si>
    <t>beta-adrenergic antagonist</t>
  </si>
  <si>
    <t>Symptoms of an atenolol overdose include a slow heart beat, shortness of breath, fainting, dizziness, weakness, confusion, nausea, and vomiting.</t>
  </si>
  <si>
    <t>C[N+]1(CCC2=CC(=C(C=C2C1CC3=CC(=C(C=C3)OC)OC)OC)OC)CCC(=O)OCCCCCOC(=O)CC[N+]4(CCC5=CC(=C(C=C5C4CC6=CC(=C(C=C6)OC)OC)OC)OC)C.C1=CC=C(C=C1)S(=O)(=O)[O-].C1=CC=C(C=C1)S(=O)(=O)[O-]</t>
  </si>
  <si>
    <t>benzenesulfonate;5-[3-[1-[(3,4-dimethoxyphenyl)methyl]-6,7-dimethoxy-2-methyl-3,4-dihydro-1H-isoquinolin-2-ium-2-yl]propanoyloxy]pentyl 3-[1-[(3,4-dimethoxyphenyl)methyl]-6,7-dimethoxy-2-methyl-3,4-dihydro-1H-isoquinolin-2-ium-2-yl]propanoate</t>
  </si>
  <si>
    <t>Atracurium Besylate</t>
  </si>
  <si>
    <t>3-G04</t>
  </si>
  <si>
    <t>64228-81-5</t>
  </si>
  <si>
    <t>Neuromuscular blocking agent</t>
  </si>
  <si>
    <t>Cholinergic blocker</t>
  </si>
  <si>
    <t>Excessive doses can be expected to produce enhanced pharmacological effects. Overdosage may increase the risk of histamine release and cardiovascular effects, especially hypotension.</t>
  </si>
  <si>
    <t>CC[C@@]1(CC2C[C@@](C3=C(CCN(C2)C1)C4=CC=CC=C4N3)(C5=C(C=C6C(=C5)[C@]78CCN9[C@H]7[C@@](C=CC9)([C@H]([C@@]([C@@H]8N6C)(C(=O)OC)O)OC(=O)C)CC)OC)C(=O)OC)O.OS(=O)(=O)O</t>
  </si>
  <si>
    <t>methyl (1R,10S,11R,12R,19R)-11-(acetyloxy)-12-ethyl-4-[(1R,13S,15R,17S)-17-ethyl-15-hydrogenio-17-hydroxy-13-(methoxycarbonyl)-1,11-diazatetracyclo[13.3.1.0⁴,¹².0⁵,¹⁰]nonadeca-4(12),5,7,9-tetraen-13-yl]-10-hydroxy-5-methoxy-8-methyl-8,16-diazapentacyclo[10.6.1.0¹,⁹.0²,⁷.0¹⁶,¹⁹]nonadeca-2(7),3,5,13-tetraene-10-carboxylate</t>
  </si>
  <si>
    <t>3-G05</t>
  </si>
  <si>
    <t>143-67-9</t>
  </si>
  <si>
    <t>Microtubule-targeting Agent</t>
  </si>
  <si>
    <t xml:space="preserve">Toxicities include myelosuppression (leukopenia (granulocytopenia), anemia), gastrointestinal toxicity, potent vesicant (blister-forming) activity, and extravasation injury (forms deep ulcers). </t>
  </si>
  <si>
    <t>CC[C@@H]1[C@@]([C@@H]([C@H](N(C[C@@H](CC([C@@H]([C@H]([C@@H]([C@H](C(=O)O1)C)O[C@H]2C[C@@]([C@H]([C@@H](O2)C)O)(C)OC)C)O[C@H]3[C@@H]([C@H](C[C@H](O3)C)N(C)C)O)(C)O)C)C)C)O)(C)O</t>
  </si>
  <si>
    <t>(2R,3S,4R,5R,8R,11R,12S,13S,14R)-11-[(2S,3R,4S,6R)-4-(dimethylamino)-3-hydroxy-6-methyloxan-2-yl]oxy-2-ethyl-3,4,10-trihydroxy-13-[(2R,4R,5S,6S)-5-hydroxy-4-methoxy-4,6-dimethyloxan-2-yl]oxy-3,5,6,8,10,12,14-heptamethyl-1-oxa-6-azacyclopentadecan-15-one</t>
  </si>
  <si>
    <t>Azithromycin</t>
  </si>
  <si>
    <t>3-G06</t>
  </si>
  <si>
    <t>83905-01-5</t>
  </si>
  <si>
    <t>RNA dependent protein synthesis inhibitor</t>
  </si>
  <si>
    <t xml:space="preserve">Most common side effects are gastrointestinal: diarrhea (5%), nausea (3%), abdominal pain (3%), and vomiting. Fewer than 1% of patients stop taking the drug due to side effects. Nervousness, dermatologic reactions, and anaphylaxis have been reported. As with all antimicrobial agents, pseudomembranous colitis can occur during and up to several weeks after azithromycin therapy. Occasionally, patients have developed cholestatic hepatitis or delirium. Accidental intravenous overdosage in an infant caused severe heart block, resulting in residual encephalopathy.
A 2012 study found the drug may increase the risk of death, especially in those with heart problems, compared with those on other antibiotics such as amoxicillin or no antibiotic.
</t>
  </si>
  <si>
    <t>C[C@H]1[C@@H](C(=O)N1S(=O)(=O)O)NC(=O)/C(=N\OC(C)(C)C(=O)O)/C2=CSC(=N2)N</t>
  </si>
  <si>
    <t>2-[(Z)-[1-(2-amino-1,3-thiazol-4-yl)-2-[[(2S,3S)-2-methyl-4-oxo-1-sulfoazetidin-3-yl]amino]-2-oxoethylidene]amino]oxy-2-methylpropanoic acid</t>
  </si>
  <si>
    <t>Aztreonam</t>
  </si>
  <si>
    <t>3-G07</t>
  </si>
  <si>
    <t>78110-38-0</t>
  </si>
  <si>
    <t>PBP3 Inhibitor</t>
  </si>
  <si>
    <t>Reported side-effects include injection site reactions, rash, and rarely toxic epidermal necrolysis. Gastrointestinal side effects generally include diarrhea and nausea and vomiting. There may be drug-induced eosinophilia. Because of the unfused beta-lactam ring unique to aztreonam, there is limited cross-reactivity between aztreonam and other beta-lactam antibiotics, and it is generally considered safe to admininister aztreonam to patients with hypersensitivity (allergies) to penicillins.
Aztreonam is considered Pregnancy category B.</t>
  </si>
  <si>
    <t>C[C@H]1C[C@H]2[C@@H]3CCC4=CC(=O)C=C[C@@]4([C@]3([C@H](C[C@@]2([C@]1(C(=O)CO)O)C)O)F)C</t>
  </si>
  <si>
    <t>(8S,9R,10S,11S,13S,14S,16S,17R)-9-fluoro-11,17-dihydroxy-17-(2-hydroxyacetyl)-10,13,16-trimethyl-6,7,8,11,12,14,15,16-octahydrocyclopenta[a]phenanthren-3-one</t>
  </si>
  <si>
    <t>Betamethasone</t>
  </si>
  <si>
    <t>3-G08</t>
  </si>
  <si>
    <t>378-44-9</t>
  </si>
  <si>
    <t xml:space="preserve">Anti-inflammatory, Immunosuppressive </t>
  </si>
  <si>
    <t>Betamethasone is a glucocorticoid receptor agonist. This leads to changes in genetic expression once this complex binds to the GRE. The antiinflammatory actions of corticosteroids are thought to involve lipocortins, phospholipase A2 inhibitory proteins which, through inhibition arachidonic acid, control the biosynthesis of prostaglandins and leukotrienes. The immune system is suppressed by corticosteroids due to a decrease in the function of the lymphatic system, a reduction in immunoglobulin and complement concentrations, the precipitation of lymphocytopenia, and interference with antigen-antibody binding. Betamethasone binds to plasma transcortin, and it becomes active when it is not bound to transcortin.</t>
  </si>
  <si>
    <t>Symptoms of overdose include burning, itching, irritation, dryness, folliculitis, hypertrichosis, acneiform eruptions, hypopigmentation, perioral dermatitis, allergic contact dermatitis, maceration of the skin, secondary infection, skin atrophy, striae, and miliaria.</t>
  </si>
  <si>
    <t>CC(=O)OC1=CC=C(C=C1)C(C2=CC=C(C=C2)OC(=O)C)C3=CC=CC=N3</t>
  </si>
  <si>
    <t>[4-[(4-acetyloxyphenyl)-pyridin-2-ylmethyl]phenyl] acetate</t>
  </si>
  <si>
    <t>Bisacodyl</t>
  </si>
  <si>
    <t>3-G09</t>
  </si>
  <si>
    <t>603-50-9</t>
  </si>
  <si>
    <t>Laxative</t>
  </si>
  <si>
    <t>Bisacodyl works by stimulating enteric nerves to cause colonic mass movements. It is also a contact laxative; it increases fluid and NaCl secretion. Action of bisacodyl on small intestine is negligible; stimulant laxatives mainly promote evacuation of the colon.</t>
  </si>
  <si>
    <t>It is not recommended to take bisacodyl within one hour of taking an antacid or milk.</t>
  </si>
  <si>
    <t>C1CCC2(C1)CC(=O)N(C(=O)C2)CCCCN3CCN(CC3)C4=NC=CC=N4.Cl</t>
  </si>
  <si>
    <t>8-[4-(4-pyrimidin-2-ylpiperazin-1-yl)butyl]-8-azaspiro[4.5]decane-7,9-dione;hydrochloride</t>
  </si>
  <si>
    <t>Buspirone·HCl</t>
  </si>
  <si>
    <t>3-G10</t>
  </si>
  <si>
    <t>33386-08-2</t>
  </si>
  <si>
    <t>Anti-anxiety Agent, Anxiolytic, Sedative</t>
  </si>
  <si>
    <t>Buspirone binds to 5-HT type 1A serotonin receptors on presynaptic neurons in the dorsal raphe and on postsynaptic neurons in the hippocampus, thus inhibiting the firing rate of 5-HT-containing neurons in the dorsal raphe. Buspirone also binds at dopamine type 2 (DA2) receptors, blocking presynaptic dopamine receptors. Buspirone increases firing in the locus ceruleus, an area of brain where norepinephrine cell bodies are found in high concentration. The net result of buspirone actions is that serotonergic activity is suppressed while noradrenergic and dopaminergic cell firing is enhanced.</t>
  </si>
  <si>
    <t>Common adverse effects include dizziness, drowsiness, nausea, headache, nervousness, lightheadedness, short-term memory loss, and excitement.</t>
  </si>
  <si>
    <t>C1CC(C1)(C(=O)O)C(=O)O.N.N.[Pt]</t>
  </si>
  <si>
    <t>azane;cyclobutane-1,1-dicarboxylic acid;platinum</t>
  </si>
  <si>
    <t>Carboplatin</t>
  </si>
  <si>
    <t>3-G11</t>
  </si>
  <si>
    <t>41575-94-4</t>
  </si>
  <si>
    <t xml:space="preserve">DNA Crosslinker. Activated intracellularly and binds to GC-rich sites in DNA, thereby inducing intrastrand and interstrand DNA crosslinks, as well as DNA-protein crosslinks. These result in apoptosis and cell growth inhibition. This agent possesses tumoricidal activity similar to that of its parent compound, cisplatin, but is more stable and less toxic. </t>
  </si>
  <si>
    <t>The greatest benefit of carboplatin is its reduced side effects, particularly the elimination of nephrotoxic effects. Nausea and vomiting are less severe and more easily controlled.
Potent myelosuppression.</t>
  </si>
  <si>
    <t>C1=CC=C2C(=C1)C=CC3=CC=CC=C3N2C(=O)N</t>
  </si>
  <si>
    <t>benzo[b][1]benzazepine-11-carboxamide</t>
  </si>
  <si>
    <t>Carbamazepine</t>
  </si>
  <si>
    <t>3-H02</t>
  </si>
  <si>
    <t>298-46-4</t>
  </si>
  <si>
    <t>Anticonvulsant, Antimanic</t>
  </si>
  <si>
    <t>Drug inhibits sustained repetitive firing by blocking use-dependent sodium channels. Pain relief is believed to be associated with blockade of synaptic transmission in the trigeminal nucleus and seizure control with reduction of post-tetanic potentiation of synaptic transmission in the spinal cord. Carbamazepine also possesses anticholinergic, central antidiuretic, antiarrhythmic, muscle relaxant, antidepressant (possibly through blockade of norepinephrine release), sedative, and neuromuscular-blocking properties.</t>
  </si>
  <si>
    <t xml:space="preserve">Common adverse effects may include drowsiness, headaches and migraines, motor coordination impairment, and/or upset stomach. Carbamazepine preparations typically greatly decrease a person's alcohol tolerance. Less common side-effects may include cardiac arrhythmias, blurry or double vision and/or the temporary loss of blood cells or platelets and in rare cases can cause aplastic anemia. With normal use, small reductions in white cell count and serum sodium are common; however, in rare cases, the loss of platelets may become life-threatening. In this case a doctor may recommend frequent blood tests during the first few months of use, followed by three to four tests per year for established patients. Additionally, carbamazepine may possibly exacerbate preexisting cases of hypothyroidism, so yearly thyroid function tests are advisable for persons taking the drug. Carbamazepine increases the risk of developing lupus by 88%.
</t>
  </si>
  <si>
    <t>CC(=O)OCC1=C(N2[C@@H]([C@@H](C2=O)NC(=O)/C(=N\OC)/C3=CSC(=N3)N)SC1)C(=O)O</t>
  </si>
  <si>
    <t>(6R,7R)-3-(acetyloxymethyl)-7-[[(2Z)-2-(2-amino-1,3-thiazol-4-yl)-2-methoxyiminoacetyl]amino]-8-oxo-5-thia-1-azabicyclo[4.2.0]oct-2-ene-2-carboxylic acid</t>
  </si>
  <si>
    <t>Cefotaxime Acid</t>
  </si>
  <si>
    <t>3-H03</t>
  </si>
  <si>
    <t>63527-52-6</t>
  </si>
  <si>
    <t>The bactericidal activity of cefotaxime results from the inhibition of cell wall synthesis via affinity for penicillin-binding proteins (PBPs). Cefotaxime shows high affinity for penicillin-binding proteins in the cell wall including PBP Ib and PBP III.</t>
  </si>
  <si>
    <t xml:space="preserve">Adverse effects following overdosage include nausea, vomiting, epigastric distress, diarrhea, and convulsions. </t>
  </si>
  <si>
    <t>CC(C)(C(=O)O)O/N=C(/C1=CSC(=N1)N)\C(=O)N[C@H]2[C@@H]3N(C2=O)C(=C(CS3)C[N+]4=CC=CC=C4)C(=O)[O-]</t>
  </si>
  <si>
    <t>(6R,7R)-7-[[(2Z)-2-(2-amino-1,3-thiazol-4-yl)-2-(2-carboxypropan-2-yloxyimino)acetyl]amino]-8-oxo-3-(pyridin-1-ium-1-ylmethyl)-5-thia-1-azabicyclo[4.2.0]oct-2-ene-2-carboxylate</t>
  </si>
  <si>
    <t>3-H04</t>
  </si>
  <si>
    <t>Ceftazidime is bactericidal in action exerting its effect by inhibition of enzymes responsible for cell-wall synthesis, primarily penicillin binding protein 3 (PBP3).</t>
  </si>
  <si>
    <t>Ceftazidime overdosage has occurred in patients with renal failure. Reactions have included seizure activity, encephalopathy, asterixis, neuromuscular excitability, and coma.</t>
  </si>
  <si>
    <t>C1=CC(=CC=C1[C@H]([C@@H](CO)NC(=O)C(Cl)Cl)O)[N+](=O)[O-]</t>
  </si>
  <si>
    <t>2,2-dichloro-N-[(1R,2R)-1,3-dihydroxy-1-(4-nitrophenyl)propan-2-yl]acetamide</t>
  </si>
  <si>
    <t>Chloramphenicol</t>
  </si>
  <si>
    <t>3-H05</t>
  </si>
  <si>
    <t>56-75-7</t>
  </si>
  <si>
    <t>Broad-spectrum antibiotic, Anti-Bacterial . A tetracycline.</t>
  </si>
  <si>
    <t>Chloramphenicol is lipid-soluble, allowing it to diffuse through the bacterial cell membrane. It then reversibly binds to the L16 protein of the 50S subunit of bacterial ribosomes, where transfer of amino acids to growing peptide chains is prevented (perhaps by suppression of peptidyl transferase activity), thus inhibiting peptide bond formation and subsequent protein synthesis.</t>
  </si>
  <si>
    <t xml:space="preserve">The most serious side effect of chloramphenicol treatment is aplastic anaemia. This effect is rare and is generally fatal: there is no treatment and no way of predicting who may or may not get this side effect.                                                                                                                                             Chloramphenicol commomly causes bone marrow suppression during treatment; this is a direct toxic effect of the drug on human mitochondria. There is an increased risk of childhood leukemia.
Intravenous chloramphenicol use has been associated with the so-called gray baby syndrome. This phenomenon occurs in newborn infants because they do not yet have fully functional liver enzymes (i.e. UDP-glucuronyl transferase), so chloramphenicol remains unmetabolized in the body. This causes several adverse effects, including hypotension and cyanosis. </t>
  </si>
  <si>
    <t>C1=CC(=CC=C1CCCC(=O)O)N(CCCl)CCCl</t>
  </si>
  <si>
    <t>4-[4-[bis(2-chloroethyl)amino]phenyl]butanoic acid</t>
  </si>
  <si>
    <t>Chlorambucil</t>
  </si>
  <si>
    <t>3-H06</t>
  </si>
  <si>
    <t>305-03-3</t>
  </si>
  <si>
    <t>Antineoplastic, alkylating agent</t>
  </si>
  <si>
    <t>Nitrogen Mustard Alkylating Agent, DNA Crosslinker.</t>
  </si>
  <si>
    <t>Bone marrow suppression (anemia, neutropenia, thrombocytopenia) is the most commonly occurring side effect of chlorambucil. Withdrawn from the drug, this side effect is typically reversible. Like many alkylating agents, chlorambucil has been associated with the development of other forms of cancer. 
Less commonly occurring side effects include: Gastrointestinal Distress (nausea, vomiting, diarrhea, and oral ulcerations); Central Nervous effects (Seizures, tremors, muscular twitching, confusion, agitation, ataxia, and hallucinations); Skin reactions; Hepatotoxicity and Infertility.</t>
  </si>
  <si>
    <t>CN(C)CCC(C1=CC=C(C=C1)Cl)C2=CC=CC=N2.C(=C\C(=O)O)\C(=O)O</t>
  </si>
  <si>
    <t>(Z)-but-2-enedioic acid;3-(4-chlorophenyl)-N,N-dimethyl-3-pyridin-2-ylpropan-1-amine</t>
  </si>
  <si>
    <t>Chlorpheniramine Maleate</t>
  </si>
  <si>
    <t>3-H07</t>
  </si>
  <si>
    <t>113-92-8</t>
  </si>
  <si>
    <t>Chlorpheniramine binds to the histamine H1 receptor. This blocks the action of endogenous histamine, which subsequently leads to temporary relief of the negative symptoms brought on by histamine.</t>
  </si>
  <si>
    <t xml:space="preserve">Central nervous system side effects have included depression resulting in drowsiness in 75% or more of treated patients. Gastrointestinal side effects have included dry mouth and constipation in up to one-third of treated patients. Cardiovascular side effects have included hypotension, tachycardia, and palpitations. Ocular side effects of chlorpheniramine may include blurred vision, diplopia, and dry eyes due to anticholinergic effects. Genitourinary side effects have included dysuria, urinary hesitancy, and a decreased urine flow. Hematologic side effects have included bone marrow suppression, thrombocytopenia, and aplastic anemia. </t>
  </si>
  <si>
    <t>CCN(CC)CCCC(C)NC1=C2C=CC(=CC2=NC=C1)Cl.OP(=O)(O)O.OP(=O)(O)O</t>
  </si>
  <si>
    <t>4-N-(7-chloroquinolin-4-yl)-1-N,1-N-diethylpentane-1,4-diamine;phosphoric acid</t>
  </si>
  <si>
    <t>Chloroquine Diphosphate</t>
  </si>
  <si>
    <t>3-H08</t>
  </si>
  <si>
    <t> 50-63-5</t>
  </si>
  <si>
    <t xml:space="preserve">Antimalarial </t>
  </si>
  <si>
    <t>The mechanism of plasmodicidal action of chloroquine is not completely certain. Like other quinoline derivatives, it is thought to inhibit heme polymerase activity. This results in accumulation of free heme, which is toxic to the parasites.</t>
  </si>
  <si>
    <t xml:space="preserve"> Side effects include gastrointestinal problems, stomach ache, itch, headache, postural hypotension, nightmares and blurred vision. Another serious side-effect is toxicity to the eye (specifically, central serous retinopathy).</t>
  </si>
  <si>
    <t>C1CC(=O)NC(=O)C1N2C(=O)C3=CC=CC=C3C2=O</t>
  </si>
  <si>
    <t>2-(2,6-dioxopiperidin-3-yl)isoindole-1,3-dione</t>
  </si>
  <si>
    <t>Thalidomide</t>
  </si>
  <si>
    <t>3-H09</t>
  </si>
  <si>
    <t>50-35-1</t>
  </si>
  <si>
    <t>Immunosuppressant, Leprostatic, Angiogenesis Inhibitor</t>
  </si>
  <si>
    <t xml:space="preserve">Mechanism of action is not fully understood. The action may be related to suppression of excessive tumor necrosis factor-alpha (TNF-a), production and down-modulation of selected cell surface adhesion molecules involved in leukocyte migration. For example, administration of thalidomide has been reported to decrease circulating levels of TNF-a in patients with ENL, however, it has also been shown to increase plasma TNF-a levels in HIV-seropositive patients. As a cancer treatment, the drug may act as a VEGF inhibitor. Thalidomide binds to and inactivates the protein cereblon, which is important in limb formation. The inactivation leads to a teratogenic effect on fetal development. </t>
  </si>
  <si>
    <t>Potent teratogen.</t>
  </si>
  <si>
    <t>C1CC1N2C=C(C(=O)C3=CC(=C(C=C32)N4CCNCC4)F)C(=O)O</t>
  </si>
  <si>
    <t>1-cyclopropyl-6-fluoro-4-oxo-7-piperazin-1-ylquinoline-3-carboxylic acid</t>
  </si>
  <si>
    <t>Ciprofloxacin</t>
  </si>
  <si>
    <t>3-H10</t>
  </si>
  <si>
    <t>85721-33-1</t>
  </si>
  <si>
    <t>The bactericidal action of ciprofloxacin results from inhibition of the enzymes topoisomerase II (DNA gyrase) and topoisomerase IV, which are required for bacterial DNA replication, transcription, repair, strand supercoiling repair, and recombination.</t>
  </si>
  <si>
    <t>The major adverse effect seen with use of is gastrointestinal irritation, common with many antibiotics.</t>
  </si>
  <si>
    <t>CN(C)CCCC1(C2=C(CO1)C=C(C=C2)C#N)C3=CC=C(C=C3)F.Br</t>
  </si>
  <si>
    <t>1-[3-(dimethylamino)propyl]-1-(4-fluorophenyl)-3H-2-benzofuran-5-carbonitrile;hydrobromide</t>
  </si>
  <si>
    <t>Citalopram·HBr</t>
  </si>
  <si>
    <t>3-H11</t>
  </si>
  <si>
    <t>59729-32-7</t>
  </si>
  <si>
    <t>A selective serotonin reuptake inhibitor (SSRI)</t>
  </si>
  <si>
    <t>CC[C@@H]1[C@@]([C@@H]([C@H](C(=O)[C@@H](C[C@@]([C@@H]([C@H]([C@@H]([C@H](C(=O)O1)C)OC2CC(C(C(O2)C)O)(C)OC)C)OC3C(C(CC(O3)C)N(C)C)O)(C)OC)C)C)O)(C)O</t>
  </si>
  <si>
    <t>(3R,4S,5S,6R,7R,9R,11R,12R,13S,14R)-6-[4-(dimethylamino)-3-hydroxy-6-methyloxan-2-yl]oxy-14-ethyl-12,13-dihydroxy-4-(5-hydroxy-4-methoxy-4,6-dimethyloxan-2-yl)oxy-7-methoxy-3,5,7,9,11,13-hexamethyl-oxacyclotetradecane-2,10-dione</t>
  </si>
  <si>
    <t>Clarithromycin</t>
  </si>
  <si>
    <t>4-A02</t>
  </si>
  <si>
    <t>81103-11-9</t>
  </si>
  <si>
    <t>Clarithromycin is first metabolized to 14-OH clarithromycin, which is active and works synergistically with its parent compound. Like other macrolides, it then penetrates bacteria cell wall and reversibly binds to domain V of the 23S ribosomal RNA of the 50S subunit of the bacterial ribosome, blocking translocation of aminoacyl transfer-RNA and polypeptide synthesis. Clarithromycin also inhibits the hepatic microsomal CYP3A4 isoenzyme and P-glycoprotein, an energy-dependent drug efflux pump.</t>
  </si>
  <si>
    <t xml:space="preserve">Most common side-effects are gastrointestinal: diarrhea, nausea, extreme irritability, abdominal pain and vomiting, facial swelling. Less common side-effects include headaches, hallucinations (auditory and visual), dizziness/motion sickness, rashes, alteration in senses of smell and taste, including a metallic taste that lasts the entire time one takes it. Dry mouth, panic and / or anxiety attacks and nightmares have also been reported albeit less frequently. In more serious cases it has been known to cause jaundice, cirrhosis, and kidney problems including renal failure. Uneven heartbeats, chest pain, and shortness of breath have also been reported while taking this drug.
Adverse effects of clarithromycin in the central nervous system include dizziness, ototoxicity and headaches, but delirium and mania are also uncommon side effects. </t>
  </si>
  <si>
    <t>CCN(CC)CCOC1=CC=C(C=C1)/C(=C(/C2=CC=CC=C2)\Cl)/C3=CC=CC=C3.C(C(=O)O)C(CC(=O)O)(C(=O)O)O</t>
  </si>
  <si>
    <t>2-[4-[(Z)-2-chloro-1,2-diphenylethenyl]phenoxy]-N,N-diethylethanamine;2-hydroxypropane-1,2,3-tricarboxylic acid</t>
  </si>
  <si>
    <t>Clomiphene Citrate</t>
  </si>
  <si>
    <t>4-A03</t>
  </si>
  <si>
    <t>50-41-9</t>
  </si>
  <si>
    <t>Estrogen Modulator, Fertility Agent</t>
  </si>
  <si>
    <t>Selective estrogen receptor modulator (SERM). Clomifene appears to stumulate the release of gonadotropins, follicle-stimulating hormone (FSH), and leuteinizing hormone (LH), which leads to the development and maturation of ovarian follicle, ovulation, and subsequent development and function of the coprus luteum, thus resulting in pregnancy. Gonadotropin release may result from direct stimulation of the hypothalamic-pituitary axis or from a decreased inhibitory influence of estrogens on the hypothalamic-pituitary axis by competing with the endogenous estrogens of the uterus, pituitary, or hypothalamus. Clomifene has no apparent progestational, androgenic, or antrandrogenic effects and does not appear to interfere with pituitary-adrenal or pituitary-thyroid function.</t>
  </si>
  <si>
    <t>Common adverse drug reactions associated with the use of clomifene (≥1% of patients) include: vasomotor flushes (or hot flashes), abdominal discomfort, visual blurring (dose-dependent), and/or reversible ovarian enlargement and cyst formation. Infrequent adverse effects (0.1–1% of patients) include: abnormal uterine bleeding, nausea, and/or vomiting. Rare adverse effects (&lt;0.1% of patients) include: reversible alopecia and/or ovarian hyperstimulation syndrome.</t>
  </si>
  <si>
    <t>COC(=O)C(C1=CC=CC=C1Cl)N2CCC3=C(C2)C=CS3.OS(=O)(=O)O</t>
  </si>
  <si>
    <t>methyl (2S)-2-(2-chlorophenyl)-2-(6,7-dihydro-4H-thieno[3,2-c]pyridin-5-yl)acetate;sulfuric acid</t>
  </si>
  <si>
    <t>4-A04</t>
  </si>
  <si>
    <t xml:space="preserve">135046-48-9 
</t>
  </si>
  <si>
    <t xml:space="preserve">Antiplatelet Agent, Platelet Aggregation Inhibitor, Fibrinolytic </t>
  </si>
  <si>
    <t>The active metabolite of clopidogrel prevents binding of adenosine diphosphate (ADP) to its platelet receptor, impairing the ADP-mediated activation of the glycoprotein GPIIb/IIIa complex. It is proposed that the inhibition involves a defect in the mobilization from the storage sites of the platelet granules to the outer membrane. he drug specifically and irreversibly inhibits the P2Y12 subtype of ADP receptor, which is important in aggregation of platelets and cross-linking by the protein fibrin. No direct interference occurs with the GPIIb/IIIa receptor. As the glycoprotein GPIIb/IIIa complex is the major receptor for fibrinogen, its impaired activation prevents fibrinogen binding to platelets and inhibits platelet aggregation. By blocking the amplification of platelet activation by released ADP, platelet aggregation induced by agonists other than ADP is also inhibited by the active metabolite of clopidogrel.</t>
  </si>
  <si>
    <t xml:space="preserve">Serious adverse drug reactions associated with clopidogrel therapy include: 
Severe neutropenia,  Thrombotic thrombocytopenic purpura (TTP), Hemorrhage. 
Other side effects may include: Upper GI discomfort, Gastric or duodenal ulcer, Gastritis, 
Diarrhea, Rash, Chest pain, Edema. </t>
  </si>
  <si>
    <t>CCC(=O)O[C@@]1([C@H](C[C@@H]2[C@@]1(C[C@@H]([C@@]3([C@H]2CCC4=CC(=O)C=C[C@@]43C)F)O)C)C)C(=O)CCl</t>
  </si>
  <si>
    <t>[17-(2-chloroacetyl)-9-fluoro-11-hydroxy-10,13,16-trimethyl-3-oxo-6,7,8,11,12,14,15,16-octahydrocyclopenta[a]phenanthren-17-yl] propanoate</t>
  </si>
  <si>
    <t>Clobetasol Propionate</t>
  </si>
  <si>
    <t>4-A05</t>
  </si>
  <si>
    <t>25122-46-7</t>
  </si>
  <si>
    <t>Anti-inflammatory, Corticosteroid</t>
  </si>
  <si>
    <t>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 Initially, however, clobetasol, like other corticosteroids, bind to the glucocorticoid receptor, which complexes, enteres the cell nucleus and modifies genetic transcription (transrepression/transactivation).</t>
  </si>
  <si>
    <t>Teratogen</t>
  </si>
  <si>
    <t>CC1=CC=CC=C1C(C2=CC=CC=C2)OCCN(C)C.C(C(=O)O)C(CC(=O)O)(C(=O)O)O</t>
  </si>
  <si>
    <t>N,N-dimethyl-2-[(2-methylphenyl)-phenylmethoxy]ethanamine;2-hydroxypropane-1,2,3-tricarboxylic acid</t>
  </si>
  <si>
    <t>4-A06</t>
  </si>
  <si>
    <t>4682-36-4</t>
  </si>
  <si>
    <t>Muscle relaxant, Antiparkinson agent</t>
  </si>
  <si>
    <t>Orphenadrine binds and inhibits both histamine H1 receptors and NMDA receptors. It restores the motor disturbances induced by neuroleptics, in particular the hyperkinesia. The dopamine deficiency in the striatum increases the stimulating effects of the cholinergic system. This stimulation is counteracted by the anticholinergic effect of orphenadrine. It may have a relaxing effect on skeletal muscle spasms and it has a mood elevating effect.</t>
  </si>
  <si>
    <t xml:space="preserve">Common side effects include: dry mouth, dizziness, drowsiness, restlessness, insomnia, constipation, urine retention, orthostatic hypotension, and euphoria. The drowsiness and similar side effects tend to resolve within the first three to seven days of therapy. The euphoria is slight to moderate and subjectively different from that of both opioids and carisoprodol. </t>
  </si>
  <si>
    <t>CCN(C1=CC=CC=C1C)C(=O)/C=C/C</t>
  </si>
  <si>
    <t>(E)-N-ethyl-N-(2-methylphenyl)but-2-enamide</t>
  </si>
  <si>
    <t>Crotamiton</t>
  </si>
  <si>
    <t>4-A07</t>
  </si>
  <si>
    <t>483-63-6</t>
  </si>
  <si>
    <t>Scabicidal (for treating scabies) and antipruritic</t>
  </si>
  <si>
    <t>Crotamiton is usually used to treat pruritis (itching of the skin) caused by scabies or sunburn. Crotamiton relieves itching by producing what is called a counter-irritation. As crotamiton evaporates from the skin, it produces a cooling effect. This cooling effect helps to divert your body's attention away from the itching. Due to this cooling effect it is also effective for the relief of sunburn. The drug is also believed to kill scabies through an unknown mechanism.</t>
  </si>
  <si>
    <t>The most common side effect of crotamiton is skin irritation.</t>
  </si>
  <si>
    <t>C1CNP(=O)(OC1)N(CCCl)CCCl.O</t>
  </si>
  <si>
    <t>N,N-bis(2-chloroethyl)-2-oxo-1,3,2$l^{5}-oxazaphosphinan-2-amine;hydrate</t>
  </si>
  <si>
    <t>4-A08</t>
  </si>
  <si>
    <t>6055-19-2</t>
  </si>
  <si>
    <t xml:space="preserve">Antineoplastic, Immunosuppressive </t>
  </si>
  <si>
    <t>Myelosuppression consisting primarily of leukopenia is the most common dose-limiting side effect. Anemia develops occasionally. Aplastic anemia has been reported rarely. One case of cyclophosphamide-induced methemoglobinemia has also been reported.</t>
  </si>
  <si>
    <t>C1=CN(C(=O)N=C1N)[C@H]2[C@H]([C@@H]([C@H](O2)CO)O)O</t>
  </si>
  <si>
    <t>4-amino-1-[(2R,3S,4S,5R)-3,4-dihydroxy-5-(hydroxymethyl)oxolan-2-yl]pyrimidin-2-one</t>
  </si>
  <si>
    <t>Cytarabine</t>
  </si>
  <si>
    <t>4-A09</t>
  </si>
  <si>
    <t>147-94-4</t>
  </si>
  <si>
    <t xml:space="preserve">Antineoplastic, Antiviral, Immunosuppressive </t>
  </si>
  <si>
    <t xml:space="preserve">Antimetabolite of cytidine; Cytarabine is converted to the triphosphatel and then competes with cytidine for incorporation into DNA. Because the arabinose sugar sterically hinders the rotation of the molecule within DNA, DNA replication ceases, specifically during the S phase of the cell cycle. This agent also inhibits DNA polymerase, resulting in a decrease in DNA replication and repair. </t>
  </si>
  <si>
    <t>Causes granulocytopenia, leukopenia, thrombo-cytopenia, anemia.</t>
  </si>
  <si>
    <t>CN(C)N/N=C\1/C(=NC=N1)C(=O)N</t>
  </si>
  <si>
    <t>(5Z)-5-(dimethylaminohydrazinylidene)imidazole-4-carboxamide</t>
  </si>
  <si>
    <t>Dacarbazine</t>
  </si>
  <si>
    <t>4-A10</t>
  </si>
  <si>
    <t xml:space="preserve">Alkylating agent. Bioactivated in liver by demethylation to "MTIC" and then to diazomethane, which is an "alkylating agent".
</t>
  </si>
  <si>
    <t>C[C@]12CC[C@H]3[C@H]([C@@H]1CC[C@]2(C#C)O)CCC4=CC5=C(C[C@]34C)C=NO5</t>
  </si>
  <si>
    <t>(1S,2R,13R,14S,17R,18S)-17-ethynyl-2,18-dimethyl-7-oxa-6-azapentacyclo[11.7.0.0²,¹⁰.0⁴,⁸.0¹⁴,¹⁸]icosa-4(8),5,9-trien-17-ol</t>
  </si>
  <si>
    <t>Danazol</t>
  </si>
  <si>
    <t>4-A11</t>
  </si>
  <si>
    <t>17230-88-5</t>
  </si>
  <si>
    <t>Estrogen Antagonist, Endometriosis treatment</t>
  </si>
  <si>
    <t>Gonadotropin inhibitor. Danazol suppresses the pituitary-ovarian axis possibly by inhibiting the output of pituitary gonadotropins. Danazol also depresses the preovulatory surge in output of follicle-stimulating hormone (FSH) and luteinizing hormone (LH), thereby reducing ovarian estrogen production. Danazol may also directly inhibits ovarian steroidogenesis; bind to androgen, progesterone, and glucocorticoid receptors; bind to sex-hormone-binding globulin and corticosteroid-binding globulin; and increases the metabolic clearance rate of progesterone. Another mechanism of action by which danazol may use to facilitate regression of endometriosis is by decreasing IgG, IgM, and IgA concentrations, as well as phospholipid and IgG isotope autoantibodies.</t>
  </si>
  <si>
    <t xml:space="preserve">Androgenic side effects such a hirsutism, voice deepening are of concern. Other possible side effects include acne and oily skin. Some patients who use danazol experience weight gain and fluid retention. 
The use of danazol for endometriosis has been linked to an increased risk of ovarian cancer. 
Danazol has, like most other androgenic agents, been linked with an increased risk of liver tumors. These are generally benign.
Unlike GnRH agonists, danazol does not induce osteoporosis. Also, symptoms of hot flushes tend to be less common or severe.
</t>
  </si>
  <si>
    <t>C1CC2=C(C=CC(=C2)Cl)C(=C3CCNCC3)C4=C1C=CC=N4</t>
  </si>
  <si>
    <t>8-chloro-11-piperidin-4-ylidene-5,6-dihydrobenzo[1,2]cyclohepta[2,4-b]pyridine</t>
  </si>
  <si>
    <t>Desloratadine</t>
  </si>
  <si>
    <t>4-B02</t>
  </si>
  <si>
    <t>100643-71-8</t>
  </si>
  <si>
    <t xml:space="preserve"> Antihistamine, Antiallergy</t>
  </si>
  <si>
    <t>Desloratadine is a long-acting second-generation H1-receptor antagonist which has a selective and peripheral H1-antagonist action. Desloratadine competes with free histamine for binding at H1-receptors in the GI tract, uterus, large blood vessels, and bronchial smooth muscle. This blocks the action of endogenous histamine, which subsequently leads to temporary relief of the negative symptoms (eg. nasal congestion, watery eyes) brought on by histamine.</t>
  </si>
  <si>
    <t>Most common side-effects are fatigue, dry mouth, headache, and gastrointestinal disturbances.</t>
  </si>
  <si>
    <t>CN1CC[C@]23CCCC[C@@H]2[C@H]1CC4=C3C=C(C=C4)OC</t>
  </si>
  <si>
    <t>(1S,9S,10S)-4-methoxy-17-methyl-17-azatetracyclo[7.5.3.0¹,¹⁰.0²,⁷]heptadeca-2(7),3,5-triene</t>
  </si>
  <si>
    <t>Dextromethorphan</t>
  </si>
  <si>
    <t>4-B03</t>
  </si>
  <si>
    <t>125-71-3</t>
  </si>
  <si>
    <t>1950's</t>
  </si>
  <si>
    <t>An Antitussive drug (cough suppressant)</t>
  </si>
  <si>
    <t>Opiod-like drug.  Acts as an antagonist to the NMDA glutamatergic receptor as well as the α3/β4 nicontinic receptor, targeting the serotonin reuptake pump.    It is also an agonist to the opioid sigma 1 and sigma 2 receptors.</t>
  </si>
  <si>
    <t>C1=CC=C(C(=C1)CC(=O)[O-])NC2=C(C=CC=C2Cl)Cl.[Na+]</t>
  </si>
  <si>
    <t>sodium;2-[2-(2,6-dichloroanilino)phenyl]acetate</t>
  </si>
  <si>
    <t>4-B04</t>
  </si>
  <si>
    <t>15307-79-6</t>
  </si>
  <si>
    <t xml:space="preserve">Non-steroidal anti-inflammatory </t>
  </si>
  <si>
    <t>The antiinflammatory effects of diclofenac are believed to be due to inhibition of both leukocyte migration and the enzyme cylooxygenase (COX-1 and COX-2), leading to the peripheral inhibition of prostaglandin synthesis. Besides the COX-inhibition, a number of other molecular targets of diclofenac that could contribute to its pain-relieving actions have recently been identified. These include:
Blockage of voltage-dependent sodium channels (after activation of the channel, diclofenac inhibits its reactivation also known as phase inhibition); Blockage of acid-sensing ion channels (ASICs); Positive allosteric modulation of KCNQ- and BK-potassium channels (diclofenac opens these channels, leading to hyperpolarization of the cell membrane).</t>
  </si>
  <si>
    <t xml:space="preserve">Diclofenac is among the better tolerated NSAIDs. Though 20% of patients on long-term treatment experience side-effects, only 2% have to discontinue the drug, mostly due to gastrointestinal complaints. The drug increases the risk of myocardial infarction. Liver damage occurs infrequently, and is usually reversible. Hepatitis may occur rarely without any warning symptoms and may be fatal. Bone marrow depression is noted infrequently (leukopenia, agranulocytosis, thrombopenia with/without purpura, aplastic anemia). </t>
  </si>
  <si>
    <t>C1C[C@@H](O[C@@H]1CO)N2C=CC(=NC2=O)N</t>
  </si>
  <si>
    <t>4-amino-1-[(2R,5S)-5-(hydroxymethyl)oxolan-2-yl]pyrimidin-2-one</t>
  </si>
  <si>
    <t>4-B05</t>
  </si>
  <si>
    <t>7481-89-2</t>
  </si>
  <si>
    <t>Nucleoside reverse transcriptase inhibitor (NRTI) with activity against Human Immunodeficiency Virus Type 1 (HIV-1). Within cells, zalcitabine is converted to its active metabolite, dideoxycytidine 5'-triphosphate (ddCTP), by the sequential action of cellular enzymes. ddCTP interferes with viral RNA-directed DNA polymerase (reverse transcriptase) by competing for utilization of the natural substrate deoxycytidine 5'-triphosphate (dCTP), as well as incorpating into viral DNA. Due to it's lack of a 3'-OH group, the formation of a 5' to 3' phosphodiester linkage that is necessary for DNA chain elongation is inhibited, thus leading to the termination of viral DNA growth.</t>
  </si>
  <si>
    <t>The most common adverse events at the beginning of treatment are nausea and headache. More serious adverse events are peripheral neuropathy, which can occur in up to 33% of patients with advanced disease, oral ulcers, oesophageal ulcers and, rarely, pancreatitis.</t>
  </si>
  <si>
    <t>C1=CC(=C(C=C1C2=C(C=C(C=C2)F)F)C(=O)O)O</t>
  </si>
  <si>
    <t>5-(2,4-difluorophenyl)-2-hydroxybenzoic acid</t>
  </si>
  <si>
    <t>Diflunisal</t>
  </si>
  <si>
    <t>4-B06</t>
  </si>
  <si>
    <t>22494-42-4</t>
  </si>
  <si>
    <t>Nonsteroidal Anti-inflammatory, Analgesic, Antipyretic</t>
  </si>
  <si>
    <t>The precise mechanism of the analgesic and anti-inflammatory actions of diflunisal is not known. Diflunisal is a prostaglandin synthetase inhibitor. In animals, prostaglandins sensitize afferent nerves and potentiate the action of bradykinin in inducing pain. Since prostaglandins are known to be among the mediators of pain and inflammation, the mode of action of diflunisal may be due to a decrease of prostaglandins in peripheral tissues.</t>
  </si>
  <si>
    <t xml:space="preserve">Like with all NSAIDS, Diflunisal use leads to an increased risk of stomach ulcers, and their complications, with long-term use. </t>
  </si>
  <si>
    <t>CCN(CC)C(=S)SSC(=S)N(CC)CC</t>
  </si>
  <si>
    <t>diethylcarbamothioylsulfanyl N,N-diethylcarbamodithioate</t>
  </si>
  <si>
    <t>Disulfiram</t>
  </si>
  <si>
    <t>4-B07</t>
  </si>
  <si>
    <t>97-77-8</t>
  </si>
  <si>
    <t>Alcohol Deterrent</t>
  </si>
  <si>
    <t>Disulfiram blocks the oxidation of alcohol through its irreversible inactivation of aldehyde dehydrogenase, which acts in the second step of ethanol utilization. In addition, disulfiram competitively binds and inhibits the peripheral benzodiazepine receptor, which may indicate some value in the treatment of the symptoms of alcohol withdrawal, however this activity has not been extensively studied.</t>
  </si>
  <si>
    <t>The most common side effects (in the absence of alcohol) are drowsiness, headache, and a metallic or garlic taste in the mouth, though more severe side effects may occur. Tryptophol is a chemical compound that induces sleep in humans. It is formed in the liver after disulfiram treatment. 
Cases of disulfiram neurotoxicity have also occurred, causing extrapyramidal and other symptoms.</t>
  </si>
  <si>
    <t>COC1=C(C=C2C(=C1)C(=NC(=N2)N3CCN(CC3)C(=O)C4COC5=CC=CC=C5O4)N)OC.CS(=O)(=O)O</t>
  </si>
  <si>
    <t>[4-(4-amino-6,7-dimethoxyquinazolin-2-yl)piperazin-1-yl]-(2,3-dihydro-1,4-benzodioxin-3-yl)methanone;methanesulfonic acid</t>
  </si>
  <si>
    <t>Doxazosin Mesylate</t>
  </si>
  <si>
    <t>4-B08</t>
  </si>
  <si>
    <t>77883-43-3</t>
  </si>
  <si>
    <t>Selective antagonst of postsynaptic α1-adrenergic receptors. α1-Receptors mediate contraction and hypertrophic growth of smooth muscle cells. Antagonism of these receptors leads to smooth muscle relaxation in the peripheral vasculature and prostate gland.</t>
  </si>
  <si>
    <t xml:space="preserve">Cardiovascular side effects are the most common. Dizziness has been reported in 3% to 14%.   Rarely, syncope has been associated with doxazosin, and appears to be more likely in patients greater than 65 years old. Peripheral edema, palpitations, chest pain, and tachycardia have been reported in 7%, 4%, 3%, and 2% of patients, respectively. Cerebrovascular accidents, postural dizziness, bradycardia, cardiac arrhythmias, and myocardial infarction have been reported.      Nervous system side effects have included dizziness in up to 17%, headache or fatigue/lethargy in 10% to 15%, and somnolence in 5% of patients. Musculoskeletal pain has been reported in 1% to 5% of patients.  
</t>
  </si>
  <si>
    <t>CC1C2C(C3C(C(=O)C(=C(C3(C(=O)C2=C(C4=C1C=CC=C4O)O)O)O)C(=O)N)N(C)C)O.O</t>
  </si>
  <si>
    <t>4-(dimethylamino)-1,5,10,11,12a-pentahydroxy-6-methyl-3,12-dioxo-4a,5,5a,6-tetrahydro-4H-tetracene-2-carboxamide;hydrate</t>
  </si>
  <si>
    <t>Doxycycline Monohydrate</t>
  </si>
  <si>
    <t>4-B09</t>
  </si>
  <si>
    <t>17086-28-1</t>
  </si>
  <si>
    <t>Broad-spectrum antibiotic synthetically derived from oxytetracycline.</t>
  </si>
  <si>
    <t>Inhibits bacterial protein synthesis by binding, reversibly, to the 30 S ribosomal subunit, thus blocking the binding of aminoacyl tRNA to mRNA</t>
  </si>
  <si>
    <t>CCOC(=O)[C@H](CCC1=CC=CC=C1)N[C@@H](C)C(=O)N2CCC[C@H]2C(=O)O</t>
  </si>
  <si>
    <t>(2S)-1-[(2S)-2-[[(2S)-1-ethoxy-1-oxo-4-phenylbutan-2-yl]amino]propanoyl]pyrrolidine-2-carboxylic acid</t>
  </si>
  <si>
    <t>Enalapril</t>
  </si>
  <si>
    <t>4-B10</t>
  </si>
  <si>
    <t>75847-73-3</t>
  </si>
  <si>
    <t>Used in reducing hypertension and in treatment of chromic heart failure.</t>
  </si>
  <si>
    <t>Most common side effects include hypotension, dizziness when standing up, and dry cough.</t>
  </si>
  <si>
    <t>CC1=CN=C(C(=C1OC)C)CS(=O)C2=NC3=C([N-]2)C=CC(=C3)OC.[K+]</t>
  </si>
  <si>
    <t>potassium;5-methoxy-2-[(4-methoxy-3,5-dimethylpyridin-2-yl)methylsulfinyl]benzimidazol-1-ide</t>
  </si>
  <si>
    <t>Esomeprazole Potassium</t>
  </si>
  <si>
    <t>4-B11</t>
  </si>
  <si>
    <t>161796-84-5</t>
  </si>
  <si>
    <t>An antiulcerative agent.</t>
  </si>
  <si>
    <t>Inhibits H+/K+ ATPase in gastric parietal cells, thereby inhibiting gastric acid secretion.</t>
  </si>
  <si>
    <t>Side effects include vomiiting, intestinal obstruction, hyponatraemia and dehydration</t>
  </si>
  <si>
    <t>C[C@]12CC[C@H]3[C@H]([C@@H]1CC[C@@H]2O)CCC4=C3C=CC(=C4)O</t>
  </si>
  <si>
    <t>(8R,9S,13S,14S,17S)-13-methyl-6,7,8,9,11,12,14,15,16,17-decahydrocyclopenta[a]phenanthrene-3,17-diol</t>
  </si>
  <si>
    <t>4-C02</t>
  </si>
  <si>
    <t>50-28-2</t>
  </si>
  <si>
    <t>Estrogen, Hormonal replacement, Antineoplastic</t>
  </si>
  <si>
    <t>Estrogen receptor activator. Estradiol binds well to both estrogen receptors, ERα, and Erβ.</t>
  </si>
  <si>
    <t>Naturally occuring sex hormon.</t>
  </si>
  <si>
    <t>C[C@]12CC[C@H]3[C@H]([C@@H]1CCC2=O)CCC4=C3C=CC(=C4)O</t>
  </si>
  <si>
    <t>(8R,9S,13S,14S)-3-hydroxy-13-methyl-7,8,9,11,12,14,15,16-octahydro-6H-cyclopenta[a]phenanthren-17-one</t>
  </si>
  <si>
    <t>Estrone</t>
  </si>
  <si>
    <t>4-C03</t>
  </si>
  <si>
    <t>53-16-7</t>
  </si>
  <si>
    <t xml:space="preserve">Antineoplastic, Estrogen </t>
  </si>
  <si>
    <t>Estrogen receptor (ER) agonist. Hormone-bound estrogen receptors dimerize, translocate to the nucleus of cells and bind to estrogen response elements (ERE) of genes. Binding to ERE alters the transcription rate of affected genes. Estrogens increase the hepatic synthesis of sex hormone binding globulin (SHBG), thyroid-binding globulin (TBG), and other serum proteins and suppress follicle-stimulating hormone (FSH) release from the anterior pituitary.</t>
  </si>
  <si>
    <t>Estrogenic hormone secreted by the ovary as well as adipose tissue.</t>
  </si>
  <si>
    <t>CC(O)(P(=O)(O)[O-])P(=O)(O)[O-].[Na+].[Na+]</t>
  </si>
  <si>
    <t>disodium;hydroxy-[1-hydroxy-1-[hydroxy(oxido)phosphoryl]ethyl]phosphinate</t>
  </si>
  <si>
    <t>Etidronate Disodium</t>
  </si>
  <si>
    <t>4-C04</t>
  </si>
  <si>
    <t>7414-83-7</t>
  </si>
  <si>
    <t>Antiosteoporotic</t>
  </si>
  <si>
    <t>Reduces osteoclastic activity, prevents bone resorption</t>
  </si>
  <si>
    <t>Etidronate has been generally well tolerated after both oral and intravenous administration. Side effects have been uncommon and include diarrhea, nausea, vomiting, abdominal discomfort, esophagitis, glossitis, and peptic ulcer. Loss of taste or metallic taste has been reported in up to 52% of patients receiving intravenous etidronate and in 4% of patients receiving oral etidronate.</t>
  </si>
  <si>
    <t>CC(=O)OCC(CCN1C=NC2=CN=C(N=C21)N)COC(=O)C</t>
  </si>
  <si>
    <t>[2-(acetyloxymethyl)-4-(2-aminopurin-9-yl)butyl] acetate</t>
  </si>
  <si>
    <t>Famciclovir</t>
  </si>
  <si>
    <t>4-C05</t>
  </si>
  <si>
    <t>104227-87-4</t>
  </si>
  <si>
    <t xml:space="preserve">A prodrug of penciclovir; Viral DNA polymerase inhibitor (after prior activation by viral thymidine kinase and subsequently cellular kinases.   </t>
  </si>
  <si>
    <t xml:space="preserve">Side effects: mild to extreme stomach upset, headaches, mild fever.
</t>
  </si>
  <si>
    <t>CS(=O)(=O)O.C1CNCC(C2=CC(=C(C(=C21)Cl)O)O)C3=CC=C(C=C3)O</t>
  </si>
  <si>
    <t>9-chloro-5-(4-hydroxyphenyl)-2,3,4,5-tetrahydro-1H-3-benzazepine-7,8-diol;methanesulfonic acid</t>
  </si>
  <si>
    <t>Fenoldopam Mesylate</t>
  </si>
  <si>
    <t>4-C06</t>
  </si>
  <si>
    <t>67227-57-0</t>
  </si>
  <si>
    <t xml:space="preserve"> Peripheral selective D1 receptor weak partial agonist/antagonist</t>
  </si>
  <si>
    <t>CC(C1=CC(=CC=C1)OC2=CC=CC=C2)C(=O)[O-].CC(C1=CC(=CC=C1)OC2=CC=CC=C2)C(=O)[O-].O.O.[Ca+2]</t>
  </si>
  <si>
    <t>calcium;2-(3-phenoxyphenyl)propanoate;dihydrate</t>
  </si>
  <si>
    <t>Fenoprofen calcium salt dihydrate</t>
  </si>
  <si>
    <t>4-C07</t>
  </si>
  <si>
    <t>53746-45-5</t>
  </si>
  <si>
    <t>NSAID; Cyclooxygenase inhibitor</t>
  </si>
  <si>
    <t>CC(C)OC(=O)C(C)(C)OC1=CC=C(C=C1)C(=O)C2=CC=C(C=C2)Cl</t>
  </si>
  <si>
    <t>propan-2-yl 2-[4-(4-chlorobenzoyl)phenoxy]-2-methylpropanoate</t>
  </si>
  <si>
    <t>Fenofibrate</t>
  </si>
  <si>
    <t>4-C08</t>
  </si>
  <si>
    <t>49562-28-9</t>
  </si>
  <si>
    <t>Antilipidemic</t>
  </si>
  <si>
    <t xml:space="preserve"> Peroxisome proliferator-activated receptor type alpha (PPARα) activator.</t>
  </si>
  <si>
    <t>Gastrointestinal: Digestive, gastric or intestinal disorders (abdominal pain, nausea, vomiting, diarrhea, and flatulence). Skin Reactions: Rashes, Pruritus, urticaria or photosensitivity reactions.</t>
  </si>
  <si>
    <t>C[C@]12CC[C@H]3[C@H]([C@@H]1CC[C@@H]2C(=O)NC(C)(C)C)CC[C@@H]4[C@@]3(C=CC(=O)N4)C</t>
  </si>
  <si>
    <t>(1S,3aS,3bS,5aR,9aR,9bS,11aS)-N-tert-butyl-9a,11a-dimethyl-7-oxo-1,2,3,3a,3b,4,5,5a,6,9b,10,11-dodecahydroindeno[5,4-f]quinoline-1-carboxamide</t>
  </si>
  <si>
    <t>Finasteride</t>
  </si>
  <si>
    <t>4-C09</t>
  </si>
  <si>
    <t>98319-26-7</t>
  </si>
  <si>
    <t>Benign prostatic hypertrophy treatment</t>
  </si>
  <si>
    <t>Synthetic antiandrogen; Type II 5-α reductase inhibitor</t>
  </si>
  <si>
    <t xml:space="preserve">Side effects of finasteride include impotence (1.1% to 18.5%), abnormal ejaculation (7.2%), decreased ejaculatory volume (0.9% to 2.8%), abnormal sexual function (2.5%), gynecomastia (2.2%), erectile dysfunction (1.3%), ejaculation disorder (1.2%) and testicular pain. </t>
  </si>
  <si>
    <t>C1=C(C(=O)NC(=O)N1)F</t>
  </si>
  <si>
    <t>5-fluoro-1H-pyrimidine-2,4-dione</t>
  </si>
  <si>
    <t>4-C10</t>
  </si>
  <si>
    <t>51-21-8</t>
  </si>
  <si>
    <t xml:space="preserve">Antineoplastic </t>
  </si>
  <si>
    <t xml:space="preserve">Antimetabolite; Thymidylate Synthase Inhibitor. </t>
  </si>
  <si>
    <t>Causes myelosuppression followed by eosinophilia, thrombocytopenia, and toxic granulation.</t>
  </si>
  <si>
    <t>CC(C1=CC(=C(C=C1)C2=CC=CC=C2)F)C(=O)O</t>
  </si>
  <si>
    <t>2-(3-fluoro-4-phenylphenyl)propanoic acid</t>
  </si>
  <si>
    <t>Flurbiprofen</t>
  </si>
  <si>
    <t>4-C11</t>
  </si>
  <si>
    <t>5104-49-4</t>
  </si>
  <si>
    <t xml:space="preserve">Nonsteroidal anti-inflammatory agent, Antipyretic, Analgesic </t>
  </si>
  <si>
    <t>Anti-inflammatory effect of flurbiprofen occurs via reversible inhibition of cyclooxygenase (COX), the enzyme responsible for the conversion of arachidonic acid to prostaglandin G2 (PGG2) and PGG2 to prostaglandin H2 (PGH2) in the prostaglandin synthesis pathway. This effectively decreases the concentration of prostaglandins involved in inflammation, pain, swelling and fever. Flurbiprofen is a non-selective COX inhibitor and inhibits the activity of both COX-1 and -2. It is also one of the most potent NSAIAs in terms of prostaglandin inhibitory activity.</t>
  </si>
  <si>
    <t>Common adverse events include abdominal pain, constipation, diarrhea, dyspepsia, flatulence, GI bleeding, GI perforation, nausea, peptic ulcer, vomiting, renal function abnormalities, anemia, dizziness, edema, liver function test abnormalities, headache, prolonged bleeding time, pruritus, rash, tinnitus.</t>
  </si>
  <si>
    <t>CN(C)CCC=C1C2=CC=CC=C2CCC3=CC=CC=C31.Cl</t>
  </si>
  <si>
    <t>3-(5,6-dihydrodibenzo[2,1-b:2',1'-f][7]annulen-11-ylidene)-N,N-dimethylpropan-1-amine;hydrochloride</t>
  </si>
  <si>
    <t>Amitriptyline·HCl</t>
  </si>
  <si>
    <t>4-D02</t>
  </si>
  <si>
    <t>549-18-8</t>
  </si>
  <si>
    <t>The main two side effects that occur from taking amitriptyline are drowsiness and a dry mouth. Other common side effects of using amitriptyline are mostly due to its anticholinergic activity, including: weight gain, changes in appetite, muscle stiffness, nausea, constipation, nervousness, dizziness, blurred vision, urinary retention, and changes in sexual function. Amitriptyline can induce hepatotoxicity.</t>
  </si>
  <si>
    <t>C1[C@@H]([C@H](O[C@H]1N2C=C(C(=O)NC2=O)F)CO)O</t>
  </si>
  <si>
    <t>5-fluoro-1-[(2R,4S,5R)-4-hydroxy-5-(hydroxymethyl)oxolan-2-yl]pyrimidine-2,4-dione</t>
  </si>
  <si>
    <t>Floxuridine</t>
  </si>
  <si>
    <t>4-D03</t>
  </si>
  <si>
    <t>50-91-9</t>
  </si>
  <si>
    <t>Analog of 5-fluorouracil; Suicide irreversible inhibitor of thymidylate synthase.</t>
  </si>
  <si>
    <t>Cardiovascular: Arterial aneurysm, ischemia, thrombosis, embolism; Dermatologic: Localized erythema, alopecia;
GI tract: Nausea and vomiting, diarrhea,  duodenal ulcers; hepatic necrosis; hepatic abscesses; intra- and extrahepatic biliary sclerosis; Hematologic: Bone marrow suppression, Miscellaneous: Fever and malaise; infection of the catheter site.</t>
  </si>
  <si>
    <t>C[C@]12C[C@@H]([C@]3([C@H]([C@@H]1C[C@@H]4[C@]2(OC(O4)(C)C)C(=O)CO)C[C@@H](C5=CC(=O)C=C[C@@]53C)F)F)O</t>
  </si>
  <si>
    <t>(1S,2S,4R,8S,9S,11S,12R,13S,19S)-12,19-difluoro-11-hydroxy-8-(2-hydroxyacetyl)-6,6,9,13-tetramethyl-5,7-dioxapentacyclo[10.8.0.0²,⁹.0⁴,⁸.0¹³,¹⁸]icosa-14,17-dien-16-one</t>
  </si>
  <si>
    <t>Fluocinolone Acetonide</t>
  </si>
  <si>
    <t>4-D04</t>
  </si>
  <si>
    <t>67-73-2</t>
  </si>
  <si>
    <t>Antiinflammatory</t>
  </si>
  <si>
    <t xml:space="preserve"> Synthetic hydrocortisone</t>
  </si>
  <si>
    <t>The following local adverse reactions are reported infrequently with topical corticosteroids, but may occur more frequently with the use of occlusive dressings. These reactions are listed in an approximate decreasing order of occurrence: Burning, Itching, Irritation, Dryness, Folliculitis, Hypertrichosis, Acneiform eruptions, Hypopigmentation, Perioral dermatitis, Allergic contact dermatitis, Maceration of the skin, Secondary infection, Skin Atrophy, Striae and Miliaria.</t>
  </si>
  <si>
    <t>CC(C)C(=O)NC1=CC(=C(C=C1)[N+](=O)[O-])C(F)(F)F</t>
  </si>
  <si>
    <t>2-methyl-N-[4-nitro-3-(trifluoromethyl)phenyl]propanamide</t>
  </si>
  <si>
    <t>Flutamide</t>
  </si>
  <si>
    <t>4-D05</t>
  </si>
  <si>
    <t>13311-84-7</t>
  </si>
  <si>
    <t>Antineoplastic, Hormonal</t>
  </si>
  <si>
    <t xml:space="preserve">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 </t>
  </si>
  <si>
    <t xml:space="preserve">Causes hot flashes, decrease in libido, muscle wasting, personality changes, and bone loss. May induce gynecomastia. Some patients experience mild liver injury, which resolves when the drug is discontinued. It may also cause gastrointestinal side effects. </t>
  </si>
  <si>
    <t>C1=CC(=C(C=C1F)F)C(CN2C=NC=N2)(CN3C=NC=N3)O</t>
  </si>
  <si>
    <t>2-(2,4-difluorophenyl)-1,3-bis(1,2,4-triazol-1-yl)propan-2-ol</t>
  </si>
  <si>
    <t>Fluconazole</t>
  </si>
  <si>
    <t>4-D06</t>
  </si>
  <si>
    <t>86386-73-4</t>
  </si>
  <si>
    <t>Inhibitor of the fungal cytochrome P450 enzyme 14α-demethylase</t>
  </si>
  <si>
    <t>Adverse drug reactions associated with fluconazole therapy include:
Common (≥1% of patients): rash, headache, dizziness, nausea, vomiting, abdominal pain, diarrhea, and/or elevated liver enzymes;
Infrequent (0.1–1% of patients): anorexia, fatigue, constipation; 
Rare (&lt;0.1% of patients): oliguria, hypokalaemia, paraesthesia, seizures, alopecia, Stevens–Johnson syndrome, thrombocytopenia, other blood dyscrasias, serious hepatotoxicity including hepatic failure, anaphylactic/anaphylactoid reactions; 
Very rare: prolonged QT interval, torsades de pointes. 
FDA is now saying that treatment with chronic, high doses (400–800 mg/day) of fluconazole during the first trimester of pregnancy may be associated with a rare and distinct set of birth defects in infants.</t>
  </si>
  <si>
    <t>C1=COC(=C1)CNC2=CC(=C(C=C2C(=O)O)S(=O)(=O)N)Cl</t>
  </si>
  <si>
    <t>4-chloro-2-(furan-2-ylmethylamino)-5-sulfamoylbenzoic acid</t>
  </si>
  <si>
    <t>Furosemide</t>
  </si>
  <si>
    <t>4-D07</t>
  </si>
  <si>
    <t>54-31-9</t>
  </si>
  <si>
    <t xml:space="preserve">A loop diuretic. Inhibits water reabsorption in the nephron by blocking the sodium-potassium-chloride cotransporter (NKCC2) in the thick ascending limb of the loop of Henle. This is achieved through competitive inhibition at the chloride binding site on the cotransporter, thus preventing the transport of sodium from the lumen of the loop of Henle into the basolateral interstitium. </t>
  </si>
  <si>
    <t>Although disputed, it is considered ototoxic. Furosemide also can lead to gout due to hyperuricemia. Hyperglycemia is also a common side effect.
The tendency, as for all loop diuretics, to cause low potassium levels (hypokalemia) has given rise to combination products, either with potassium itself (e.g. Lasix-K) or with the potassium sparing diuretic of amiloride (Co-amilofruse).</t>
  </si>
  <si>
    <t>C1=NC2=C(N1COC(CO)CO)NC(=NC2=O)N</t>
  </si>
  <si>
    <t>2-amino-9-(1,3-dihydroxypropan-2-yloxymethyl)-3H-purin-6-one</t>
  </si>
  <si>
    <t>Ganciclovir</t>
  </si>
  <si>
    <t>4-D08</t>
  </si>
  <si>
    <t>82410-32-0</t>
  </si>
  <si>
    <t>Ganciclovir's antiviral activity inhibits virus replication. This inhibitory action is highly selective as the drug must be converted to the active form by a virus-encoded cellular enzyme, thymidine kinase (TK). TK catalyzes phosphorylation of ganciclovir to the monophosphate, which is then subsequently converted into the diphosphate by cellular guanylate kinase and into the triphosphate by a number of cellular enzymes. In vitro, ganciclovir triphosphate stops replication of herpes viral DNA. When used as a substrate for viral DNA polymerase, ganciclovir triphosphate competitively inhibits dATP leading to the formation of 'faulty' DNA. This is where ganciclovir triphosphate is incorporated into the DNA strand replacing many of the adenosine bases. This results in the prevention of DNA synthesis, as phosphodiester bridges can longer to be built, destabilizing the strand. Ganciclovir inhibits viral DNA polymerases more effectively than it does cellular polymerase, and chain elongation resumes when ganciclovir is removed.</t>
  </si>
  <si>
    <t>Ganciclovir is commonly associated with a range of serious haematological adverse effects. Common adverse drug reactions (≥1% of patients) include: granulocytopenia, neutropenia, anaemia, thrombocytopenia, fever, nausea, vomiting, dyspepsia, diarrhoea, abdominal pain, flatulence, anorexia, raised liver enzymes, headache, confusion, hallucination, seizures, pain and phlebitis at injection site (due to high pH), sweating, rash, itch, increased serum creatinine and blood urea concentrations</t>
  </si>
  <si>
    <t>CC1CN(CCN1)C2=C(C=C3C(=C2OC)N(C=C(C3=O)C(=O)O)C4CC4)F</t>
  </si>
  <si>
    <t>1-cyclopropyl-6-fluoro-8-methoxy-7-(3-methylpiperazin-1-yl)-4-oxoquinoline-3-carboxylic acid</t>
  </si>
  <si>
    <t>Gatifloxacin</t>
  </si>
  <si>
    <t>4-D09</t>
  </si>
  <si>
    <t>112811-59-3</t>
  </si>
  <si>
    <t>Bacterial DNA gyrase and topoisomerase IV inhibitor.</t>
  </si>
  <si>
    <t>A Canadian study published in the New England Journal of Medicine in March 2006 claims the drug can have "life threatening" side effects including serious diabetes. Subsequently it was reported that Bristol-Myers Squibb would stop manufacture of Tequin, end sales of the drug after existing stockpiles were exhausted.                                                                                                            Other serious side effects reported with gatifloxacin include hallucinations, liver damage and purpura. Union Health and Family Welfare Ministry of India on 18 march 2011 banned the manufacture, sale and distribution of Gatifloxacin as it caused certain adverse side effects.</t>
  </si>
  <si>
    <t>CC(C1CCC(C(O1)OC2C(CC(C(C2O)OC3C(C(C(CO3)(C)O)NC)O)N)N)N)NC.OS(=O)(=O)O</t>
  </si>
  <si>
    <t>2-[4,6-diamino-3-[3-amino-6-(aminomethyl)oxan-2-yl]oxy-2-hydroxycyclohexyl]oxy-5-methyl-4-(methylamino)oxane-3,5-diol;sulfuric acid</t>
  </si>
  <si>
    <t>Gentamycin Sulfate</t>
  </si>
  <si>
    <t>4-D10</t>
  </si>
  <si>
    <t>1405-41-0</t>
  </si>
  <si>
    <t>Irreversibly binds to four nucleotides of 16S rRNA and a single amino acid of protein S12. This interferes with decoding site in the vicinity of nucleotide 1400 in 16S rRNA of 30S subunit. This region interacts with the wobble base in the anticodon of tRNA. This leads to interference with the initiation complex, misreading of mRNA so incorrect amino acids are inserted into the polypeptide leading to nonfunctional or toxic peptides and the breakup of polysomes into nonfunctional monosomes.</t>
  </si>
  <si>
    <t xml:space="preserve">Mild and reversible nephrotoxicity may be observed in 5 - 25% of patients. The drug may cause irreversible ototoxicity. Otoxocity appears to be correlated to cumulative lifetime exposure. Drug accumulation in the endolymph and perilymph of the inner ear causes irreversible damage to hair cells of the cochlea or summit of ampullar cristae in the vestibular complex. High frequency hearing is lost first with progression leading to loss of low frequency hearing. </t>
  </si>
  <si>
    <t>CC1=CC(=C(C=C1)C)OCCCC(C)(C)C(=O)O</t>
  </si>
  <si>
    <t>5-(2,5-dimethylphenoxy)-2,2-dimethylpentanoic acid</t>
  </si>
  <si>
    <t>Gemfibrozil</t>
  </si>
  <si>
    <t>4-D11</t>
  </si>
  <si>
    <t>25812-30-0</t>
  </si>
  <si>
    <t>Antilipemic</t>
  </si>
  <si>
    <t>Gemfibrozil increases the activity of extrahepatic lipoprotein lipase (LL), thereby increasing lipoprotein triglyceride lipolysis. It does so by activating Peroxisome proliferator-activated receptor-alpha (PPARα) 'transcription factor ligand', a receptor that is involved in metabolism of carbohydrates and fats, as well as adipose tissue differentiation. This increase in the synthesis of lipoprotein lipase thereby increases the clearance of triglycerides.</t>
  </si>
  <si>
    <t>Nontherapeutic effects and toxicities: GI distress, Musculoskeletal pain, Increased incidence of gallstones, Hypokalemia, Increased risk of cancer.</t>
  </si>
  <si>
    <t>CCC1=C(CN(C1=O)C(=O)NCCC2=CC=C(C=C2)S(=O)(=O)NC(=O)NC3CCC(CC3)C)C</t>
  </si>
  <si>
    <t>4-ethyl-3-methyl-N-[2-[4-[(4-methylcyclohexyl)carbamoylsulfamoyl]phenyl]ethyl]-5-oxo-2H-pyrrole-1-carboxamide</t>
  </si>
  <si>
    <t>Glimepiride</t>
  </si>
  <si>
    <t>4-E02</t>
  </si>
  <si>
    <t>93479-97-1</t>
  </si>
  <si>
    <t xml:space="preserve">Hypoglycemic, Antidiabetic </t>
  </si>
  <si>
    <t>Glimepiride likely binds to ATP-sensitive potassium channel receptors on the pancreatic cell surface, reducing potassium conductance and causing depolarization of the membrane. Membrane depolarization stimulates calcium ion influx through voltage-sensitive calcium channels. This increase in intracellular calcium ion concentration induces the secretion of insulin.</t>
  </si>
  <si>
    <t>Side effects from taking glimepiride include gastrointestinal tract (GI) disturbance, and rarely thrombocytopenia, leukopenia, hemolytic anemia, and occasionally allergic reactions occur. Alcohol consumption and exposure to sunlight should be restricted in patients taking it because they can worsen the side effects.</t>
  </si>
  <si>
    <t>C[C@]12CCC(=O)C=C1CC[C@@H]3[C@@H]2[C@H](C[C@]4([C@H]3CC[C@@]4(C(=O)CO)O)C)O</t>
  </si>
  <si>
    <t>(8S,9S,10R,11S,13S,14S,17R)-11,17-dihydroxy-17-(2-hydroxyacetyl)-10,13-dimethyl-2,6,7,8,9,11,12,14,15,16-decahydro-1H-cyclopenta[a]phenanthren-3-one</t>
  </si>
  <si>
    <t>Hydrocortisone</t>
  </si>
  <si>
    <t>4-E03</t>
  </si>
  <si>
    <t>50-23-7</t>
  </si>
  <si>
    <t>Hydrocortisone binds to the cytosolic glucocorticoid receptor. After binding the receptor the newly formed receptor-ligand complex translocates itself into the cell nucleus, where it binds to many glucocorticoid response elements (GRE) in the promoter region of the target genes. The DNA bound receptor then interacts with basic transcription factors, causing the increase in expression of specific target genes. The anti-inflammatory actions of corticosteroids are thought to involve lipocortins, phospholipase A2 inhibitory proteins which, through inhibition arachidonic acid, control the biosynthesis of prostaglandins and leukotrienes. Specifically glucocorticoids induce lipocortin-1 (annexin-1) synthesis, which then binds to cell membranes preventing the phospholipase A2 from coming into contact with its substrate arachidonic acid. This leads to diminished eicosanoid production. The cyclooxygenase (both COX-1 and COX-2) expression is also suppressed, potentiating the effect. In other words, the two main products in inflammation Prostaglandins and Leukotrienes are inhibited by the action of Glucocorticoids. Glucocorticoids also stimulate the lipocortin-1 escaping to the extracellular space, where it binds to the leukocyte membrane receptors and inhibits various inflammatory events: epithelial adhesion, emigration, chemotaxis, phagocytosis, respiratory burst and the release of various inflammatory mediators (lysosomal enzymes, cytokines, tissue plasminogen activator, chemokines etc.) from neutrophils, macrophages and mastocytes. Additionally the immune system is suppressed by corticosteroids due to a decrease in the function of the lymphatic system, a reduction in immunoglobulin and complement concentrations, the precipitation of lymphocytopenia, and interference with antigen-antibody binding.</t>
  </si>
  <si>
    <t xml:space="preserve">Among the more serious adverse effects are various systemic side effects that may result from prolonged or excessive use. Local irritation of the skin may occur. </t>
  </si>
  <si>
    <t>CC(=O)OCC(=O)[C@]1(CC[C@@H]2[C@@]1(C[C@@H]([C@H]3[C@H]2CCC4=CC(=O)CC[C@]34C)O)C)O</t>
  </si>
  <si>
    <t>[2-[(8S,9S,10R,11S,13S,14S,17R)-11,17-dihydroxy-10,13-dimethyl-3-oxo-2,6,7,8,9,11,12,14,15,16-decahydro-1H-cyclopenta[a]phenanthren-17-yl]-2-oxoethyl] acetate</t>
  </si>
  <si>
    <t>Hydrocortisone Acetate</t>
  </si>
  <si>
    <t>4-E04</t>
  </si>
  <si>
    <t>50-03-3</t>
  </si>
  <si>
    <t>Among the more serious adverse effects are various systemic side effects that may result from prolonged or excessive use. Local irritation of the skin may occur.</t>
  </si>
  <si>
    <t>C1[C@@H]([C@H](O[C@H]1N2C=C(C(=O)NC2=O)I)CO)O</t>
  </si>
  <si>
    <t>1-[(2R,4S,5R)-4-hydroxy-5-(hydroxymethyl)oxolan-2-yl]-5-iodopyrimidine-2,4-dione</t>
  </si>
  <si>
    <t>Idoxuridine</t>
  </si>
  <si>
    <t>4-E05</t>
  </si>
  <si>
    <t>54-42-2</t>
  </si>
  <si>
    <t xml:space="preserve">Antiviral </t>
  </si>
  <si>
    <t>Idoxuridine acts as an antiviral agent by inhibiting viral replication by substituting itself for thymidine in viral DNA. This in turn inhibits thymidylate phosphorylase and viral DNA polymerases from properly functioning. The effect of Idoxuridine results in the inability of the virus to reproduce or to infect/destroy tissue.</t>
  </si>
  <si>
    <t>Common side effects of the eye drops include irritation, blurred vision and photophobia. Corneal clouding and damage of the corneal epithelium may also occur.</t>
  </si>
  <si>
    <t>C1CN(P(=O)(OC1)NCCCl)CCCl</t>
  </si>
  <si>
    <t>N,3-bis(2-chloroethyl)-2-oxo-1,3,2$l^{5}-oxazaphosphinan-2-amine</t>
  </si>
  <si>
    <t>Ifosfamide</t>
  </si>
  <si>
    <t>4-E06</t>
  </si>
  <si>
    <t>3778-73-2</t>
  </si>
  <si>
    <t>Risk of Acute cardiotoxicity such as cardiac decompensation as well as fatal cardiomyopathy.</t>
  </si>
  <si>
    <t>CC(C)CN1C=NC2=C1C3=CC=CC=C3N=C2N</t>
  </si>
  <si>
    <t>1-(2-methylpropyl)imidazo[4,5-c]quinolin-4-amine</t>
  </si>
  <si>
    <t>Imiquimod</t>
  </si>
  <si>
    <t>4-E07</t>
  </si>
  <si>
    <t>99011-02-6</t>
  </si>
  <si>
    <t>Immunomodulant, Antineoplastic, Antiviral, Adjuvant</t>
  </si>
  <si>
    <t>Imiquimod activates immune cells through the toll-like receptor 7 (TLR7), commonly involved in pathogen recognition. Cells activated by imiquimod via TLR-7 secrete cytokines (primarily interferon-α (INF-α), interleukin-6 (IL-6) and tumor necrosis factor-α (TNF-α)). There is evidence that imiquimod, when applied to skin, can lead to the activation of Langerhans cells, which subsequently migrate to local lymph nodes to activate the adaptive immune system. Other cell types activated by imiquimod include natural killer cells, macrophages and B-lymphocytes.
New research has shown that imiquimod has anti-proliferative effects in vitro that are independent of immune system activation or function. Imiquimod exerts its effect by increasing levels of the opioid growth factor receptor (OGFr). Blocking OGFr function with siRNA technology resulted in loss of any antiproliferative effect of imiquimod.</t>
  </si>
  <si>
    <t>Nonspecific inflammation and dermatitis can occur during use of imiquimod for genital warts and molluscum. Blisters, bloody dry eschar, pain and discomfort often follows the use of imiquimod for skin cancers and precancerous growths. During the treatment of large superficial basal cell carcinoma or squamous cell cancer in situ, areas of black dried crust often form. Fortunately, despite often causing significant inflammation, the areas treated generally heal well with no scarring. Other side effects include headaches, back pain, muscle aches, tiredness, flu-like symptoms, swollen lymph nodes, diarrhea, and fungal infections.</t>
  </si>
  <si>
    <t>CC1CC2=CC=CC=C2N1NC(=O)C3=CC(=C(C=C3)Cl)S(=O)(=O)N</t>
  </si>
  <si>
    <t>4-chloro-N-(2-methyl-2,3-dihydroindol-1-yl)-3-sulfamoylbenzamide</t>
  </si>
  <si>
    <t>Indapamide</t>
  </si>
  <si>
    <t>4-E08</t>
  </si>
  <si>
    <t>26807-65-8</t>
  </si>
  <si>
    <t>Antihypertensive, Diuretic</t>
  </si>
  <si>
    <t>Indapamide blocks the slow component of delayed rectifier potassium current (IKs) without altering the rapid component (IKr) or the inward rectifier current. Specifically it blocks or antagonizes the action the proteins KCNQ1 and KCNE1. Indapamide is also thought to stimulate the synthesis of the vasodilatory hypotensive prostaglandin PGE2.</t>
  </si>
  <si>
    <t>Commonly reported adverse events are hypokalemia (low potassium levels), fatigue, orthostatic hypotension (blood pressure decrease on standing up) and allergic manifestations.</t>
  </si>
  <si>
    <t>CCC(C)N1C(=O)N(C=N1)C2=CC=C(C=C2)N3CCN(CC3)C4=CC=C(C=C4)OCC5COC(O5)(CN6C=NC=N6)C7=C(C=C(C=C7)Cl)Cl</t>
  </si>
  <si>
    <t>2-butan-2-yl-4-[4-[4-[4-[[2-(2,4-dichlorophenyl)-2-(1,2,4-triazol-1-ylmethyl)-1,3-dioxolan-4-yl]methoxy]phenyl]piperazin-1-yl]phenyl]-1,2,4-triazol-3-one</t>
  </si>
  <si>
    <t>Itraconazole</t>
  </si>
  <si>
    <t>4-E09</t>
  </si>
  <si>
    <t>84625-61-6</t>
  </si>
  <si>
    <t>Itraconazole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Itraconazole may also inhibit endogenous respiration, interact with membrane phospholipids, inhibit the transformation of yeasts to mycelial forms, inhibit purine uptake, and impair triglyceride and/or phospholipid biosynthesis.</t>
  </si>
  <si>
    <t>Itraconazole is a relatively well-tolerated drug (although not as well tolerated as fluconazole or voriconazole) and the range of adverse effects it produces is similar to the other azole antifungals.
"Small but real risk" of developing congestive heart failure, Liver failure, sometimes fatal. 
Side-effects that may indicate a greater problem include: nausea, vomiting, abdominal pain, fatigue, loss of appetite, jaundice, yellow eyes, itching, dark urine, pale stool, headache.</t>
  </si>
  <si>
    <t>CC[C@]12CC[C@H]3[C@H]([C@@H]1CC[C@]2(C#C)O)CCC4=CC(=O)CC[C@H]34</t>
  </si>
  <si>
    <t>(8R,9S,10R,13S,14S,17R)-13-ethyl-17-ethynyl-17-hydroxy-1,2,6,7,8,9,10,11,12,14,15,16-dodecahydrocyclopenta[a]phenanthren-3-one</t>
  </si>
  <si>
    <t>Levonorgestrel</t>
  </si>
  <si>
    <t>4-E10</t>
  </si>
  <si>
    <t>797-63-7</t>
  </si>
  <si>
    <t>Contraceptive</t>
  </si>
  <si>
    <t>Binds to the progesterone and estrogen receptors. Target cells include the female reproductive tract, the mammary gland, the hypothalamus, and the pituitary. Once bound to the receptor, progestins like levonorgestrel will slow the frequency of release of gonadotropin releasing hormone (GnRH) from the hypothalamus and blunt the pre-ovulatory LH (luteinizing hormone) surge.</t>
  </si>
  <si>
    <t>Possible side effects of levonorgestrel include nausea, vomiting, stomach pain, dizziness, breast tenderness, tiredness and weakness, headache, menstrual changes, and diarrhea. 
It decreases total and free testosterone, androstenedione, dehydroepiandrosterone sulfate (DHEAS), dihydrotestosterone (DHT) and sex hormone–binding globulin (SHBG), but has no effect on sexual function or markers of androgen bioactivity.</t>
  </si>
  <si>
    <t>C[C@H]1COC2=C3N1C=C(C(=O)C3=CC(=C2N4CCN(CC4)C)F)C(=O)O.Cl</t>
  </si>
  <si>
    <t>(2S)-7-fluoro-2-methyl-6-(4-methylpiperazin-1-yl)-10-oxo-4-oxa-1-azatricyclo[7.3.1.0⁵,¹³]trideca-5,7,9(13),11-tetraene-11-carboxylic acid hydrochloride</t>
  </si>
  <si>
    <t>4-E11</t>
  </si>
  <si>
    <t>177325-13-2</t>
  </si>
  <si>
    <t>Broad spectrum antibiotic. Spectrum of activity includes most strains of bacterial pathogens responsible for respiratory, urinary tract, gastrointestinal, and abdominal infections.</t>
  </si>
  <si>
    <t>Levofloxacin inhibits topoisomerase II (DNA gyrase) and topoisomerase IV.  Topoisomerase II is essential to the replication, transcription and repair of bacterial DNA and topoisomerase IV is involved in the division of bacterial chromosomal DNA.</t>
  </si>
  <si>
    <t>This drug has been reported to interact with other drugs, as well as herbal and natural supplements. Such interactions increased the risk of cardiotoxicity and arrhythmias, anticoagulant effects, the formation of non-absorbable complexes, as well as increasing the risk of toxicity.</t>
  </si>
  <si>
    <t>CC1=C(C=NO1)C(=O)NC2=CC=C(C=C2)C(F)(F)F</t>
  </si>
  <si>
    <t>5-methyl-N-[4-(trifluoromethyl)phenyl]-1,2-oxazole-4-carboxamide</t>
  </si>
  <si>
    <t>Leflunomide</t>
  </si>
  <si>
    <t>4-F02</t>
  </si>
  <si>
    <t>75706-12-6</t>
  </si>
  <si>
    <t xml:space="preserve">Antirheumatic, Antineoplastic, Anti-inflammatory </t>
  </si>
  <si>
    <t>In-vitro data indicates that leflunomide interferes with cell cycle progression by inhibiting dihydroorotate dehydrogenase (a mitochondrial enzyme involved in de novo pyrimidine ribonucleotide uridine monophosphate (rUMP)synthesis) and has antiproliferative activity. Leflunomide is a prodrug that is rapidly and almost completely metabolized following oral administration to its pharmacologically active metabolite, A77 1726. This metabolite is responsible for essentially all of the drug's activity in-vivo. The mechanism of action of leflunomide has not been fully determined, but appears to primarily involve regulation of autoimmune lymphocytes. It has been suggested that leflunomide exerts its immunomodulating effects by preventing the expansion of activated autoimmune lymphocytes via interferences with cell cycle progression.</t>
  </si>
  <si>
    <t>Most serious is symptomatic liver damage ranging from jaundice to hepatitis, which can be fulminant, severe liver necrosis, and liver cirrhosis. Fatalities are known. Also very important is a relatively high incidence of myelosuppression with leukopenia, and/or hypoplastic anemia, and/or thrombocytopenia. Infections, sometimes as severe as development of active tuberculosis, pneumonia, PCP, and severe viral or mycotical infections, possibly leading to sepsis, death or permanent damage have been seen. Anemia or bleeding episodes may also lead to serious complications. Interstitial lung disease may occasionally be noticed and is recognized by progressive dyspnea and typical X-ray findings.</t>
  </si>
  <si>
    <t>C1CC(N(C1)C(=O)C(CCCCN)NC(CCC2=CC=CC=C2)C(=O)O)C(=O)O.O.O</t>
  </si>
  <si>
    <t>(2S)-1-[(2S)-6-amino-2-[[(1S)-1-carboxy-3-phenylpropyl]amino]hexanoyl]pyrrolidine-2-carboxylic acid;dihydrate</t>
  </si>
  <si>
    <t>4-F03</t>
  </si>
  <si>
    <t>83915-83-7</t>
  </si>
  <si>
    <t xml:space="preserve">ACE inhibitor that antagonizes the effect of the RAAS. </t>
  </si>
  <si>
    <t>Symptoms of overdose include severe hypotension, electrolyte disturbances, and renal failure. Most frequent adverse effects include headache, dizziness, cough, fatigue and diarrhea.</t>
  </si>
  <si>
    <t>CCOC(=O)N1CCC(=C2C3=C(CCC4=C2N=CC=C4)C=C(C=C3)Cl)CC1</t>
  </si>
  <si>
    <t>ethyl 4-(8-chloro-5,6-dihydrobenzo[1,2]cyclohepta[2,4-b]pyridin-11-ylidene)piperidine-1-carboxylate</t>
  </si>
  <si>
    <t>Loratadine</t>
  </si>
  <si>
    <t>4-F04</t>
  </si>
  <si>
    <t>79794-75-5</t>
  </si>
  <si>
    <t>Selective peripheral H1 antagont. Has low affinity for cholinergic receptors and does not exhibit any appreciable alpha-adrenergic blocking activity in-vitro. Also appears to suppress the release of histamine and leukotrienes from animal mast cells, and the release of leukotrienes from human lung fragments, although the clinical importance of this is unknown.</t>
  </si>
  <si>
    <t>As a "non-sedating" antihistamine, loratadine causes less (but still significant, in some cases) sedation and psychomotor retardation than the older antihistamines because it penetrates the blood brain barrier to a smaller extent. 
Other possible side-effects include headache and antimuscarinic effects such as urinary retention, dry mouth, blurred vision, and gastrointestinal disturbances.</t>
  </si>
  <si>
    <t>CCCCC1=NC(=C(N1CC2=CC=C(C=C2)C3=CC=CC=C3C4=NN=N[N-]4)CO)Cl.[K+]</t>
  </si>
  <si>
    <t>potassium;[2-butyl-5-chloro-3-[[4-[2-(1,2,3-triaza-4-azanidacyclopenta-2,5-dien-5-yl)phenyl]phenyl]methyl]imidazol-4-yl]methanol</t>
  </si>
  <si>
    <t>Losartan Potassium</t>
  </si>
  <si>
    <t>4-F05</t>
  </si>
  <si>
    <t>124750-99-8</t>
  </si>
  <si>
    <t>Antihypertensive, Antiarrhythmic</t>
  </si>
  <si>
    <t xml:space="preserve">Losartan and its longer acting active metabolite, E-3174, are specific and selective type-1 angiotensin II receptor (AT1) antagonists which block the blood pressure increasing effects angiotensin II via the renin-angiotensin-aldosterone system (RAAS). </t>
  </si>
  <si>
    <t xml:space="preserve">Can cause hypotension and tachycardia; Bradycardia could occur from parasympathetic (vagal) stimulation. </t>
  </si>
  <si>
    <t>COC(=O)NC1=NC2=C(N1)C=C(C=C2)C(=O)C3=CC=CC=C3</t>
  </si>
  <si>
    <t>methyl N-(6-benzoyl-1H-benzimidazol-2-yl)carbamate</t>
  </si>
  <si>
    <t>Mebendazole</t>
  </si>
  <si>
    <t>4-F06</t>
  </si>
  <si>
    <t>31431-39-7</t>
  </si>
  <si>
    <t>Anthelmintic</t>
  </si>
  <si>
    <t>Mebendazole is thought to work by selectively inhibiting the synthesis of microtubules in parasitic worms, and by destroying extant cytoplasmic microtubes in their intestinal cells: thereby blocking the uptake of glucose and other nutrients, resulting in the gradual immobilization and eventual death of the helminths.</t>
  </si>
  <si>
    <t>Mebendazole is relatively free of toxic side effects or adverse reactions, although patients may complain of transient abdominal pain, diarrhea, slight headache, fever, dizziness, exanthema, urticaria and angioedema.</t>
  </si>
  <si>
    <t>C[C@H]1C[C@@H]2[C@H](CC[C@]3([C@H]2CC[C@@]3(C(=O)C)OC(=O)C)C)[C@@]4(C1=CC(=O)CC4)C</t>
  </si>
  <si>
    <t>[(6S,8R,9S,10R,13S,14S,17R)-17-acetyl-6,10,13-trimethyl-3-oxo-2,6,7,8,9,11,12,14,15,16-decahydro-1H-cyclopenta[a]phenanthren-17-yl] acetate</t>
  </si>
  <si>
    <t>Medroxyprogesterone Acetate</t>
  </si>
  <si>
    <t>4-F07</t>
  </si>
  <si>
    <t>71-58-9</t>
  </si>
  <si>
    <t>Progestins diffuse freely into target cells in the female reproductive tract, mammary gland, hypothalamus, and the pituitary and bind to the progesterone receptor. Once bound to the receptor, progestins slow the frequency of release of gonadotropin releasing hormone (GnRH) from the hypothalamus and blunt the pre-ovulatory LH surge.</t>
  </si>
  <si>
    <t>Side effects include loss of bone mineral density, BMD changes in adult women, bleeding irregularities, cancer risks, and thromboembolic disorders.</t>
  </si>
  <si>
    <t>CC1=C(C(=CC=C1)NC2=CC=CC=C2C(=O)O)C</t>
  </si>
  <si>
    <t>2-(2,3-dimethylanilino)benzoic acid</t>
  </si>
  <si>
    <t>Mefenamic Acid</t>
  </si>
  <si>
    <t>4-F08</t>
  </si>
  <si>
    <t>61-68-7</t>
  </si>
  <si>
    <t xml:space="preserve">Non-steroidal anti-inflammatory, Analgesic, Antipyretic </t>
  </si>
  <si>
    <t>Mefenamic acid binds the prostaglandin synthetase receptors COX-1 and COX-2, inhibiting the action of prostaglandin synthetase. As these receptors have a role as a major mediator of inflammation and/or a role for prostanoid signaling in activity-dependent plasticity, the symptoms of pain are temporarily reduced.</t>
  </si>
  <si>
    <t xml:space="preserve">Known mild side effects of mefenamic acid include headaches, nervousness and vomiting. Serious side effects may include diarrhea, hematemesis (vomiting blood), haematuria (blood in urine), blurred vision, skin rash, itching and swelling, sore throat and fever. </t>
  </si>
  <si>
    <t>C1=CC(=CC=C1C[C@@H](C(=O)O)N)N(CCCl)CCCl</t>
  </si>
  <si>
    <t>(2S)-2-amino-3-[4-[bis(2-chloroethyl)amino]phenyl]propanoic acid</t>
  </si>
  <si>
    <t>Melphalan</t>
  </si>
  <si>
    <t>4-F09</t>
  </si>
  <si>
    <t>148-82-3</t>
  </si>
  <si>
    <t>A chemotherapy drug.  Can be used as treatment for ovarian cancer and multiple myeloma.</t>
  </si>
  <si>
    <t xml:space="preserve">Vomiting, ulceration of the mouth, diarrhea, and hemorrhage of the gastrointestinal tract; The principal toxic effect is myelosuppression leading to leukopenia, thrombocytopenia, and anemia. </t>
  </si>
  <si>
    <t>CC(CC1=CC(=C(C=C1)O)O)(C(=O)O)N.O</t>
  </si>
  <si>
    <t>(2S)-2-amino-3-(3,4-dihydroxyphenyl)-2-methylpropanoic acid;hydrate</t>
  </si>
  <si>
    <t>4-F10</t>
  </si>
  <si>
    <t>An antihypertensive agent</t>
  </si>
  <si>
    <t>α-2 adrenergic agonist</t>
  </si>
  <si>
    <t>Possible side effects innclude, but are not limited to, apathy, depression,anxiety,drowsiness, constipation, diarrhea,sexual dysunction, impaired attention and memory impairement.</t>
  </si>
  <si>
    <t>C[C@H]1C[C@H]2[C@@H]3CC[C@@]([C@]3(C[C@@H]([C@@H]2[C@@]4(C1=CC(=O)C=C4)C)O)C)(C(=O)CO)O</t>
  </si>
  <si>
    <t>(6S,8S,9S,10R,11S,13S,14S,17R)-11,17-dihydroxy-17-(2-hydroxyacetyl)-6,10,13-trimethyl-7,8,9,11,12,14,15,16-octahydro-6H-cyclopenta[a]phenanthren-3-one</t>
  </si>
  <si>
    <t>Methylprednisolone</t>
  </si>
  <si>
    <t>4-F11</t>
  </si>
  <si>
    <t>83-43-2</t>
  </si>
  <si>
    <t xml:space="preserve">Anti-inflammatory, Antiemetic, Neuroprotective </t>
  </si>
  <si>
    <t>Unbound glucocorticoids cross cell membranes and bind with high affinity to specific cytoplasmic receptors, modifying transcription and protein synthesis. By this mechanism, glucocorticoids can inhibit leukocyte infiltration at the site of inflammation, interfere with mediators of inflammatory response, and suppress humoral immune responses. The antiinflammatory actions of corticosteroids are thought to involve phospholipase A2 inhibitory proteins, lipocortins, which control the biosynthesis of potent mediators of inflammation such as prostaglandins and leukotrienes.</t>
  </si>
  <si>
    <t xml:space="preserve">Methylprednisolone has some serious side effects if taken long-term, including weight loss, glaucoma, osteoporosis and psychosis, especially when used at high dosage. The most serious side effect occurs after the adrenal glands cease natural production of cortisol, which methylprednisolone will replace. Abrupt cessation of the drug after this occurs can result in a condition known as Addisonian crisis, which can be fatal. To prevent this, the drug is usually prescribed with a tapering dosage, including a pre-dosed "dose pack" detailing a specific number of pills to take at designated times over a several-day period. Pharmacists sometimes advise that this drug can cause sleeplessness and "down" moods.
</t>
  </si>
  <si>
    <t>CC(C)NCC(COC1=CC=C(C=C1)CCOC)O.CC(C)NCC(COC1=CC=C(C=C1)CCOC)O.C(C(C(=O)O)O)(C(=O)O)O</t>
  </si>
  <si>
    <t>(2R,3S)-2,3-dihydroxybutanedioic acid;1-[4-(2-methoxyethyl)phenoxy]-3-(propan-2-ylamino)propan-2-ol</t>
  </si>
  <si>
    <t>Metoprolol Tartrate</t>
  </si>
  <si>
    <t>4-G02</t>
  </si>
  <si>
    <t>56392-17-7</t>
  </si>
  <si>
    <t xml:space="preserve">Antihypertensive, Antiarrhythmic </t>
  </si>
  <si>
    <t>Metoprolol is a cardioselective β1-adrenergic blocking agent.</t>
  </si>
  <si>
    <t xml:space="preserve">Serious side effects include, but are not limited to, symptoms of bradycardia, persistent dizziness, fainting and unusual fatigue, bluish discoloration of the fingers and toes, numbness/tingling/swelling of the hands or feet, sexual dysfunction, erectile dysfunction. </t>
  </si>
  <si>
    <t>CN1C=CNC1=S</t>
  </si>
  <si>
    <t>3-methyl-1H-imidazole-2-thione</t>
  </si>
  <si>
    <t>Methimazole</t>
  </si>
  <si>
    <t>4-G03</t>
  </si>
  <si>
    <t>60-56-0</t>
  </si>
  <si>
    <t>Antithyroid Agent</t>
  </si>
  <si>
    <t>Methimazole binds to thyroid peroxidase and thereby inhibits the conversion of iodide to iodine. Thyroid peroxidase normally converts iodide to iodine (via hydrogen peroxide as a cofactor) and also catalyzes the incorporation of the resulting iodide molecule onto both the 3 and/or 5 positions of the phenol rings of tyrosines found in thyroglobulin. Thyroglobulin is degraded to produce thyroxine (T4) and tri-iodothyronine (T3), which are the main hormones produced by the thyroid gland. So methimazole effectively inhibits the production of new thyroid hormones.</t>
  </si>
  <si>
    <t>It is important to monitor any symptoms of fever or sore throat while taking methimazole; this could indicate the development of agranulocytosis, an uncommon but severe side effect. 
Other side effects include skin rash, itching, abnormal hair loss, upset stomach, vomiting,  
loss of taste, abnormal sensations (tingling, prickling, burning, tightness, and pulling), 
swelling, joint and muscle pain, drowsiness, dizziness, decreased white blood cells,  
decreased platelet, aplasia cutis congenita (prenatal exposure).</t>
  </si>
  <si>
    <t>CC1=NC=C(N1CCO)[N+](=O)[O-]</t>
  </si>
  <si>
    <t>2-(2-methyl-5-nitroimidazol-1-yl)ethanol</t>
  </si>
  <si>
    <t>Metronidazole</t>
  </si>
  <si>
    <t>4-G04</t>
  </si>
  <si>
    <t>443-48-1</t>
  </si>
  <si>
    <t>Anti-Infective, Antiprotozoal</t>
  </si>
  <si>
    <t>Metronidazole is a prodrug. Unionized metronidazole is selective for anaerobic bacteria due to their ability to intracellularly reduce metronidazole to its active form. This reduced metronidazole then covalently binds to DNA, disrupt its helical structure, inhibiting bacterial nucleic acid synthesis and resulting in bacterial cell death.</t>
  </si>
  <si>
    <t>Adverse effects include reversible peripheral neuropathy with prolonged therapy, CNS toxicity, disulfiram effect with alcohol, dark red-brown urine, metallic taste, nausea, epigastric distress, dizziness, vertigo and paresthesias associated with high doses, and neutropenia (reversible and mild).</t>
  </si>
  <si>
    <t>CN(C)[C@H]1[C@@H]2C[C@@H]3CC4=C(C=CC(=C4C(=C3C(=O)[C@@]2(C(=C(C1=O)C(=O)N)O)O)O)O)N(C)C</t>
  </si>
  <si>
    <t>(4S,4aS,5aR,12aR)-4,7-bis(dimethylamino)-1,10,11,12a-tetrahydroxy-3,12-dioxo-4a,5,5a,6-tetrahydro-4H-tetracene-2-carboxamide</t>
  </si>
  <si>
    <t xml:space="preserve">Minocycline </t>
  </si>
  <si>
    <t>4-G05</t>
  </si>
  <si>
    <t>1970;s</t>
  </si>
  <si>
    <t>Broad spectrum antibiotic. Tetracycline antibiotic usually used to treat acne vulgaris.</t>
  </si>
  <si>
    <t>Minocycline bind to the 30S ribosomal subunit, preventing the binding of tRNA to the mRNA-ribosome complex and interfering with protein synthesis.</t>
  </si>
  <si>
    <t xml:space="preserve">Minocycline may cause upset stomach, diarrhea, dizziness, unsteadiness, drowsiness, mouth sores, headache and vomiting. Minocycline increases sensitivity to sunlight. It has also been linked to cases of lupus. </t>
  </si>
  <si>
    <t>C1=CC(=C2C(=C1NCCNCCO)C(=O)C3=C(C=CC(=C3C2=O)O)O)NCCNCCO.Cl.Cl</t>
  </si>
  <si>
    <t>1,4-dihydroxy-5,8-bis[2-(2-hydroxyethylamino)ethylamino]anthracene-9,10-dione;dihydrochloride</t>
  </si>
  <si>
    <t>4-G06</t>
  </si>
  <si>
    <t>70476-82-3</t>
  </si>
  <si>
    <t>Mitoxantrone intercalates between DNA base pairs and also inhibits topoisomerase II.</t>
  </si>
  <si>
    <t>CC1=C2[C@H](C(=O)[C@@]3([C@H](C[C@@H]4[C@](C3[C@@H]([C@@](C2(C)C)(C[C@@H]1OC(=O)[C@@H]([C@H](C5=CC=CC=C5)NC(=O)C6=CC=CC=C6)O)O)OC(=O)C7=CC=CC=C7)(CO4)OC(=O)C)O)C)OC(=O)C</t>
  </si>
  <si>
    <t>(1S,2S,4S,7R,9S,10S,12R,15S)-4,12-bis(acetyloxy)-1,9-dihydroxy-15-{[(2R,3S)-2-hydroxy-3-phenyl-3-(phenylformamido)propanoyl]oxy}-10,14,17,17-tetramethyl-11-oxo-6-oxatetracyclo[11.3.1.0³,¹⁰.0⁴,⁷]heptadec-13-en-2-yl benzoate</t>
  </si>
  <si>
    <t>4-G07</t>
  </si>
  <si>
    <t>33069-62-4</t>
  </si>
  <si>
    <t xml:space="preserve">Paclitaxel is a potent taxoid antineoplastic drug, which binds to β-tubulin and and hyper-stabilizes the microtubule structure of a cell. </t>
  </si>
  <si>
    <t>CC(=O)CCC1=CC2=C(C=C1)C=C(C=C2)OC</t>
  </si>
  <si>
    <t>4-(6-methoxynaphthalen-2-yl)butan-2-one</t>
  </si>
  <si>
    <t>Nabumetone</t>
  </si>
  <si>
    <t>4-G08</t>
  </si>
  <si>
    <t>42924-53-8</t>
  </si>
  <si>
    <t xml:space="preserve">Nonsteroidal anti-inflammatory, Antineoplastic </t>
  </si>
  <si>
    <t>Non-selective prostaglandin G/H synthase (a.k.a. cyclooxygenase or COX) inhibitor that acts on both prostaglandin G/H synthase 1 and 2 (COX-1 and -2). Prostaglandin G/H synthase catalyzes the conversion of arachidonic acid to prostaglandin G2 and prostaglandin G2 to prostaglandin H2. Prostaglandin H2 is the precursor to a number of prostaglandins involved in fever, pain, swelling, inflammation, and platelet aggregation. The parent compound is a prodrug that undergoes hepatic biotransformation to the active compound, 6-methoxy-2-naphthylacetic acid (6MNA). The analgesic, antipyretic and anti-inflammatory effects of NSAIDs occur as a result of decreased prostaglandin synthesis.</t>
  </si>
  <si>
    <t>It has been shown to have a slightly lower risk of gastrointestinal side effects than most other non-selective NSAIDs since it is a non-acidic prodrug which is then metabolized to its active 6MNA (6-methoxy-2-naphthylacetic acid) form.</t>
  </si>
  <si>
    <t>C1CN=C(N1)CC2=CC=CC3=CC=CC=C32.Cl</t>
  </si>
  <si>
    <t>2-(naphthalen-1-ylmethyl)-4,5-dihydro-1H-imidazole;hydrochloride</t>
  </si>
  <si>
    <t>Naphazoline·HCl</t>
  </si>
  <si>
    <t>4-G09</t>
  </si>
  <si>
    <t>550-99-2</t>
  </si>
  <si>
    <t xml:space="preserve"> Vasoconstrictor, occular agent</t>
  </si>
  <si>
    <t>α-adrenoceptor agonist; vasoconstrictor</t>
  </si>
  <si>
    <t>CCC1=NN(C(=O)N1CCOC2=CC=CC=C2)CCCN3CCN(CC3)C4=CC(=CC=C4)Cl.Cl</t>
  </si>
  <si>
    <t>2-[3-[4-(3-chlorophenyl)piperazin-1-yl]propyl]-5-ethyl-4-(2-phenoxyethyl)-1,2,4-triazol-3-one;hydrochloride</t>
  </si>
  <si>
    <t>Nefazodone·HCl</t>
  </si>
  <si>
    <t>4-G10</t>
  </si>
  <si>
    <t>82752-99-6</t>
  </si>
  <si>
    <t>5-HT2 serotonin receptor antagonist/serotonin uptake inhibitor.</t>
  </si>
  <si>
    <t>C[C@]12CC[C@H]3[C@H]([C@@H]1CC[C@]2(C#C)O)CCC4=CC(=O)CC[C@H]34</t>
  </si>
  <si>
    <t>(8R,9S,10R,13S,14S,17R)-17-ethynyl-17-hydroxy-13-methyl-1,2,6,7,8,9,10,11,12,14,15,16-dodecahydrocyclopenta[a]phenanthren-3-one</t>
  </si>
  <si>
    <t>Norethindrone</t>
  </si>
  <si>
    <t>4-G11</t>
  </si>
  <si>
    <t>68-22-4</t>
  </si>
  <si>
    <t>Contraceptives</t>
  </si>
  <si>
    <t xml:space="preserve"> Binds to the progesterone receptor. Target cells include the female reproductive tract, the mammary gland, the hypothalamus, and the pituitary. Once bound to the receptor, it slows the frequency of release of gonadotropin releasing hormone (GnRH) from the hypothalamus and blunts the pre-ovulatory LH surge.</t>
  </si>
  <si>
    <t>Common side effects include breast tenderness, bleeding between menstrual periods, change in vaginal mucus, headache, nausea, rash,  spotty darkening of the skin (especially on the face), stomach cramps and bloating, vaginal infection, vomiting and weight or appetite change.</t>
  </si>
  <si>
    <t>CCN1C=C(C(=O)C2=CC(=C(C=C21)N3CCNCC3)F)C(=O)O</t>
  </si>
  <si>
    <t>1-ethyl-6-fluoro-4-oxo-7-piperazin-1-ylquinoline-3-carboxylic acid</t>
  </si>
  <si>
    <t>Norfloxacin</t>
  </si>
  <si>
    <t>4-H02</t>
  </si>
  <si>
    <t>70458-96-7</t>
  </si>
  <si>
    <t>The bactericidal action of Norfloxacin results from inhibition of the enzymes topoisomerase II (DNA gyrase) and topoisomerase IV, which are required for bacterial DNA replication, transcription, repair, and recombination. Norfloxacin is a broad-spectrum antibiotic that is active against both gram-positive and gram-negative bacterias. The fluorine atom at the 6 position increases potency against gram-negative organisms, and the piperazine moiety at the 7 position is responsible for anti-pseudomonal activity.</t>
  </si>
  <si>
    <t>Serious adverse events occur more commonly with fluoroquinolones than with any other antibiotic drug classes.
Joint and tendon problems, as seen with all drugs within this class, have been associated with norfloxacin.  Serious and occasionally fatal hypersensitivity (anaphylactic) reactions, some following the first dose, have been reported as well. As with other drugs in this class norfloxacin is also associated with severe and even fatal liver diseases, acute pancreatitis, allergic nephropathy and serious visual complications.</t>
  </si>
  <si>
    <t>C[C@@H]1[C@H]([C@@H]([C@@H]([C@@H](O1)OC\2CC(C(C(CC(=O)CC(C(CCC(CC(CC(CC(=O)OC(C(C(C(/C=C/C=C/CC/C=C/C=C/C=C/C=C2)C)O)C)C)O)O)O)O)O)O)C(=O)O)O)O)N)O</t>
  </si>
  <si>
    <t>(21E,23E,25E,27E,31E,33E)-20-[(2R,3S,4S,5S,6R)-4-amino-3,5-dihydroxy-6-methyloxan-2-yl]oxy-4,6,8,11,12,16,18,36-octahydroxy-35,37,38-trimethyl-2,14-dioxo-1-oxacyclooctatriaconta-21,23,25,27,31,33-hexaene-17-carboxylic acid</t>
  </si>
  <si>
    <t>Nystatin</t>
  </si>
  <si>
    <t>4-H03</t>
  </si>
  <si>
    <t>1400-61-9</t>
  </si>
  <si>
    <t>Antifungal, antibacterial</t>
  </si>
  <si>
    <t>Nystatin exerts its antifungal activity by binding to ergosterol found in fungal cell membranes. Binding to ergosterol causes the formation of pores in the membrane. Potassium and other cellular constituents leak from the pores causing cell death.</t>
  </si>
  <si>
    <t>Due to its toxicity profile, there are currently no injectable formulations of Nystatin on the US market. However, the drug may be safely given orally as well as applied topically due to its minimal absorption through mucocutaneous membranes such as the gut and the skin.</t>
  </si>
  <si>
    <t>CC1COC2=C3N1C=C(C(=O)C3=CC(=C2N4CCN(CC4)C)F)C(=O)O</t>
  </si>
  <si>
    <t>7-fluoro-2-methyl-6-(4-methylpiperazin-1-yl)-10-oxo-4-oxa-1-azatricyclo[7.3.1.0⁵,¹³]trideca-5,7,9(13),11-tetraene-11-carboxylic acid</t>
  </si>
  <si>
    <t>Ofloxacin</t>
  </si>
  <si>
    <t>4-H04</t>
  </si>
  <si>
    <t>82419-36-1</t>
  </si>
  <si>
    <t>Ofloxacin acts on DNA gyrase and toposiomerase IV, enzymes which, like human topoisomerase, prevents the excessive supercoiling of DNA during replication or transcription. By inhibiting their function, the drug thereby inhibits normal cell division.</t>
  </si>
  <si>
    <t xml:space="preserve"> Risk of peripheral neuropathy (irreversible nerve damage), tendon damage, heart problems (prolonged QT interval / torsades de pointes), pseudomembranous colitis, rhabdomyolysis (muscle wasting) and Stevens–Johnson syndrome. Severe hepatotoxicity has been reported as well.</t>
  </si>
  <si>
    <t>CC1=CN=C(C(=C1OC)C)CS(=O)C2=NC3=C(N2)C=C(C=C3)OC</t>
  </si>
  <si>
    <t>6-methoxy-2-[(4-methoxy-3,5-dimethylpyridin-2-yl)methylsulfinyl]-1H-benzimidazole</t>
  </si>
  <si>
    <t>Omeprazole</t>
  </si>
  <si>
    <t>4-H05</t>
  </si>
  <si>
    <t>73590-58-6</t>
  </si>
  <si>
    <t>Anti-Ulcer Agent</t>
  </si>
  <si>
    <t>Omeprazole is a proton pump inhibitor that suppresses gastric acid secretion by specific inhibition of the H+/K+-ATPase in the gastric parietal cell. By acting specifically on the proton pump, omeprazole blocks the final step in acid production, thus reducing gastric acidity.</t>
  </si>
  <si>
    <t>Some of the most frequent side effects of omeprazole are headache, diarrhea, abdominal pain, nausea, dizziness, trouble awakening and sleep deprivation, although in clinical trials the incidence of these effects with omeprazole was mostly comparable to that found with placebo.
Proton pump inhibitors may be associated with a greater risk of osteoporosis related fractures and Clostridium difficile-associated diarrhea.</t>
  </si>
  <si>
    <t>C1C2=CC=CC=C2N(C3=CC=CC=C3C1=O)C(=O)N</t>
  </si>
  <si>
    <t>5-oxo-6H-benzo[b][1]benzazepine-11-carboxamide</t>
  </si>
  <si>
    <t>Oxcarbazepine</t>
  </si>
  <si>
    <t>4-H06</t>
  </si>
  <si>
    <t>28721-07-5</t>
  </si>
  <si>
    <t>The exact mechanism by which oxcarbazepine exerts its anticonvulsant effect is unknown. It is known that the pharmacological activity of oxcarbazepine occurs primarily through its 10-monohydroxy metabolite (MHD). In vitro studies indicate an MHD-induced blockade of voltage-sensitive sodium channels, resulting in stabilization of hyperexcited neuronal membranes, inhibition of repetitive neuronal discharges, and diminution of propagation of synaptic impulses.</t>
  </si>
  <si>
    <t>Oxcarbazepine can cause dizziness, drowsiness, blurred or double vision, fatigue and may cause headaches, nausea, and vomiting. There is also evidence of difficulty in concentration and mental sluggishness. It can also cause hyponatremia (2.7% of patients).</t>
  </si>
  <si>
    <t>C1=CC(=C(C=C1Cl)Cl)CO/N=C(/CN2C=CN=C2)\C3=C(C=C(C=C3)Cl)Cl.[N+](=O)(O)[O-]</t>
  </si>
  <si>
    <t>(E)-1-(2,4-dichlorophenyl)-N-[(2,4-dichlorophenyl)methoxy]-2-imidazol-1-ylethanimine;nitric acid</t>
  </si>
  <si>
    <t>Oxiconazole Nitrate</t>
  </si>
  <si>
    <t>4-H07</t>
  </si>
  <si>
    <t>64211-46-7</t>
  </si>
  <si>
    <t>Oxiconazole inhibits ergosterol biosynthesis, which is required for cytoplasmic membrane integrity of fungi. It acts to destabilize the fungal cyctochrome P450 51 enzyme (also known as Lanosterol 14-alpha demethylase). This is vital in the cell membrance structure of the fungus. Its inhibition leads to cell lysis. Oxiconazole has also been shown in inhibit DNA synthesis and suppress intracellular concentrations of ATP. Like other imidazole antifungals, Oxiconazole can increase membrane permeability to zinc, augmenting its cytotoxicity.</t>
  </si>
  <si>
    <t>Side effects incliude pruritus, burning, irritation, erythema, stinging and allergic contact dermatitis and folliculitis, fissuring, maceration rash and nodules.</t>
  </si>
  <si>
    <t>CC1=C(C(=NO1)C2=CC=CC=C2)C(=O)NC3C4N(C3=O)C(C(S4)(C)C)C(=O)[O-].O.[Na+]</t>
  </si>
  <si>
    <t>sodium;(2S,5R,6R)-3,3-dimethyl-6-[(5-methyl-3-phenyl-1,2-oxazole-4-carbonyl)amino]-7-oxo-4-thia-1-azabicyclo[3.2.0]heptane-2-carboxylate;hydrate</t>
  </si>
  <si>
    <t>Oxacillin sodium salt monohydrate</t>
  </si>
  <si>
    <t>4-H08</t>
  </si>
  <si>
    <t>7240-38-2</t>
  </si>
  <si>
    <t>By binding to specific penicillin-binding proteins (PBPs) located inside the bacterial cell wall, Oxacillin inhibits the third and last stage of bacterial cell wall synthesis. Cell lysis is then mediated by bacterial cell wall autolytic enzymes such as autolysins; it is possible that Oxacillin interferes with an autolysin inhibitor.</t>
  </si>
  <si>
    <t>Side effects include hypersensitivity and local reactions. In high doses, renal, hepatic, or nervous system effects can occur.</t>
  </si>
  <si>
    <t>COC1=C(C(=NC=C1)CS(=O)C2=NC3=C(N2)C=C(C=C3)OC(F)F)OC</t>
  </si>
  <si>
    <t>6-(difluoromethoxy)-2-[(3,4-dimethoxypyridin-2-yl)methylsulfinyl]-1H-benzimidazole</t>
  </si>
  <si>
    <t>Pantoprazole</t>
  </si>
  <si>
    <t>4-H09</t>
  </si>
  <si>
    <t>102625-70-7</t>
  </si>
  <si>
    <t xml:space="preserve">  Treats gastroesophageal reflux disease (GERD) and damage to the esophagus. Also treats high levels of acid in the stomach </t>
  </si>
  <si>
    <t>Pantoprazole is a proton pump inhibitor (PPI) that suppresses the final step in gastric acid production by forming a covalent bond to two sites of the (H+,K+ )- ATPase enzyme system at the secretory surface of the gastric parietal cell. This effect is dose- related and leads to inhibition of both basal and stimulated gastric acid secretion irrespective of the stimulus.</t>
  </si>
  <si>
    <t>Adverse reactions include: asthenia, fatigue, malaise, hepatocellular damage leading to jaundice and hepatic failure, anaphylaxis, hyponatremia, hypomagnesemia, bone fracture, hallucination, confusion, insomnia, somnolence, nephritis, severe dermatologic reactions (some fatal, including erythema multiforme, Stevens-Johnson syndrome, and toxic epidermal necrolysis (TEN, some fatal), and angioedema (Quincke’s edema).</t>
  </si>
  <si>
    <t>C1CNC[C@H]([C@@H]1C2=CC=C(C=C2)F)COC3=CC4=C(C=C3)OCO4.Cl</t>
  </si>
  <si>
    <t>(3S,4R)-3-(1,3-benzodioxol-5-yloxymethyl)-4-(4-fluorophenyl)piperidine;hydrochloride</t>
  </si>
  <si>
    <t>Paroxetine·HCl</t>
  </si>
  <si>
    <t>4-H10</t>
  </si>
  <si>
    <t>78246-49-8</t>
  </si>
  <si>
    <t>C1=NC2=C(N1CCC(CO)CO)NC(=NC2=O)N</t>
  </si>
  <si>
    <t>2-amino-9-[4-hydroxy-3-(hydroxymethyl)butyl]-3H-purin-6-one</t>
  </si>
  <si>
    <t>Penciclovir</t>
  </si>
  <si>
    <t>4-H11</t>
  </si>
  <si>
    <t>39809-25-1</t>
  </si>
  <si>
    <t>An Antiviral drug used for the treatment for various herpesvirus infections</t>
  </si>
  <si>
    <t>In cells infected with HSV-1 or HSV-2, viral thymidine kinase phosphorylates penciclovir to a monophosphate form. The monophosphate form of the drug is then converted to penciclovir triphosphate by cellular kinases. The intracellular triphosphate of penciclovir is retained in vitro inside HSV-infected cells for 10-20 hours, compared with 0.7-1 hour for acyclovir. in vitro studies show that penciclovir triphosphate selectively inhibits viral DNA polymerase by competing with deoxyguanosine triphosphate. Inhibition of DNA synthesis of virus-infected cells inhibits viral replication. In cells not infected with HSV, DNA synthesis is unaltered. Resistant mutants of HSV can occur from qualitative changes in viral thymidine kinase or DNA polymerase. The most commonly encountered acyclovir-resistant mutants that are deficient in viral thymidine kinase are also resistant to penciclovir.</t>
  </si>
  <si>
    <t>Symptoms of overdose include headache, abdominal pain, increased serum lipase, nausea, dyspepsia, dizziness, and hyperbilirubinemia.</t>
  </si>
  <si>
    <t>CC(=O)CCCCN1C(=O)C2=C(N=CN2C)N(C1=O)C</t>
  </si>
  <si>
    <t>3,7-dimethyl-1-(5-oxohexyl)purine-2,6-dione</t>
  </si>
  <si>
    <t>Pentoxifylline</t>
  </si>
  <si>
    <t>5-A02</t>
  </si>
  <si>
    <t>Hematologic Agent, Platelet Aggregation Inhibitor, Free Radical Scavenger</t>
  </si>
  <si>
    <t>Phosphodiesterase inhibitor; non-selective adenosine receptor antagonist.</t>
  </si>
  <si>
    <t>CC1(C(N2C(S1)C(C2=O)NC(=O)COC3=CC=CC=C3)C(=O)[O-])C.[K+]</t>
  </si>
  <si>
    <t>potassium;3,3-dimethyl-7-oxo-6-[(2-phenoxyacetyl)amino]-4-thia-1-azabicyclo[3.2.0]heptane-2-carboxylate</t>
  </si>
  <si>
    <t>Penicillin V Potassium</t>
  </si>
  <si>
    <t>5-A03</t>
  </si>
  <si>
    <t>132-98-9</t>
  </si>
  <si>
    <t>By binding to specific penicillin-binding proteins (PBPs) located inside the bacterial cell wall, Penicillin V inhibits the third and last stage of bacterial cell wall synthesis. Cell lysis is then mediated by bacterial cell wall autolytic enzymes such as autolysins; it is possible that Penicillin V interferes with an autolysin inhibitor.</t>
  </si>
  <si>
    <t>Usually well tolerated but may occasionally cause transient nausea, vomiting, epigastric distress, diarrhea, and black hairy tongue. A previous hypersensitivity reaction to any penicillin is a contraindication.</t>
  </si>
  <si>
    <t>CCN1CCN(C(=O)C1=O)C(=O)N[C@H](C2=CC=CC=C2)C(=O)N[C@H]3[C@@H]4N(C3=O)[C@H](C(S4)(C)C)C(=O)O</t>
  </si>
  <si>
    <t>(2S,5R,6R)-6-[[(2R)-2-[(4-ethyl-2,3-dioxopiperazine-1-carbonyl)amino]-2-phenylacetyl]amino]-3,3-dimethyl-7-oxo-4-thia-1-azabicyclo[3.2.0]heptane-2-carboxylic acid</t>
  </si>
  <si>
    <t>Piperacillin</t>
  </si>
  <si>
    <t>5-A04</t>
  </si>
  <si>
    <t>61477-96-1</t>
  </si>
  <si>
    <t>An extended spectrum beta-lactam antibiotic</t>
  </si>
  <si>
    <t>By binding to specific penicillin-binding proteins (PBPs) located inside the bacterial cell wall, Piperacillin inhibits the third and last stage of bacterial cell wall synthesis. Cell lysis is then mediated by bacterial cell wall autolytic enzymes such as autolysins; it is possible that Piperacillin interferes with an autolysin inhibitor.</t>
  </si>
  <si>
    <t xml:space="preserve">Hypersensitivity side effects have included anaphylactic/anaphylactoid reactions. Dermatologic side effects have included rash (1%), pruritus. Local side effects have included thrombophlebitis (4%), and injection site pain. Gastrointestinal side effects have included diarrhea (2%), loose stools (2%). Hematologic side effects have included agranulocytosis, hemolytic anemia, leukopenia, neutropenia, pancytopenia, thrombocytopenia, eosinophilia, epistaxis, bleeding disorders, and hemorrhage. Piperacillin may cause platelet dysfunction and significantly prolong bleeding times in up to 43% of treated patients. Leukopenia has been reported in 23% of patients with liver disease receiving beta-lactam antibiotics. </t>
  </si>
  <si>
    <t>C[C@]12C[C@@H]([C@H]3[C@H]([C@@H]1CC[C@@]2(C(=O)CO)O)CCC4=CC(=O)C=C[C@]34C)O</t>
  </si>
  <si>
    <t>(8S,9S,10R,11S,13S,14S,17R)-11,17-dihydroxy-17-(2-hydroxyacetyl)-10,13-dimethyl-7,8,9,11,12,14,15,16-octahydro-6H-cyclopenta[a]phenanthren-3-one</t>
  </si>
  <si>
    <t>Prednisolone</t>
  </si>
  <si>
    <t>5-A05</t>
  </si>
  <si>
    <t>50-24-8</t>
  </si>
  <si>
    <t>Antineoplastic, Hormonal, Anti-inflammatory</t>
  </si>
  <si>
    <t xml:space="preserve">Prednisolone can inhibit leukocyte infiltration at the site of inflammation, interfere with mediators of inflammatory response, and suppress humoral immune responses. The antiinflammatory actions of glucocorticoids are thought to involve phospholipase A2 inhibitory proteins, lipocortins, which control the biosynthesis of potent mediators of inflammation such as prostaglandins and leukotrienes. Prednisolone reduces inflammatory reaction by limiting the capillary dilatation and permeability of the vascular structures. </t>
  </si>
  <si>
    <t>Possible side-effects include fluid retention of the face (moon face, Cushing's syndrome), acne, constipation, and mood swings. 
A lengthy course of prednisolone can cause bloody or black tarry stools from bleeding into the stomach; filling or rounding out of the face; muscle cramps or pain; muscle weakness; nausea; pain in back, hips, ribs, arms, shoulders, or legs; reddish-purple stretch marks on arms, face, legs, trunk, or groin; thin and shiny skin; unusual bruising; urinating at night; rapid weight gain; and wounds that will not heal.
Prolonged use of prednisolone can lead to the development of osteoporosis which makes bones more fragile and susceptible to fractures.</t>
  </si>
  <si>
    <t>CC(=O)[C@H]1CC[C@@H]2[C@@]1(CC[C@H]3[C@H]2CCC4=CC(=O)CC[C@]34C)C</t>
  </si>
  <si>
    <t>(8S,9S,10R,13S,14S,17S)-17-acetyl-10,13-dimethyl-1,2,6,7,8,9,11,12,14,15,16,17-dodecahydrocyclopenta[a]phenanthren-3-one</t>
  </si>
  <si>
    <t>Progesterone</t>
  </si>
  <si>
    <t>5-A06</t>
  </si>
  <si>
    <t>57-83-0</t>
  </si>
  <si>
    <t>Progesterone binds to the progesterone and estrogen receptors. Target cells include the female reproductive tract, the mammary gland, the hypothalamus, and the pituitary. Once bound to the receptor, progestins like Progesterone will slow the frequency of release of gonadotropin releasing hormone (GnRH) from the hypothalamus and blunt the pre-ovulatory LH (luteinizing hormone) surge.</t>
  </si>
  <si>
    <t xml:space="preserve"> Side effects include breast tenderness (27%), urinary problems (11%), vaginal discharge (10%), vaginal dryness (6%), breast pain (6%), headache (31%), dizziness (15%), abdominal pain (20%), bloating (8%), diarrhea (8%), nausea (8%),  joint pain (20%), musculoskeletal pain (12%), back pain (8%), depression (19%), viral infection (12%), hot flashes (11%), fatigue (8%), irritability (8%), worry (8%) and night sweats (7%). </t>
  </si>
  <si>
    <t>CC(C)NC(=O)C1=CC=C(C=C1)CNNC.Cl</t>
  </si>
  <si>
    <t>4-[(2-methylhydrazinyl)methyl]-N-propan-2-ylbenzamide;hydrochloride</t>
  </si>
  <si>
    <t>Procarbazine·HCl</t>
  </si>
  <si>
    <t>5-A07</t>
  </si>
  <si>
    <t>366-70-1</t>
  </si>
  <si>
    <t>Alkylating agent. Appears to inhibit the trans-methylation of methionine into transfer RNA (t-RNA), thereby preventing protein synthesis and consequently DNA and RNA synthesis. May also undergo auto-oxidation, resulting in the formation of cytotoxic free radicals which damage DNA through an alkylation reaction.</t>
  </si>
  <si>
    <t xml:space="preserve">Hematologic side effects are dose limiting.  Leukopenia, anemia, and thrombocytopenia have been reported to occur frequently. Pancytopenia, eosinophilia, hemolytic anemia have also been reported. 
Hematologic toxicity, common to many hydrazine derivatives, include hemolysis, eosinophilia, anisocytosis, poikilocytosis, lymphocytosis. </t>
  </si>
  <si>
    <t>C[C@]12CC(=O)[C@H]3[C@H]([C@@H]1CC[C@@]2(C(=O)CO)O)CCC4=CC(=O)C=C[C@]34C</t>
  </si>
  <si>
    <t>(8S,9S,10R,13S,14S,17R)-17-hydroxy-17-(2-hydroxyacetyl)-10,13-dimethyl-6,7,8,9,12,14,15,16-octahydrocyclopenta[a]phenanthrene-3,11-dione</t>
  </si>
  <si>
    <t>Prednisone</t>
  </si>
  <si>
    <t>5-A08</t>
  </si>
  <si>
    <t>53-03-2</t>
  </si>
  <si>
    <t xml:space="preserve">Antineoplastic, Hormonal, Anti-inflammatory </t>
  </si>
  <si>
    <t>Glucocorticoid receptor agonist. It is first metabolized in the liver to its active form, prednisolone. Prednisolone crosses cell membranes and binds with high affinity to specific cytoplasmic receptors. The result includes inhibition of leukocyte infiltration at the site of inflammation, interference in the function of mediators of inflammatory response, suppression of humoral immune responses, and reduction in edema or scar tissue. The antiinflammatory actions of corticosteroids are thought to involve phospholipase A2 inhibitory proteins, lipocortins, which control the biosynthesis of potent mediators of inflammation such as prostaglandins and leukotrienes.</t>
  </si>
  <si>
    <t>Short-term side-effects, as with all glucocorticoids, include high blood glucose levels, especially in patients with diabetes mellitus or on other medications that increase blood glucose such as tacrolimus) and mineralocorticoid effects such as fluid retention. 
Additional short-term side-effects can include insomnia, euphoria and, rarely, mania (in particular, in those suffering from Bipolar disorders I and II). It can also cause depression or depressive symptoms and anxiety in some individuals.
Long-term side-effects include Cushing's syndrome, truncal weight gain, osteoporosis, glaucoma and cataracts, type II diabetes mellitus, and depression upon dose reduction or cessation.</t>
  </si>
  <si>
    <t>CC(CCCN)NC1=C2C(=CC(=C1)OC)C=CC=N2.OP(=O)(O)O.OP(=O)(O)O</t>
  </si>
  <si>
    <t>4-N-(6-methoxyquinolin-8-yl)pentane-1,4-diamine;phosphoric acid</t>
  </si>
  <si>
    <t>Primaquine diphosphate</t>
  </si>
  <si>
    <t>5-A09</t>
  </si>
  <si>
    <t>63-45-6</t>
  </si>
  <si>
    <t xml:space="preserve">Antimalarial, Antiprotozoal </t>
  </si>
  <si>
    <t>Primaquine's mechanism of action is not well understood. It may be acting by generating reactive oxygen species or by interfering with the electron transport in the parasite. Also, although its mechanism of action is unclear, primaquine may bind to and alter the properties of protozoal DNA.</t>
  </si>
  <si>
    <t xml:space="preserve">Adverse effects include anemias and GI disturbances. </t>
  </si>
  <si>
    <t>C1CCC(CC1)C(=O)N2CC3C4=CC=CC=C4CCN3C(=O)C2</t>
  </si>
  <si>
    <t>2-(cyclohexanecarbonyl)-3,6,7,11b-tetrahydro-1H-pyrazino[2,1-a]isoquinolin-4-one</t>
  </si>
  <si>
    <t>Praziquantel</t>
  </si>
  <si>
    <t>5-A10</t>
  </si>
  <si>
    <t>55268-74-1</t>
  </si>
  <si>
    <t xml:space="preserve">Praziquantel works by causing severe spasms and paralysis of the worms' muscles. This paralysis is accompanied - and probably caused - by a rapid Ca 2+ influx inside the schistosome. </t>
  </si>
  <si>
    <t>The majority of side effects develop due to the release of the contents of the parasites as they are killed and the consequent host immune reaction. The heavier the parasite burden, the heavier and more frequent the side effects normally are.
Frequently occurring side effects are dizziness, headache, and malaise. Drowsiness, somnolence, fatigue, and vertigo have also been seen. Approximately 90% of all patients have abdominal pain or cramps with or without nausea and vomiting. Diarrhea may develop and may be severe with colic. Sweating, fever, and sometimes bloody stools may occur together with diarrhea.</t>
  </si>
  <si>
    <t>CCOC(=O)[C@H](CCC1=CC=CC=C1)N[C@@H](C)C(=O)N2CC3=CC=CC=C3C[C@H]2C(=O)O.Cl</t>
  </si>
  <si>
    <t>(3S)-2-[(2S)-2-[[(2S)-1-ethoxy-1-oxo-4-phenylbutan-2-yl]amino]propanoyl]-3,4-dihydro-1H-isoquinoline-3-carboxylic acid;hydrochloride</t>
  </si>
  <si>
    <t>Quinapril·HCl</t>
  </si>
  <si>
    <t>5-A11</t>
  </si>
  <si>
    <t>82585-55-8</t>
  </si>
  <si>
    <t xml:space="preserve">Prodrug that belongs to the angiotensin-converting enzyme (ACE) inhibitor class of medications. It is metabolized to quinaprilat (quinapril diacid) following oral administration. Quinaprilat is a competitive inhibitor of ACE, the enzyme responsible for the conversion of angiotensin I (ATI) to angiotensin II (ATII). </t>
  </si>
  <si>
    <t>Overdose may lead to severe hypotension. The most common adverse effects observed in controlled clinical trials were dizziness, cough, chest pain, dyspnea, fatigue, and nausea/vomiting.</t>
  </si>
  <si>
    <t>CC1=C(C(=CC=C1)C)NC(=O)CN2CCN(CC2)CC(COC3=CC=CC=C3OC)O.Cl.Cl</t>
  </si>
  <si>
    <t>N-(2,6-dimethylphenyl)-2-[4-[2-hydroxy-3-(2-methoxyphenoxy)propyl]piperazin-1-yl]acetamide;dihydrochloride</t>
  </si>
  <si>
    <t>Ranolazine·2HCl</t>
  </si>
  <si>
    <t>5-B02</t>
  </si>
  <si>
    <t>95635-56-6</t>
  </si>
  <si>
    <t>An antianginal agent. In the United States it was used to treat chronic angina pectorisis.</t>
  </si>
  <si>
    <t>In vitro studies suggest that ranolazine is a P-gp inhibitor. Ranolazine is believed to have its effects via altering the trans-cellular late sodium current. It is by altering the intracellular sodium level that ranolazine affects the sodium-dependent calcium channels during myocardial ischemia. Thus, ranolazine indirectly prevents the calcium overload that causes cardiac ischemia.</t>
  </si>
  <si>
    <t>In the event of overdose, the expected symptoms would be dizziness, nausea/vomiting, diplopia, paresthesia, and confusion. Syncope with prolonged loss of consciousness may develop.</t>
  </si>
  <si>
    <t>CCOC(=O)[C@H](CCC1=CC=CC=C1)N[C@@H](C)C(=O)N2[C@H]3CCC[C@H]3C[C@H]2C(=O)O</t>
  </si>
  <si>
    <t>(2S,3aS,6aS)-1-[(2S)-2-[[(2S)-1-ethoxy-1-oxo-4-phenylbutan-2-yl]amino]propanoyl]-3,3a,4,5,6,6a-hexahydro-2H-cyclopenta[b]pyrrole-2-carboxylic acid</t>
  </si>
  <si>
    <t>Ramipril</t>
  </si>
  <si>
    <t>5-B03</t>
  </si>
  <si>
    <t>87333-19-5</t>
  </si>
  <si>
    <t xml:space="preserve">Prodrug belonging to the angiotensin-converting enzyme (ACE) inhibitor class of medications. It is metabolized to ramiprilat in the liver and, to a lesser extent, kidneys. Ramiprilat is a potent, competitive inhibitor of ACE, the enzyme responsible for the conversion of angiotensin I (ATI) to angiotensin II (ATII). </t>
  </si>
  <si>
    <t xml:space="preserve">Symptoms of overdose may include excessive peripheral vasodilation (with marked hypotension and shock), bradycardia, electrolyte disturbances, and renal failure. The most likely adverse reactions are symptoms attributable to its blood-pressure lowing effect. May cause headache, dizziness, asthenia, chest pain, nausea, peripheral edema, somnolence, impotence, rash, arthritis, and dyspnea. </t>
  </si>
  <si>
    <t>C1=NC(=NN1[C@H]2[C@@H]([C@@H]([C@H](O2)CO)O)O)C(=O)N</t>
  </si>
  <si>
    <t>1-[(2R,3R,4S,5R)-3,4-dihydroxy-5-(hydroxymethyl)oxolan-2-yl]-1,2,4-triazole-3-carboxamide</t>
  </si>
  <si>
    <t>Ribavirin</t>
  </si>
  <si>
    <t>5-B04</t>
  </si>
  <si>
    <t>36791-04-5</t>
  </si>
  <si>
    <t xml:space="preserve"> Antiviral </t>
  </si>
  <si>
    <t>Ribavirin is readily phosphorylated intracellularly by adenosine kinase to ribavirin mono-, di-, and triphosphate metabolites. Ribavirin triphosphate (RTP) is a potent competitive inhibitor of inosine monophosphate (IMP) dehydrogenase, viral RNA polymerase and messenger RNA (mRNA) guanylyltransferase (viral) and can be incorporated into RNA in RNA viral species.. Guanylyltranserase inhibition stops the capping of mRNA. These diverse effects result in a marked reduction of intracellular guanosine triphosphate (GTP) pools and inhibition of viral RNA and protein synthesis. Ribavirin is also incorporated into the viral genome causing lethal mutagenesis and a subsequent decrease in specific viral infectivity.</t>
  </si>
  <si>
    <t xml:space="preserve">Significant teratogenic effects have been noted in all non-primate animal species on which ribavirin has been tested. Ribavirin did not produce birth defects in baboons, but this should not be an indication that it is safe in humans. 
Ribavirin should not be given with zidovudine because of the increased risk of anemia; concurrent use with didanosine should likewise be avoided because of an increased risk of mitochondrial toxicity. </t>
  </si>
  <si>
    <t>CC1=C(C=CC=C1O)C(=O)N[C@@H](CSC2=CC=CC=C2)[C@@H](CN3C[C@H]4CCCC[C@H]4C[C@H]3C(=O)NC(C)(C)C)O.CS(=O)(=O)O</t>
  </si>
  <si>
    <t>(3S,4aS,8aS)-N-tert-butyl-2-[(2R,3R)-2-hydroxy-3-[(3-hydroxy-2-methylbenzoyl)amino]-4-phenylsulfanylbutyl]-3,4,4a,5,6,7,8,8a-octahydro-1H-isoquinoline-3-carboxamide;methanesulfonic acid</t>
  </si>
  <si>
    <t>Nelfinavir Mesylate</t>
  </si>
  <si>
    <t>5-B05</t>
  </si>
  <si>
    <t> 159989-65-8</t>
  </si>
  <si>
    <t xml:space="preserve">Nelfinavir is a HIV protease inhibitor, preventing cleavage of the Gag-Pol polyprotein.  </t>
  </si>
  <si>
    <t>CC(C12CC3CC(C1)CC(C3)C2)N.Cl</t>
  </si>
  <si>
    <t>1-(1-adamantyl)ethanamine;hydrochloride</t>
  </si>
  <si>
    <t>Rimantadine·HCl</t>
  </si>
  <si>
    <t>5-B06</t>
  </si>
  <si>
    <t>1501-84-4</t>
  </si>
  <si>
    <t xml:space="preserve">Rimantadine inhibits influenza's viral replication, possibly by preventing the uncoating of the virus's protective shells, which are the envelope and capsid. Genetic studies suggest that the virus M2 protein, an ion channel specified by virion M2 gene, plays an important role in the susceptibility of influenza A virus to inhibition by rimantadine. 
Rimantadine, like its antiviral cousin amantadine, possesses some NMDA antagonistic properties and is used as an antiparkinsonic drug (i.e., in the treatment of Parkinson's disease). </t>
  </si>
  <si>
    <t>Rimantadine can produce gastrointestinal and central nervous system adverse effects. Approximately 6% of patients reported side effects.  The most common side effects include: 
nausea, upset stomach, nervousness, tiredness, lightheadedness, trouble sleeping 
difficulty concentrating.</t>
  </si>
  <si>
    <t>CC(C)NCC(COC1=CC=CC2=CC=CC=C21)O.Cl</t>
  </si>
  <si>
    <t>1-naphthalen-1-yloxy-3-(propan-2-ylamino)propan-2-ol;hydrochloride</t>
  </si>
  <si>
    <t>Propranolol·HCl</t>
  </si>
  <si>
    <t>5-B07</t>
  </si>
  <si>
    <t>318-98-9</t>
  </si>
  <si>
    <t>Antihypertensive, Anti-anxiety, Antiarrhythmic</t>
  </si>
  <si>
    <t>β-adrenoceptor antagonist;  cardiac depressant (anti-arrhythmic).</t>
  </si>
  <si>
    <t>CN1C2CC(CC1C3C2O3)OC(=O)C(CO)C4=CC=CC=C4.Br</t>
  </si>
  <si>
    <t>No Name in Pubchem</t>
  </si>
  <si>
    <t>5-B08</t>
  </si>
  <si>
    <t>114-49-8</t>
  </si>
  <si>
    <t>A tropane alkaloid drug with muscarinic antagonist effects.  It contains anticholinergic properties .</t>
  </si>
  <si>
    <t>Scopolamine acts by interfering with the transmission of nerve impulses by acetylcholine in the parasympathetic nervous system (specifically the vomiting center).</t>
  </si>
  <si>
    <t xml:space="preserve">Dermatologic side effects have included rash, dryness of the skin, and erythema. Dermatitis may occur at the site of application, in some cases due to the scopolamine itself. Nervous system side effects including drowsiness occurs quite frequently and is reported by about 17% of patients administered the scopolamine transdermal patch. Other nervous system side effects are sporadic, including dizziness, restlessness, insomnia, disorientation, memory disturbances, hallucinations, paranoia, and confusion. </t>
  </si>
  <si>
    <t>CC(=O)S[C@@H]1CC2=CC(=O)CC[C@@]2([C@@H]3[C@@H]1[C@@H]4CC[C@]5([C@]4(CC3)C)CCC(=O)O5)C</t>
  </si>
  <si>
    <t>S-[(7R,8R,9S,10R,13S,14S,17R)-10,13-dimethyl-3,5'-dioxospiro[2,6,7,8,9,11,12,14,15,16-decahydro-1H-cyclopenta[a]phenanthrene-17,2'-oxolane]-7-yl] ethanethioate</t>
  </si>
  <si>
    <t>Spironolactone</t>
  </si>
  <si>
    <t>5-B09</t>
  </si>
  <si>
    <t>52-01-7</t>
  </si>
  <si>
    <t>Specific antagonist of aldosterone, acting primarily through competitive binding of receptors at the aldosterone-dependent sodium-potassium exchange site in the distal convoluted renal tubule. Spironolactone causes increased amounts of sodium and water to be excreted, while potassium is retained. Spironolactone acts both as a diuretic and as an antihypertensive drug by this mechanism.</t>
  </si>
  <si>
    <t>The most common side effect of spironolactone is urinary frequency. Other general side effects include ataxia, drowsiness, dry skin, and rashes. Because it also affects the androgen receptors, spironolactone can cause gynecomastia and feminization in general, testicular atrophy, and sexual dysfunction consisting of loss of libido and erectile dysfunction in males, and in females it can cause menstrual irregularities and breast tenderness and enlargement.</t>
  </si>
  <si>
    <t>CC1C(C(C(O1)OC2C(C(C(C(C2O)O)N=C(N)N)O)N=C(N)N)OC3C(C(C(C(O3)CO)O)O)NC)(C=O)O.OS(=O)(=O)O</t>
  </si>
  <si>
    <t>2-[(1R,2R,3S,4R,5R,6S)-3-(diaminomethylideneamino)-4-[(2S,3S,4S,5R)-3-[(2R,3R,4R,5S,6R)-4,5-dihydroxy-6-(hydroxymethyl)-3-(methylamino)oxan-2-yl]oxy-4-formyl-4-hydroxy-5-methyloxolan-2-yl]oxy-2,5,6-trihydroxycyclohexyl]guanidine;sulfuric acid</t>
  </si>
  <si>
    <t>5-B10</t>
  </si>
  <si>
    <t>3810-74-0</t>
  </si>
  <si>
    <t xml:space="preserve">Antibiotic </t>
  </si>
  <si>
    <t>Irreversibly binds to specific 30S-subunit proteins and 16S rRNA. Specifically the drug binds to four nucleotides of 16S rRNA and a single amino acid of protein S12. This interferes with decoding site in the vicinity of nucleotide 1400 in 16S rRNA of 30S subunit. This region interacts with the wobble base in the anticodon of tRNA. This leads to interference with the initiation complex, misreading of mRNA so incorrect amino acids are inserted into the polypeptide leading to nonfunctional or toxic peptides and the breakup of polysomes into nonfunctional monosomes.</t>
  </si>
  <si>
    <t>Nephrotoxic and ototoxic potential. Vestibular toxicity may result in vertigo, nausea and vomiting, dizziness and loss of balance. Side effects include nausea, vomiting, and vertigo, paresthesia of face, rash, fever, urticaria, angioneurotic edema, and eosinophilia.</t>
  </si>
  <si>
    <t>C1=CN=C(N=C1)NS(=O)(=O)C2=CC=C(C=C2)N</t>
  </si>
  <si>
    <t>4-amino-N-pyrimidin-2-ylbenzenesulfonamide</t>
  </si>
  <si>
    <t>Sulfadiazine</t>
  </si>
  <si>
    <t>5-B11</t>
  </si>
  <si>
    <t>68-35-9</t>
  </si>
  <si>
    <t>Sulfadiazine is a competitive inhibitor of bacterial para-aminobenzoic acid (PABA), a substrate of the enzyme dihydropteroate synthetase. The inhibited reaction is necessary in these organisms for the synthesis of folic acid.</t>
  </si>
  <si>
    <t>Side effects reported for sulfadiazine include: nausea, upset stomach, loss of appetite, and dizziness.</t>
  </si>
  <si>
    <t>C1=CC=NC(=C1)NS(=O)(=O)C2=CC=C(C=C2)N/N=C\3/C=CC(=O)C(=C3)C(=O)O</t>
  </si>
  <si>
    <t>(3Z)-6-oxo-3-[[4-(pyridin-2-ylsulfamoyl)phenyl]hydrazinylidene]cyclohexa-1,4-diene-1-carboxylic acid</t>
  </si>
  <si>
    <t>Sulfasalazine</t>
  </si>
  <si>
    <t>5-C02</t>
  </si>
  <si>
    <t>599-79-1</t>
  </si>
  <si>
    <t xml:space="preserve">Antirheumatic, Anti-Infective </t>
  </si>
  <si>
    <t>The mode of action of Sulfasalazine or its metabolites, 5-aminosalicylic acid (5-ASA) and sulfapyridine (SP), is still under investigation, but may be related to the anti-inflammatory and/or immunomodulatory properties that have been observed in animal and in vitro models, to its affinity for connective tissue, and/or to the relatively high concentration it reaches in serous fluids, the liver and intestinal walls, as demonstrated in autoradiographic studies in animals. In ulcerative colitis, clinical studies utilizing rectal administration of Sulfasalazine, SP and 5-ASA have indicated that the major therapeutic action may reside in the 5-ASA moiety. The relative contribution of the parent drug and the major metabolites in rheumatoid arthritis is unknown.</t>
  </si>
  <si>
    <t>In rare cases, Sulfasalazine can cause severe depression in young males. It can also cause temporary infertility. 
Immune thrombocytopenia has been reported. 
Sulfasalazine inhibits dihydrofolate reductase, and cause folate deficiency, megaloblastic anemia. 
Sulfasalazine can cause hemolytic anemia in people with G6PD deficiency.</t>
  </si>
  <si>
    <t>CCOC1=CC=CC=C1OCCN[C@H](C)CC2=CC(=C(C=C2)OC)S(=O)(=O)N.Cl</t>
  </si>
  <si>
    <t>5-[(2R)-2-[2-(2-ethoxyphenoxy)ethylamino]propyl]-2-methoxybenzenesulfonamide;hydrochloride</t>
  </si>
  <si>
    <t>Tamsulosin·HCl</t>
  </si>
  <si>
    <t>5-C03</t>
  </si>
  <si>
    <t>106463-17-6</t>
  </si>
  <si>
    <t>Antineoplastic; Symptomatic treatment of benign prostatic hyperplasia (BPH)</t>
  </si>
  <si>
    <t>α1a-selective alpha blocker</t>
  </si>
  <si>
    <t>Two ADRs (Adverse Drug Reactions) have been reported:
Immunologic: It contains a sulfa moiety, thus causing typical reactions to sulfa drugs.
Ophthalmologic: Patients taking tamsulosin are prone to a complication known as floppy iris syndrome during cataract surgery. 
Occasionally, tamsulosin can cause a drop in blood pressure, rarely resulting in dizziness or fainting.[citation needed] Other reported side effects include headache, dizziness, nasal congestion, and palpitations.</t>
  </si>
  <si>
    <t>CCCC1=NC2=C(C=C(C=C2N1CC3=CC=C(C=C3)C4=CC=CC=C4C(=O)O)C5=NC6=CC=CC=C6N5C)C</t>
  </si>
  <si>
    <t>2-[4-[[4-methyl-6-(1-methylbenzimidazol-2-yl)-2-propylbenzimidazol-1-yl]methyl]phenyl]benzoic acid</t>
  </si>
  <si>
    <t>Telmisartan</t>
  </si>
  <si>
    <t>5-C04</t>
  </si>
  <si>
    <t>144701-48-4</t>
  </si>
  <si>
    <t>Angiotensin II receptor antagonist (angiotensin receptor blocker, ARB) and selective modulator of peroxisome proliferator-activated receptor gamma (PPAR-γ), a central regulator of insulin and glucose metabolism.</t>
  </si>
  <si>
    <t>Side effects are similar to other angiotensin II receptor antagonists and include tachycardia and bradycardia (fast or slow heartbeat), hypotension (low blood pressure), edema (swelling of arms, legs, lips, tongue, or throat, the latter leading to breathing problems), and allergic reactions.</t>
  </si>
  <si>
    <t xml:space="preserve">COC1=C(C=C2C(=C1)C(=NC(=N2)N3CCN(CC3)C(=O)C4CCCO4)N)OC.Cl
</t>
  </si>
  <si>
    <t xml:space="preserve">[4-(4-amino-6,7-dimethoxyquinazolin-2-yl)piperazin-1-yl]-(oxolan-2-yl)methanone;hydrochloride
</t>
  </si>
  <si>
    <t>Terazosin·HCl</t>
  </si>
  <si>
    <t>5-C05</t>
  </si>
  <si>
    <t xml:space="preserve"> 63074-08-8</t>
  </si>
  <si>
    <t>It is used for treatment of symptoms of an enlarged prostate (BPH). It also acts to lower the blood pressure, and is therefore a drug of choice for men with hypertension and prostate enlargement.</t>
  </si>
  <si>
    <t>Selective alpha 1 antagonist.  It works by blocking the action of adrenaline on smooth muscle of the bladder and the blood vessel walls.</t>
  </si>
  <si>
    <t>Most common side effects include dizziness, drowsiness, headache, constipation, loss of appetite, fatigue, nasal congestion or dry eyes, but they generally go away after only a few days of use. Therapy should always be started with a low dose to avoid first dose phenomenon. Sexual side effects are rare, but may include priapism or erectile dysfunction.</t>
  </si>
  <si>
    <t>C[C@@]1([C@H]2C[C@H]3[C@@H](C(=O)C(=C([C@]3(C(=O)C2=C(C4=C1C=CC=C4O)O)O)O)C(=O)N)N(C)C)O</t>
  </si>
  <si>
    <t>(4S,4aS,5aS,6S,12aR)-4-(dimethylamino)-1,6,10,11,12a-pentahydroxy-6-methyl-3,12-dioxo-4,4a,5,5a-tetrahydrotetracene-2-carboxamide</t>
  </si>
  <si>
    <t>Tetracycline</t>
  </si>
  <si>
    <t>5-C06</t>
  </si>
  <si>
    <t>60-54-8</t>
  </si>
  <si>
    <t>A broad-spectrum polyketide antibiotic used against many bacterial infections. is commonly used to treat acne today, and, more recently, rosacea, and is historically important in reducing the number of deaths from cholera.is commonly used to treat acne, rosacea, and is historically important in reducing the number of deaths from cholera.</t>
  </si>
  <si>
    <t xml:space="preserve">Inhibits bacterial growth by inhibiting translation. It binds to the 30S ribosomal subunit and prevents the amino-acyl tRNA from binding to the A site of the ribosome. It also binds to some extent to the 50S ribosomal subunit. This binding is reversible in nature. Additionally tetracycline may alter the cytoplasmic membrane of bacteria causing leakage of intracellular contents, such as nucleotides, from the cell. </t>
  </si>
  <si>
    <t>Can stain developing teeth (even when taken by the mother during pregnancy),  
Inactivated by Ca2+ ion, not to be taken with milk, yogurt, and other dairy products. 
Inactivated by aluminium, iron and zinc, not to be taken at the same time as indigestion remedies. 
Inactivated by common antacids and over-the-counter heartburn medicines. 
Skin photosensitivity; Drug-induced lupus, and hepatitis, Can induce microvesicular fatty liver, 
Tinnitus, Can cause breathing complications as well as anaphylactic shock in some individuals 
Should be avoided during pregnancy, as it may affect bone growth of the fetus. Short-term use is safe.
FDA cites a potential link between the use of tetracycline products and Stevens–Johnson syndrome, toxic epidermal necrolysis and erythema multiforme.</t>
  </si>
  <si>
    <t>CN1C(=O)N2C=NC(=C2N=N1)C(=O)N</t>
  </si>
  <si>
    <t>3-methyl-4-oxoimidazo[5,1-d][1,2,3,5]tetrazine-8-carboxamide</t>
  </si>
  <si>
    <t>Temozolomide</t>
  </si>
  <si>
    <t>5-C07</t>
  </si>
  <si>
    <t>85622-93-1</t>
  </si>
  <si>
    <t xml:space="preserve">DNA Alkylating/methylating agent. This methylation damages the DNA and triggers tumor cells death. </t>
  </si>
  <si>
    <t>The most common non-hematological adverse effects associated with temozolomide - nausea and vomiting - are either self-limiting or readily controlled with standard antiemetic therapy. 
Temozolomide is genotoxic, teratogenic and fetotoxic and should not be used in pregnancy. Risk of prolonged pancytopenia (which may result in aplastic anemia).</t>
  </si>
  <si>
    <t>CCS(=O)(=O)CCN1C(=NC=C1[N+](=O)[O-])C</t>
  </si>
  <si>
    <t>1-(2-ethylsulfonylethyl)-2-methyl-5-nitroimidazole</t>
  </si>
  <si>
    <t>Tinidazole</t>
  </si>
  <si>
    <t>5-C08</t>
  </si>
  <si>
    <t>19387-91-8</t>
  </si>
  <si>
    <t>Antiprotozoal</t>
  </si>
  <si>
    <t xml:space="preserve">Prodrug. The nitro group of tinidazole is reduced in Trichomonas by a ferredoxin-mediated electron transport system. The free nitro radical generated as a result of this reduction is believed to be responsible for the antiprotozoal activity. It is suggested that the toxic free radicals covalently bind to DNA, causing DNA damage and leading to cell death. </t>
  </si>
  <si>
    <t>The most common side effects reported with tinidazole are upset stomach, bitter taste, diarrhea and itchiness. Other side effects which occur are headache, physical fatigue, and dizziness. Anecdotally, people who have taken both metronidazole and tinidazole report toxicity is much the same except the side effects don't last as long with the latter.
Drinking alcohol while taking tinidazole causes an unpleasant disulfiram-like reaction, which includes nausea, vomiting, headache, increased blood pressure, flushing and shortness of breath.</t>
  </si>
  <si>
    <t>C1[C@@H]([C@H]([C@@H]([C@H]([C@@H]1N)O[C@@H]2[C@@H]([C@H]([C@@H]([C@H](O2)CO)O)N)O)O)O[C@@H]3[C@@H](C[C@@H]([C@H](O3)CN)O)N)N</t>
  </si>
  <si>
    <t>(2S,3R,4S,5S,6R)-4-amino-2-[(1S,2S,3R,4S,6R)-4,6-diamino-3-[(2R,3R,5S,6R)-3-amino-6-(aminomethyl)-5-hydroxyoxan-2-yl]oxy-2-hydroxycyclohexyl]oxy-6-(hydroxymethyl)oxane-3,5-diol</t>
  </si>
  <si>
    <t>Tobramycin</t>
  </si>
  <si>
    <t>5-C09</t>
  </si>
  <si>
    <t>32986-56-4</t>
  </si>
  <si>
    <t>Aminoglycoside antibiotic; Works by binding to the bacterial 30S and 50S ribosome, preventing formation of the 70S complex. As a result, mRNA cannot be translated into protein and cell death ensues.</t>
  </si>
  <si>
    <t>Like other aminoglycosides, tobramycin is ototoxic and nephrotoxic. Tobramycin is a drug with a narrow therapeutic index.</t>
  </si>
  <si>
    <t>CC[C@@]1(C2=C(COC1=O)C(=O)N3CC4=C(C3=C2)N=C5C=CC(=C(C5=C4)CN(C)C)O)O.Cl</t>
  </si>
  <si>
    <t>5-C10</t>
  </si>
  <si>
    <t>119413-54-6</t>
  </si>
  <si>
    <t xml:space="preserve">Antineoplastic; Treatment of cervix, ovarian and small cell lung  cancer </t>
  </si>
  <si>
    <t xml:space="preserve"> Topoisomerase I inhibitor. Topoisomerase-I is a nuclear enzyme that relieves torsional strain in DNA by opening single strand breaks. Once topoisomerase-I creates a single strand break, DNA can rotate in front of the advancing replication fork. Intercalates between DNA bases disrupting DNA duplication machinery when it reaches a site where topotecan is intercalated. This disruption prevents DNA replication, and ultimately leads to apoptosis. Mammalian cells cannot efficiently repair these double strand breaks.
</t>
  </si>
  <si>
    <t xml:space="preserve">Myelosuppression, Diarrhea, Low blood counts, Susceptibility to infection. </t>
  </si>
  <si>
    <t>CN(C)CCOC1=CC=C(C=C1)/C(=C(\CCCl)/C2=CC=CC=C2)/C3=CC=CC=C3</t>
  </si>
  <si>
    <t>2-[4-[(E)-4-chloro-1,2-diphenylbut-1-enyl]phenoxy]-N,N-dimethylethanamine</t>
  </si>
  <si>
    <t>Toremifene Base</t>
  </si>
  <si>
    <t>5-C11</t>
  </si>
  <si>
    <t>89778-26-7</t>
  </si>
  <si>
    <t>Induces estrogen -sensitive  breast cancer cells to undergo apoptosis. A neoplastic agent used in the treatment of advanced levels of breast cancer.</t>
  </si>
  <si>
    <t xml:space="preserve">Nonsteroidal triphenylethylene antiestrogen. Chemically related to tamoxifen, toremifene is a selective estrogen receptor modulator (SERM). This agent binds competitively to estrogen receptors, thereby interfering with estrogen activity. Toremifene also has intrinsic estrogenic properties, which are manifested according to tissue type or species. </t>
  </si>
  <si>
    <t>Adverse reactions include: Hot flashes (35%); sweating (20%); Nausea (14%); vomiting (4%); Vaginal discharge (13%); Elevated hepatic alkaline phosphatase, elevated AST (19%); Cataracts (10%) and dry eyes (9%).</t>
  </si>
  <si>
    <t>CC1=CC=C(C=C1)C(=O)C2=CC=C(N2C)CC(=O)[O-].O.O.[Na+]</t>
  </si>
  <si>
    <t>sodium;2-[1-methyl-5-(4-methylbenzoyl)pyrrol-2-yl]acetate;dihydrate</t>
  </si>
  <si>
    <t>Tolmetin sodium dihydrate</t>
  </si>
  <si>
    <t>5-D02</t>
  </si>
  <si>
    <t>64490-92-2</t>
  </si>
  <si>
    <t>Tolmetin inhibits prostaglandin synthetase in vitro and lowers the plasma level of prostaglandin E in man. This reduction in prostaglandin synthesis may be responsible for the anti-inflammatory action. Tolmetin does not appear to alter the course of the underlying disease in man.</t>
  </si>
  <si>
    <t>Tolmetin can increase the risk of heart or circulatory conditions such as heart attacks and strokes. It should not be taken shortly before or after coronary artery bypass surgery. Tolmetin can also increase the risk of gastrointestinal conditions such as perforation or bleeding, which is fatal. Antacids can be taken with tolmetin to relieve stomachaches that often occur. Overdose can result in drowsiness, nausea, epigastric pain, and vomiting.</t>
  </si>
  <si>
    <t>CC1([C@@H](N2[C@H](S1)[C@@H](C2=O)NC(=O)[C@@H](C3=CC=C(C=C3)O)N)C(=O)O)C</t>
  </si>
  <si>
    <t>(2S,5R,6R)-6-[[(2R)-2-amino-2-(4-hydroxyphenyl)acetyl]amino]-3,3-dimethyl-7-oxo-4-thia-1-azabicyclo[3.2.0]heptane-2-carboxylic acid</t>
  </si>
  <si>
    <t>Amoxicillin</t>
  </si>
  <si>
    <t>5-D03</t>
  </si>
  <si>
    <t>26787-78-0</t>
  </si>
  <si>
    <t>PBP-1A Inhibitor</t>
  </si>
  <si>
    <t xml:space="preserve">Side-effects are as those for other beta-lactam antibiotics. Side-effects include nausea, vomiting, rashes, and antibiotic-associated colitis. Loose bowel movements (diarrhoea) may also occur. Rarer side-effects include mental changes, lightheadedness, insomnia, confusion, anxiety, sensitivity to lights and sounds, and unclear thinking. Immediate medical care is required upon the first signs of these side-effects.
The onset of an allergic reaction to amoxicillin can be very sudden and intense - emergency medical attention must be sought as quickly as possible. </t>
  </si>
  <si>
    <t>CN(C)C[C@H]1CCCC[C@@]1(C2=CC(=CC=C2)OC)O.Cl</t>
  </si>
  <si>
    <t>(1R,2R)-2-[(dimethylamino)methyl]-1-(3-methoxyphenyl)cyclohexan-1-ol;hydrochloride</t>
  </si>
  <si>
    <t>Tramadol·HCl</t>
  </si>
  <si>
    <t>5-D04</t>
  </si>
  <si>
    <t>22204-88-2</t>
  </si>
  <si>
    <t>Analgesic; Opioid</t>
  </si>
  <si>
    <t xml:space="preserve"> μ-opioid receptor agonist, serotonin releasing agent, norepinephrine reuptake inhibitor, NMDA receptor antagonist,5-HT2C receptor antagonist,(α7)5 nicotinic acetylcholine receptor antagonist, TRPV1 receptor agonist and M1 and M3 muscarinic acetylcholine receptor antagonist.</t>
  </si>
  <si>
    <t>COC1=CC(=CC(=C1OC)OC)CC2=CN=C(N=C2N)N</t>
  </si>
  <si>
    <t>5-[(3,4,5-trimethoxyphenyl)methyl]pyrimidine-2,4-diamine</t>
  </si>
  <si>
    <t>Trimethoprim</t>
  </si>
  <si>
    <t>5-D05</t>
  </si>
  <si>
    <t>738-70-5</t>
  </si>
  <si>
    <t>Antibiotic, Bacteriostatic; Mainly used in the prophylaxis and treatment of urinary tract infections.</t>
  </si>
  <si>
    <t xml:space="preserve"> Dihydrofolate reductase inhibitors</t>
  </si>
  <si>
    <t>Trimethoprim can cause thrombocytopenia by lowering folic acid levels; this may also cause megaloblastic anemia. Trimethoprim antagonises the epithelial sodium channel (ENaC) in the distal tubule, thus can cause hyperkalemia. Due to the fact that it crosses the placenta and can affect folate metabolism, trimethoprim is relatively contraindicated during pregnancy, especially the first trimester. It may be involved in a reaction similar to disulfiram when alcohol is consumed after it is used, particularly when used in combination with sulfamethoxazole.</t>
  </si>
  <si>
    <t>CC(C)[C@@H](C(=O)OCCOCN1C=NC2=C1NC(=NC2=O)N)N.Cl</t>
  </si>
  <si>
    <t>2-[(2-amino-6-oxo-3H-purin-9-yl)methoxy]ethyl (2S)-2-amino-3-methylbutanoate;hydrochloride</t>
  </si>
  <si>
    <t>Valacyclovir·HCl</t>
  </si>
  <si>
    <t>5-D06</t>
  </si>
  <si>
    <t>124832-27-5</t>
  </si>
  <si>
    <t xml:space="preserve">Antiviral; used in the management of herpes simplex and herpes zoster (shingles). </t>
  </si>
  <si>
    <t>Prodrug, an esterified version of aciclovir. Very potent inhibitor of viral DNA polymerase; After convertion to monophosphate by viral thymidine kinase, and subsequent further phosphorylation into the active triphosphate form by cellular kinases, aciclovir -GTP gets incorporated into viral DNA, resulting in chain termination.</t>
  </si>
  <si>
    <t>Common adverse drug reactions (≥1% of patients) associated with valaciclovir therapy are the same as for aciclovir, its active metabolite, and include: nausea, vomiting, diarrhea and headache. Infrequent adverse effects (0.1–1% of patients) include: agitation, vertigo, confusion, dizziness, edema, arthralgia, sore throat, constipation, abdominal pain, rash, weakness and/or renal impairment. Rare adverse effects (&lt;0.1% of patients) include: coma, seizures, neutropenia, leukopenia, tremor, ataxia, encephalopathy, psychotic symptoms, crystalluria, anorexia, fatigue, hepatitis, Stevens–Johnson syndrome, toxic epidermal necrolysis and/or anaphylaxis.</t>
  </si>
  <si>
    <t>CC(=O)O[C@H]1C[C@@H]2CC[C@@H]3[C@@H]([C@]2(C[C@@H]1N4CCCCC4)C)CC[C@]5([C@H]3C[C@@H]([C@@H]5OC(=O)C)[N+]6(CCCCC6)C)C.[Br-]</t>
  </si>
  <si>
    <t>[(2S,3S,5S,8R,9S,10S,13S,14S,16S,17R)-17-acetyloxy-10,13-dimethyl-16-(1-methylpiperidin-1-ium-1-yl)-2-piperidin-1-yl-2,3,4,5,6,7,8,9,11,12,14,15,16,17-tetradecahydro-1H-cyclopenta[a]phenanthren-3-yl] acetate;bromide</t>
  </si>
  <si>
    <t>Vecuronium Bromide</t>
  </si>
  <si>
    <t>5-D07</t>
  </si>
  <si>
    <t>50700-72-6</t>
  </si>
  <si>
    <t>Muscle relaxant</t>
  </si>
  <si>
    <t>Non-depolarizing blocking agent</t>
  </si>
  <si>
    <t>Hypersensitivy side effects have included anaphylactic reaction, anaphylactoid reactions, bronchospasm, hypotension, tachycardia, acute urticaria and erythema. 
Musculoskeletal side effects have included muscle weakness, prolonged skeletal muscle paralysis and muscle atrophy.
Respiratory side effects have included respiration insufficiency and apnea.</t>
  </si>
  <si>
    <t>CN(C)CC(C1=CC=C(C=C1)OC)C2(CCCCC2)O.Cl</t>
  </si>
  <si>
    <t>1-[2-(dimethylamino)-1-(4-methoxyphenyl)ethyl]cyclohexan-1-ol;hydrochloride</t>
  </si>
  <si>
    <t>Venlafaxine·HCl</t>
  </si>
  <si>
    <t>5-D08</t>
  </si>
  <si>
    <t>99300-78-4</t>
  </si>
  <si>
    <t xml:space="preserve"> Serotonin-norepinephrine reuptake inhibitor (SNRI) </t>
  </si>
  <si>
    <t>Venlafaxine increased suicide risk 1.6-fold (statistically significant), as compared to no treatment. Sexual dysfunction is often a side effect of the drug.  Common side effects are: Nausea, Somnolence, Dry mouth, Dizziness, Insomnia, Constipation, Nervousness, Sweating, Asthenia, Anorexia, Anxiety, Vomiting, Blurred vision.</t>
  </si>
  <si>
    <t>CCCCN1CCCCC1C(=O)NC2=C(C=CC=C2C)C.Cl</t>
  </si>
  <si>
    <t>1-butyl-N-(2,6-dimethylphenyl)piperidine-2-carboxamide;hydrochloride</t>
  </si>
  <si>
    <t>5-D09</t>
  </si>
  <si>
    <t>Anesthetic, Local</t>
  </si>
  <si>
    <t>Bupivacaine binds to the intracellular portion of sodium channels and blocks sodium influx into nerve cells, which prevents depolarization. In general, the progression of anesthesia is related to the diameter, myelination and conduction velocity of affected nerve fibers. Clinically, the order of loss of nerve function is as follows: (1) pain, (2) temperature, (3) touch, (4) proprioception, and (5) skeletal muscle tone. The analgesic effects of Bupivicaine are thought to potentially be due to its binding to the prostaglandin E2 receptors, subtype EP1 (PGE2EP1), which inhibits the production of prostaglandins, thereby reducing fever, inflammation, and hyperalgesia.</t>
  </si>
  <si>
    <t>Bupivacaine is markedly cardiotoxic. However, adverse drug reactions (ADRs) are rare when it is administered correctly. CNS effects may include CNS excitation (nervousness, tingling around the mouth, tinnitus, tremor, dizziness, blurred vision, seizures) followed by depression (drowsiness, loss of consciousness, respiratory depression and apnea). Cardiovascular effects include hypotension, bradycardia, arrhythmias, and/or cardiac arrest – some of which may be due to hypoxemia secondary to respiratory depression.</t>
  </si>
  <si>
    <t>CN1CCC(=C2C3=C(C(=O)CC4=CC=CC=C42)SC=C3)CC1.C(=C/C(=O)O)\C(=O)O</t>
  </si>
  <si>
    <t>(E)-but-2-enedioic acid;10-(1-methylpiperidin-4-ylidene)-5H-benzo[1,2]cyclohepta[3,4-b]thiophen-4-one</t>
  </si>
  <si>
    <t>Ketotifen Fumarate</t>
  </si>
  <si>
    <t>5-D10</t>
  </si>
  <si>
    <t>34580-14-8</t>
  </si>
  <si>
    <t>Antihistamine</t>
  </si>
  <si>
    <t>Selective histamine H1 antagonist. Inhibits histamine release from monocytes and lymphocytes at 0.1-10 µM.</t>
  </si>
  <si>
    <t>Side effects include drowsiness, weight gain, dry mouth, irritability, and increased nosebleeds.</t>
  </si>
  <si>
    <t>C=CCN1CC[C@]23[C@@H]4C(=O)CC[C@]2([C@H]1CC5=C3C(=C(C=C5)O)O4)O.Cl</t>
  </si>
  <si>
    <t>(4R,4aS,7aR,12bS)-4a,9-dihydroxy-3-prop-2-enyl-2,4,5,6,7a,13-hexahydro-1H-4,12-methanobenzofuro[3,2-e]isoquinoline-7-one;hydrochloride</t>
  </si>
  <si>
    <t>5-D11</t>
  </si>
  <si>
    <t>357-08-4</t>
  </si>
  <si>
    <t>Narcotic antagonist</t>
  </si>
  <si>
    <t>A specific opiate antagonist that has no agonist activity. It is a competitive antagonist at mu, delta, and kappa opioid receptors.</t>
  </si>
  <si>
    <t>Possible side effects include: change in mood, increased sweating, nausea, nervousness, restlessness, trembling, vomiting, allergic reactions such as rash or swelling, dizziness, fainting, fast or irregular pulse, flushing, headache, heart rhythm changes, seizures, sudden chest pain.</t>
  </si>
  <si>
    <t>CNCCC(C1=CC=CC=C1)OC2=CC=C(C=C2)C(F)(F)F.Cl</t>
  </si>
  <si>
    <t>N-methyl-3-phenyl-3-[4-(trifluoromethyl)phenoxy]propan-1-amine;hydrochloride</t>
  </si>
  <si>
    <t>Fluoxetine·HCl</t>
  </si>
  <si>
    <t>5-E02</t>
  </si>
  <si>
    <t>59333-67-4</t>
  </si>
  <si>
    <t>Used for the  treatment of major depression (including pediatric depression), obsessive-compulsive disorder, bulimia nervosa, panic disorder and premenstrual dysphoric disorder.  In addition, fluoxetine is used to treat trichotillomania if cognitive behaviour therapy is unsuccessful.[</t>
  </si>
  <si>
    <t>Fluoxetine is a selective serotonin-reuptake inhibitor (SSRI), it blocks the reuptake of serotonin at the serotonin reuptake pump of the neuronal membrane, enhancing the actions of serotonin on 5HT1A autoreceptors. SSRIs bind with significantly less affinity to histamine, acetylcholine, and norepinephrine receptors than tricyclic antidepressant drugs.</t>
  </si>
  <si>
    <t>Among the common adverse effects associated with fluoxetine and listed in the prescribing information, the effects with the greatest difference from placebo are nausea (22% vs 9% for placebo), insomnia (19% vs 10% for placebo), somnolence (12% vs 5% for placebo), anorexia (10% vs 3% for placebo), anxiety (12% vs 6% for placebo), nervousness (13% vs 8% for placebo), asthenia (11% vs 6% for placebo) and tremor (9% vs 2% for placebo). Those that most often resulted in interruption of the treatment were anxiety, insomnia, and nervousness (1–2% each), and in pediatric trials—mania (2%).
Similarly to other SSRIs, sexual side effects are common with fluoxetine; they include anorgasmia and reduced libido.</t>
  </si>
  <si>
    <t>CC1=NC=CN1CC2CCC3=C(C2=O)C4=CC=CC=C4N3C</t>
  </si>
  <si>
    <t>9-methyl-3-[(2-methylimidazol-1-yl)methyl]-2,3-dihydro-1H-carbazol-4-one</t>
  </si>
  <si>
    <t>Ondansetron</t>
  </si>
  <si>
    <t>5-E03</t>
  </si>
  <si>
    <t>99614-02-5</t>
  </si>
  <si>
    <t>Used to treat nausea and vomiting in patients undergoing chemotherapy</t>
  </si>
  <si>
    <t>Serotonin 5-HT3 receptor antagonist</t>
  </si>
  <si>
    <t>C[N+]1([C@@H]2CC(C[C@H]1[C@H]3[C@@H]2O3)OC(=O)C(C4=CC=CS4)(C5=CC=CS5)O)C.[Br-]</t>
  </si>
  <si>
    <t xml:space="preserve">Tiotropium Bromide </t>
  </si>
  <si>
    <t>5-E04</t>
  </si>
  <si>
    <t>136310-93-5</t>
  </si>
  <si>
    <t>Tiotropium is a muscarinic receptor antagonist, often referred to as an antimuscarinic or anticholinergic agent. Although it does not display selectivity for specific muscarinic receptors, on topical application it acts mainly on M3 muscarinic receptors located in the airways to produce smooth muscle relaxation, thus producing a bronchodilatory effect.</t>
  </si>
  <si>
    <t>Adverse effects are mainly related to its antimuscarinic effects. Common adverse drug reactions (≥1% of patients) associated with tiotropium therapy include: dry mouth and/or throat irritation. Rarely (&lt;0.1% of patients) treatment is associated with:urinary retention, constipation, acute angle closure glaucoma, palpitations (notably supraventricular tachycardia and atrial fibrillation) and/or allergy (rash, angioedema, anaphylaxis).</t>
  </si>
  <si>
    <t>CN1CCCCC1CCN2C3=CC=CC=C3SC4=C2C=C(C=C4)SC.Cl</t>
  </si>
  <si>
    <t>10-[2-(1-methylpiperidin-2-yl)ethyl]-2-methylsulfanylphenothiazine;hydrochloride</t>
  </si>
  <si>
    <t>Thioridazine·HCl</t>
  </si>
  <si>
    <t>5-E05</t>
  </si>
  <si>
    <t>130-61-0</t>
  </si>
  <si>
    <t>Thioridazine blocks postsynaptic mesolimbic dopaminergic D1 and D2 receptors in the brain; blocks alpha-adrenergic effect, depresses the release of hypothalamic and hypophyseal hormones and is believed to depress the reticular activating system thus affecting basal metabolism, body temperature, wakefulness, vasomotor tone, and emesis.</t>
  </si>
  <si>
    <t>Serious and sometimes fatal blood damage agranulocytosis is seen more frequently (approximately 1/500 to 1/1,000 patients) with thioridazine than with other typical phenothiazines (1/2,000 to 1/10,000 patients). The most common side effects are akathisia, tardive dyskinesia, drowsiness, dizziness, fatigue, and vertigo. Thioridazine causes also an unusual high incidence of impotence and anorgasmia due to a strong alpha-blocking activity.</t>
  </si>
  <si>
    <t>C1=CN=CC=C1C2=CNC(=O)C(=C2)N</t>
  </si>
  <si>
    <t>3-amino-5-pyridin-4-yl-1H-pyridin-2-one</t>
  </si>
  <si>
    <t>Amrinone</t>
  </si>
  <si>
    <t>5-E06</t>
  </si>
  <si>
    <t>60719-84-8</t>
  </si>
  <si>
    <t>Increases the contractions inititated in the heart and can be  used with patients that have  congestive heart failture.</t>
  </si>
  <si>
    <t>Amrinone is a phosphodiesterase inhibitor (PDE3), resulting in increased level of cAMP and cGMP, which leads to an increase in the calcium influx like that caused by beta-agonists resulting in increased inotropic effect.</t>
  </si>
  <si>
    <t>Thrombocytopenia is the most prominent and dose-related side effect, but it is transient and asymptomatic. Nausea, diarrhoea, hepatotoxicity, arrhythmias and fever are other adverse effects.</t>
  </si>
  <si>
    <t>CC1=C(C=C(C(=O)N1)C#N)C2=CC=NC=C2</t>
  </si>
  <si>
    <t>6-methyl-2-oxo-5-pyridin-4-yl-1H-pyridine-3-carbonitrile</t>
  </si>
  <si>
    <t>Milrinone</t>
  </si>
  <si>
    <t>5-E07</t>
  </si>
  <si>
    <t>78415-72-2</t>
  </si>
  <si>
    <t>Used in patients suffering from heart failiure. A vasodilator.</t>
  </si>
  <si>
    <t>Milrinone inhibits erythrocyte phosphodiesterase, resulting in an increase in erythrocyte cAMP activity. Subsequently, the erythrocyte membrane becomes more resistant to deformity. Along with erythrocyte activity, Milrinone also decreases blood viscosity by reducing plasma fibrinogen concentrations and increasing fibrinolytic activity.</t>
  </si>
  <si>
    <t>Side effects include ventricular arrhythmias (12%), ventricular ectopic activity (8%), supraventricular arrhythmias (3.8%), sustained and nonsustained ventricular tachycardia (1% and 2.8%, respectively), ventricular fibrillation (0.2%), and atrial fibrillation. Hypotension (2.9%) and angina/chest pain (1.2%) have occurred. In addition, rare reports of torsades de pointes have been reported in postmarketing experience. Nervous system side effects have included headaches (2.9%) and tremor (0.4%). Dizziness is most often associated with hypotension.</t>
  </si>
  <si>
    <t>CCCCC[C@@H](/C=C/[C@H]1[C@@H](CC(=O)[C@@H]1CCCCCCC(=O)O)O)O</t>
  </si>
  <si>
    <t>7-[(1R,2R,3R)-3-hydroxy-2-[(E,3S)-3-hydroxyoct-1-enyl]-5-oxocyclopentyl]heptanoic acid</t>
  </si>
  <si>
    <t>5-E08</t>
  </si>
  <si>
    <t>745-65-3</t>
  </si>
  <si>
    <t>Vascular and ductus arteriosus smooth muscle</t>
  </si>
  <si>
    <t>Apnea, bradycardia, pyrexia, hypotension, and flushing may be signs of drug overdosage.</t>
  </si>
  <si>
    <t>CCCCC(C)(C/C=C/[C@H]1[C@@H](CC(=O)[C@@H]1CCCCCCC(=O)OC)O)O</t>
  </si>
  <si>
    <t>methyl 7-[(1R,2R,3R)-3-hydroxy-2-[(E)-4-hydroxy-4-methyloct-1-enyl]-5-oxocyclopentyl]heptanoate</t>
  </si>
  <si>
    <t>Misoprostol</t>
  </si>
  <si>
    <t>5-E09</t>
  </si>
  <si>
    <t>59122-46-2</t>
  </si>
  <si>
    <t>Anti-Ulcer Agent, Abortifacient Agent</t>
  </si>
  <si>
    <t xml:space="preserve">Misoprostol seems to inhibit gastric acid secretion by a direct action on the parietal cells through binding to the prostaglandin receptor. The activity of this receptor is mediated by G proteins which normally activate adenylate cyclase. The indirect inhibition of adenylate cyclase by Misoprostol may be dependent on guanosine-5’-triphosphate (GTP). The significant cytoprotective actions of misoprostol are related to several mechanisms. These include: 1. Increased secretion of bicarbonate, 2. Considerable decrease in the volume and pepsin content of the gastric secretions, 3. It prevents harmful agents from disrupting the tight junctions between the epithelial cells which stops the subsequent back diffusion of H+ ions into the gastric mucosa, 4. Increased thickness of mucus layer, 5. Enhanced mucosal blood flow as a result of direct vasodilatation, 6. Stabilization of tissue lysozymes/vascular endothelium, 7. Improvement of mucosal regeneration capacity, and 8. Replacement of prostaglandins that have been depleted as a result of various insults to the area. Misoprostol has also been shown to increase the amplitude and frequency of uterine contractions during pregnancy via selective binding to the EP-2/EP-3 prostanoid receptors. </t>
  </si>
  <si>
    <t>The most commonly reported adverse effect of Misoprostol is diarrhea. 
The next most commonly reported adverse effects are abdominal pain, nausea, flatulence, headache, dyspepsia, vomiting, and constipation, but none of these adverse effects occurred significantly more often than when taking placebos.
Misoprostol should not be taken by pregnant women because it increases uterine tone and contractions in pregnancy which may cause partial or complete abortions, and because its use in pregnancy has been associated with birth defects.</t>
  </si>
  <si>
    <t>C[C@@H]1CCN([C@H](C1)C(=O)O)C(=O)[C@H](CCCN=C(N)N)NS(=O)(=O)C2=CC=CC3=C2NCC(C3)C</t>
  </si>
  <si>
    <t>(2R,4R)-1-[(2S)-5-(diaminomethylideneamino)-2-[(3-methyl-1,2,3,4-tetrahydroquinolin-8-yl)sulfonylamino]pentanoyl]-4-methylpiperidine-2-carboxylic acid</t>
  </si>
  <si>
    <t>Argatroban</t>
  </si>
  <si>
    <t>5-E10</t>
  </si>
  <si>
    <t>74863-84-6</t>
  </si>
  <si>
    <t>Anticoagulant</t>
  </si>
  <si>
    <t>Platelet Aggregation Inhibitor</t>
  </si>
  <si>
    <t>Risk of excessive bleeding.</t>
  </si>
  <si>
    <t>CC1(C[C@@H]1C(=O)N/C(=C\CCCCSC[C@@H](C(=O)O)N)/C(=O)[O-])C.[Na+]</t>
  </si>
  <si>
    <t>sodium;(Z)-7-[(2R)-2-amino-2-carboxyethyl]sulfanyl-2-[[(1S)-2,2-dimethylcyclopropanecarbonyl]amino]hept-2-enoate</t>
  </si>
  <si>
    <t>5-E11</t>
  </si>
  <si>
    <t> 81129-83-1</t>
  </si>
  <si>
    <t>Antibiotic adjuvant</t>
  </si>
  <si>
    <t>Inhibitor of renal dehydropeptidase-I, blocking metabolism and inactivation of the antibiotic imipenem.</t>
  </si>
  <si>
    <t>C1=CC(=C(C(=C1)Cl)SC(CCC2=CC=C(C=C2)Cl)CN3C=CN=C3)Cl.[N+](=O)(O)[O-]</t>
  </si>
  <si>
    <t>1-[4-(4-chlorophenyl)-2-(2,6-dichlorophenyl)sulfanylbutyl]imidazole;nitric acid</t>
  </si>
  <si>
    <t>Butoconazole Nitrate</t>
  </si>
  <si>
    <t>5-F02</t>
  </si>
  <si>
    <t>64872-77-1</t>
  </si>
  <si>
    <t>The exact mechanism of the antifungal action of butoconazole is unknown, however, it is presumed to function as other imidazole derivatives via inhibition of steroid synthesis. Imidazoles generally inhibit the conversion of lanosterol to ergosterol via the inhibition of the enzyme cytochrome P450 14α-demethylase, resulting in a change in fungal cell membrane lipid composition. This structural change alters cell permeability and, ultimately, results in the osmotic disruption or growth inhibition of the fungal cell.</t>
  </si>
  <si>
    <t>Local side effects have been reported the most frequently. These have involved the genitourinary and occur in less than 5% of patients. Reported effects include burning, itching, pain, and irritation. Nervous system side effects have included headache.
Thrombocytopenia developed one week after beginning butoconazole. 
Hematologic side effects have included thrombocytopenia.
Gastrointestinal side effects have included pelvic and abdominal pain or cramping.</t>
  </si>
  <si>
    <t>CC#C[C@@]1(CC[C@@H]2[C@@]1(C[C@@H](C3=C4CCC(=O)C=C4CC[C@@H]23)C5=CC=C(C=C5)N(C)C)C)O</t>
  </si>
  <si>
    <t>(8S,11R,13S,14S,17S)-11-[4-(dimethylamino)phenyl]-17-hydroxy-13-methyl-17-prop-1-ynyl-1,2,6,7,8,11,12,14,15,16-decahydrocyclopenta[a]phenanthren-3-one</t>
  </si>
  <si>
    <t>Mifepristone</t>
  </si>
  <si>
    <t>5-F03</t>
  </si>
  <si>
    <t>84371-65-3</t>
  </si>
  <si>
    <t xml:space="preserve">Progestational and glucocorticoid hormone antagonist. Its inhibition of progesterone induces bleeding during the luteal phase and in early pregnancy by releasing endogenous prostaglandins from the endometrium or decidua. </t>
  </si>
  <si>
    <t>Nearly all of the women who receive mifepristone will report adverse reactions, and many can be expected to report more than one such reaction. About 90% of patients report adverse reactions following administration of misoprostol on day three of the treatment procedure. Side effects include more heavy bleeding than a heavy manstrual period, abdominal pain, uterine cramping, nausea, vomiting, and diarrhea.</t>
  </si>
  <si>
    <t>CC1=C[C@@H]2[C@H](CC[C@]3([C@H]2CC[C@@]3(C(=O)C)OC(=O)C)C)[C@@]4(C1=CC(=O)CC4)C</t>
  </si>
  <si>
    <t>[(8R,9S,10R,13S,14S,17R)-17-acetyl-6,10,13-trimethyl-3-oxo-2,8,9,11,12,14,15,16-octahydro-1H-cyclopenta[a]phenanthren-17-yl] acetate</t>
  </si>
  <si>
    <t>Megestrol Acetate</t>
  </si>
  <si>
    <t>5-F04</t>
  </si>
  <si>
    <t>595-33-5</t>
  </si>
  <si>
    <t>Contraceptive, Hormonal, Antineoplastic</t>
  </si>
  <si>
    <t xml:space="preserve">Synthetic derivative of the naturally occurring female sex hormone progesterone. Mimicking the action of progesterone, megestrol binds to and activates nuclear progesterone receptors (PRs) in the reproductive system and pituitary; ligand-receptor complexes are translocated to the nucleus where they bind to progesterone response elements (PREs) located on target genes. </t>
  </si>
  <si>
    <t>Side effects may include diarrhea, rash, and impotence. Males may have some feminizing effects such as gynecomastia. The drug cannot be used in pregnancy as it crosses the placenta and malignantly affects the fetus.</t>
  </si>
  <si>
    <t>CC/C(=C(\C1=CC=CC=C1)/C2=CC=C(C=C2)OCCN(C)C)/C3=CC=CC=C3.C(C(=O)O)C(CC(=O)O)(C(=O)O)O</t>
  </si>
  <si>
    <t>2-[4-[(Z)-1,2-diphenylbut-1-enyl]phenoxy]-N,N-dimethylethanamine;2-hydroxypropane-1,2,3-tricarboxylic acid</t>
  </si>
  <si>
    <t>5-F05</t>
  </si>
  <si>
    <t>54965-24-1</t>
  </si>
  <si>
    <t xml:space="preserve">Estrogen Receptor Antagonist, Protein Kinase C Inhibitor and Anti-Angiogenetic Factor. </t>
  </si>
  <si>
    <t>Tamoxifen-treated breast cancer patients show evidence of reduced cognition, a major side effect of tamoxifen, and semantic memory scores. However memory impairment in patients treated with tamoxifen was less severe compared with those treated with anastrozole (an aromatase inhibitor).
A significant number of tamoxifen treated breast cancer patients experience a reduction of libido.</t>
  </si>
  <si>
    <t>C[C@H](C1=CC(=CC(=C1)C(F)(F)F)C(F)(F)F)O[C@@H]2[C@@H](N(CCO2)CC3=NC(=O)NN3)C4=CC=C(C=C4)F</t>
  </si>
  <si>
    <t>5-[[(2R,3S)-2-[(1R)-1-[3,5-bis(trifluoromethyl)phenyl]ethoxy]-3-(4-fluorophenyl)morpholin-4-yl]methyl]-1,2-dihydro-1,2,4-triazol-3-one</t>
  </si>
  <si>
    <t>Aprepitant</t>
  </si>
  <si>
    <t>5-F06</t>
  </si>
  <si>
    <t>170729-80-3</t>
  </si>
  <si>
    <t>NK1 antagonist</t>
  </si>
  <si>
    <t>Dermatologic side effects including alopecia (24%), asthenia/fatigue (17.8%), dizziness (3.4% to 6.6%), dehydration (5.9%), abdominal pain (4.6%), fever (2.9%), headache (8.5% to 16.4%) and insomnia (2.9%),  nausea (7.1% to 12.7%), constipation (10.3% to 12.3%), diarrhea (5.5% to 10.3%), dyspepsia (8.4%), vomiting (7.5%), stomatitis (5.3%), heartburn (5.3%), gastritis (4.2%), and epigastric discomfort (4.0%), hiccups (10.8%), anorexia (4.3% to 10.1%) and tinnitus (3.7%).</t>
  </si>
  <si>
    <t>CC(C)(C)C1=CC=C(C=C1)S(=O)(=O)NC2=C(C(=NC(=N2)C3=NC=CC=N3)OCCO)OC4=CC=CC=C4OC</t>
  </si>
  <si>
    <t>4-tert-butyl-N-[6-(2-hydroxyethoxy)-5-(2-methoxyphenoxy)-2-pyrimidin-2-ylpyrimidin-4-yl]benzenesulfonamide</t>
  </si>
  <si>
    <t>Bosentan</t>
  </si>
  <si>
    <t>5-F07</t>
  </si>
  <si>
    <t>147536-97-8</t>
  </si>
  <si>
    <t>Specific and competitive antagonist at endothelin receptor types ETA and ETB. Bosentan has a slightly higher affinity for ETA receptors than for ETB receptors.</t>
  </si>
  <si>
    <t>The most common side effect was headache of mild to moderate intensity.</t>
  </si>
  <si>
    <t>C1CC1C#C[C@]2(C3=C(C=CC(=C3)Cl)NC(=O)O2)C(F)(F)F</t>
  </si>
  <si>
    <t>(4S)-6-chloro-4-(2-cyclopropylethynyl)-4-(trifluoromethyl)-1H-3,1-benzoxazin-2-one</t>
  </si>
  <si>
    <t>Efavirenz</t>
  </si>
  <si>
    <t>5-F08</t>
  </si>
  <si>
    <t>154598-52-4</t>
  </si>
  <si>
    <t xml:space="preserve"> Non-nucleoside reverse transcriptase inhibitor (NNRTI)</t>
  </si>
  <si>
    <t xml:space="preserve">Psychiatric symptoms, including insomnia, nightmares, confusion, memory loss, and depression, are common, and more serious symptoms such as psychosis may occur in patients with compromised liver or kidney function. Rash, nausea, dizziness and headache may occur. 
Efavirenz can cause birth defects. </t>
  </si>
  <si>
    <t>CCCCN1CC(C(C(C1CO)O)O)O.Cl</t>
  </si>
  <si>
    <t>1-butyl-2-(hydroxymethyl)piperidine-3,4,5-triol;hydrochloride</t>
  </si>
  <si>
    <t>Miglustat (N-Butyldeoxynojirimycin·HCl)</t>
  </si>
  <si>
    <t>5-F09</t>
  </si>
  <si>
    <t>210110-90-0</t>
  </si>
  <si>
    <t xml:space="preserve">Conatains broad spectrum antiviral activity.  Primarily used to treat Type 1 Gaucher disease (GD1). </t>
  </si>
  <si>
    <t>Inhibitor of glucosylceramide synthase, resulting in a reduction of glycosphingolipid biosynthesis</t>
  </si>
  <si>
    <t>Diarrhea, gas or abdominal pain, weight loss, dizziness and visiion problems are some side effects.</t>
  </si>
  <si>
    <t>C[C@]12CC[C@H]3[C@H]([C@@H]1CC[C@@H]2O)[C@@H](CC4=C3C=CC(=C4)O)CCCCCCCCCS(=O)CCCC(C(F)(F)F)(F)F</t>
  </si>
  <si>
    <t>(7R,8R,9S,13S,14S,17S)-13-methyl-7-[9-(4,4,5,5,5-pentafluoropentylsulfinyl)nonyl]-6,7,8,9,11,12,14,15,16,17-decahydrocyclopenta[a]phenanthrene-3,17-diol</t>
  </si>
  <si>
    <t>Fulvestrant</t>
  </si>
  <si>
    <t>5-F10</t>
  </si>
  <si>
    <t>129453-61-8</t>
  </si>
  <si>
    <t>Synthetic estrogen receptor antagonist. Unlike tamoxifen (which has partial agonist effects) and the aromatase inhibitors (which reduce the estrogen available to tumor cells), fulvestrant binds competitively to estrogen receptors in breast cancer cells, resulting in estrogen receptor deformation and decreased estrogen binding. In vitro studies indicate that fulvestrant reversibly inhibits the growth of tamoxifen-resistant, estrogen-sensitive, human breast cancer cell lines.</t>
  </si>
  <si>
    <t>Side effects have included nausea (26%), vomiting (13%), constipation (12.5%), diarrhea (12.3%), abdominal pain (11.8%), anorexia (9%), vasodilation (17.7%), peripheral edema (9%), bone pain (15.8%), pharyngitis (16.1%), dyspnea (14.9%), cough (10.4%), asthenia (22.7%), pain (18.9%), headache (15.4%), back pain (14.4%), pain at injection site (10.9%), pelvic pain (9.9%).</t>
  </si>
  <si>
    <t>CC(C)NCC(COC1=CC=C(C=C1)CCC(=O)OC)O</t>
  </si>
  <si>
    <t>methyl 3-[4-[2-hydroxy-3-(propan-2-ylamino)propoxy]phenyl]propanoate</t>
  </si>
  <si>
    <t>Esmolol</t>
  </si>
  <si>
    <t>5-F11</t>
  </si>
  <si>
    <t>103598-03-4</t>
  </si>
  <si>
    <t>Treatment for heart rhythm disorders.</t>
  </si>
  <si>
    <t>Cardioselective beta-blocker</t>
  </si>
  <si>
    <t>Skin reaction, fatigues and drozinness are some symptoms after use.</t>
  </si>
  <si>
    <t>CCCCCOC(=O)NC1=NC(=O)N(C=C1F)[C@H]2[C@@H]([C@@H]([C@H](O2)C)O)O</t>
  </si>
  <si>
    <t>pentyl N-[1-[(2R,3R,4S,5R)-3,4-dihydroxy-5-methyloxolan-2-yl]-5-fluoro-2-oxopyrimidin-4-yl]carbamate</t>
  </si>
  <si>
    <t>Capecitabine</t>
  </si>
  <si>
    <t>5-G02</t>
  </si>
  <si>
    <t>154361-50-9</t>
  </si>
  <si>
    <t>Antimetabolite. A prodrug of 5-fluorouracil. Gets converted to active metabolites, 5-fluoro-2-deoxyuridine monophosphate (FdUMP) and 5-fluorouridine triphosphate (FUTP) by both tumor cells and normal cells. FdUMP inhibits DNA synthesis and cell division by reducing normal thymidine production, while FUTP inhibits RNA and protein synthesis by competing with uridine triphosphate for incorporation into the RNA strand.</t>
  </si>
  <si>
    <t>Cardiovascular: EKG changes, myocardial infarction, angina; Dermatological: Hand-foot syndrome (numbness, tingling, pain, redness, or blistering of the palms of the hands and soles of the feet). This can lead to the disappearance of fingerprints in some patients. Gastrointestinal: Diarrhea (sometimes severe), nausea, stomatitis
Hematological: Neutropenia, anemia, thrombocytopenia; Hepatic: Hyperbilirubinemia.</t>
  </si>
  <si>
    <t>C[N+](C)(C)CCOC(=O)CCC(=O)OCC[N+](C)(C)C.O.O.[Cl-].[Cl-]</t>
  </si>
  <si>
    <t>trimethyl-[2-[4-oxo-4-[2-(trimethylazaniumyl)ethoxy]butanoyl]oxyethyl]azanium;dichloride;dihydrate</t>
  </si>
  <si>
    <t>Succinylcholine Chloride·2H2O</t>
  </si>
  <si>
    <t>5-G03</t>
  </si>
  <si>
    <t>6101-15-1</t>
  </si>
  <si>
    <t>A neuromuscular blocking agent.</t>
  </si>
  <si>
    <t>Mimics acetylcholine, leading neuromuscular junction depolarization</t>
  </si>
  <si>
    <t>Some side effects include malignant hyperthermia, hyperkalemia and muscle pains.</t>
  </si>
  <si>
    <t>CN1CCC(=C2C3=CC=CC=C3C=CC4=CC=CC=C42)CC1.CN1CCC(=C2C3=CC=CC=C3C=CC4=CC=CC=C42)CC1.O.O.O.Cl</t>
  </si>
  <si>
    <t>4-(dibenzo[1,2-a:1',2'-e][7]annulen-11-ylidene)-1-methylpiperidine;trihydrate;hydrochloride</t>
  </si>
  <si>
    <t>Cyproheptadine·HCl Sesquihydrate</t>
  </si>
  <si>
    <t>5-G04</t>
  </si>
  <si>
    <t>41354-29-4</t>
  </si>
  <si>
    <t xml:space="preserve">Antihistamine, Anti-Allergic, Antipruritic </t>
  </si>
  <si>
    <t>Serotonin receptor antagonist; Histamine H1 -receptor antagonist.</t>
  </si>
  <si>
    <t>[(1S,4R)-4-[2-amino-6-(cyclopropylamino)purin-9-yl]cyclopent-2-en-1-yl]methanol;sulfuric acid</t>
  </si>
  <si>
    <t>Abacavir Sulfate</t>
  </si>
  <si>
    <t>6-A02</t>
  </si>
  <si>
    <t>188062-50-2</t>
  </si>
  <si>
    <t>Reverse Transcriptase Inhibitor</t>
  </si>
  <si>
    <t>Fatal hypersensitivity reactions have been associated with therapy with abacavir. Symptoms of hypersensitivity include fever, skin rash, fatigue, gastrointestinal symptoms such as nausea, vomiting, diarrhea or abdominal pain and respiratory symptoms such as pharyngitis, dyspnea, or cough.</t>
  </si>
  <si>
    <t>CC(=O)NCCCS(=O)(=O)[O-].CC(=O)NCCCS(=O)(=O)[O-].[Ca+2]</t>
  </si>
  <si>
    <t>calcium;3-acetamidopropane-1-sulfonate</t>
  </si>
  <si>
    <t>Acamprosate calcium</t>
  </si>
  <si>
    <t>6-A03</t>
  </si>
  <si>
    <t> 77337-73-6</t>
  </si>
  <si>
    <t>NMDA Inhibitor/GABA Activator</t>
  </si>
  <si>
    <t>In addition to its apparent ability to help patients refrain from drinking, some evidence suggests that acamprosate is neuroprotective (that is, it protects neurons from damage and death caused by the effects of alcohol withdrawal, or possibly other insults).</t>
  </si>
  <si>
    <t>C[C@@H]1[C@H]([C@@H]([C@H]([C@H](O1)O[C@@H]2[C@H](O[C@@H]([C@@H]([C@H]2O)O)O[C@@H]3[C@H](OC([C@@H]([C@H]3O)O)O)CO)CO)O)O)N[C@H]4C=C([C@H]([C@@H]([C@H]4O)O)O)CO</t>
  </si>
  <si>
    <t>(3R,4R,5S,6R)-5-[(2R,3R,4R,5S,6R)-5-[(2R,3R,4S,5S,6R)-3,4-dihydroxy-6-methyl-5-[[(1S,4R,5S,6S)-4,5,6-trihydroxy-3-(hydroxymethyl)cyclohex-2-en-1-yl]amino]oxan-2-yl]oxy-3,4-dihydroxy-6-(hydroxymethyl)oxan-2-yl]oxy-6-(hydroxymethyl)oxane-2,3,4-triol</t>
  </si>
  <si>
    <t>Acarbose</t>
  </si>
  <si>
    <t>6-A04</t>
  </si>
  <si>
    <t>56180-94-0</t>
  </si>
  <si>
    <t>Anti-diabetic</t>
  </si>
  <si>
    <t>alpha amylase/glucoside hydrolase inhibitor</t>
  </si>
  <si>
    <t>Hepatotoxic. Hepatocellular toxicants [Elevated ALT (alanine transaminase) levels].</t>
  </si>
  <si>
    <t>CCCC(=O)NC1=CC(=C(C=C1)OCC(CNC(C)C)O)C(=O)C.Cl</t>
  </si>
  <si>
    <t>N-[3-acetyl-4-[2-hydroxy-3-(propan-2-ylamino)propoxy]phenyl]butanamide;hydrochloride</t>
  </si>
  <si>
    <t>6-A05</t>
  </si>
  <si>
    <t> 34381-68-5</t>
  </si>
  <si>
    <t xml:space="preserve">Selective β-adrenoreceptor inhibitor. </t>
  </si>
  <si>
    <t>Cardiotoxic (Risk of angina, ventricular arrhythmias and myocardial infarction).</t>
  </si>
  <si>
    <t>CC(=O)NC1=CC=C(C=C1)O</t>
  </si>
  <si>
    <t>N-(4-hydroxyphenyl)acetamide</t>
  </si>
  <si>
    <t>Acetaminophen</t>
  </si>
  <si>
    <t>6-A06</t>
  </si>
  <si>
    <t>103-90-2</t>
  </si>
  <si>
    <t>COX inhibitor</t>
  </si>
  <si>
    <t>Hepatotoxic. Causes hepatic necrosis.</t>
  </si>
  <si>
    <t>CC(=O)NC1=NN=C(S1)S(=O)(=O)N</t>
  </si>
  <si>
    <t>N-(5-sulfamoyl-1,3,4-thiadiazol-2-yl)acetamide</t>
  </si>
  <si>
    <t>Acetazolamide</t>
  </si>
  <si>
    <t>6-A07</t>
  </si>
  <si>
    <t>59-66-5</t>
  </si>
  <si>
    <t>Antiglaucoma/Edema</t>
  </si>
  <si>
    <t>Carbonic anhydrase inhibitor</t>
  </si>
  <si>
    <t>Common side effects of using this drug include numbness and tingling in the fingers and toes, and taste alterations (parageusia), especially for carbonated drinks. Also causes metabolic acidosis.</t>
  </si>
  <si>
    <t>CC(=O)C1=CC=C(C=C1)S(=O)(=O)NC(=O)NC2CCCCC2</t>
  </si>
  <si>
    <t>1-(4-acetylphenyl)sulfonyl-3-cyclohexylurea</t>
  </si>
  <si>
    <t>Acetohexamide</t>
  </si>
  <si>
    <t>6-A08</t>
  </si>
  <si>
    <t>968-81-0</t>
  </si>
  <si>
    <t>Antidiabetic (Hypoglycemic agent)</t>
  </si>
  <si>
    <t>ATP-dependent K+ channel blocker</t>
  </si>
  <si>
    <t xml:space="preserve">Oral hypoglycemic drugs, including acetohexamide, have been associated with increased cardiovascular mortality. </t>
  </si>
  <si>
    <t>CC(=O)NO</t>
  </si>
  <si>
    <t>N-hydroxyacetamide</t>
  </si>
  <si>
    <t>Acetohydroxamic Acid</t>
  </si>
  <si>
    <t>6-A09</t>
  </si>
  <si>
    <t>546-88-3</t>
  </si>
  <si>
    <t xml:space="preserve"> Reversible inhibitor of the bacterial enzyme urease. Inhibits the hydrolysis of urea and production of ammonia in urine infected with urea-splitting organisms, leading to a decrease in pH and ammonia levels. As antimicrobial agents are more effective in such conditions, the effectiveness of these agents is amplified, resulting in a higher cure rate.</t>
  </si>
  <si>
    <t xml:space="preserve">The molecule is similar to urea but is not hydrolyzable by the urease enzyme. </t>
  </si>
  <si>
    <t>CC(=O)N[C@@H](CS)C(=O)O</t>
  </si>
  <si>
    <t>(2R)-2-acetamido-3-sulfanylpropanoic acid</t>
  </si>
  <si>
    <t>6-A10</t>
  </si>
  <si>
    <t>616-91-1</t>
  </si>
  <si>
    <t>Expectorant</t>
  </si>
  <si>
    <t>Mucolytic; Acetaminophen antidote</t>
  </si>
  <si>
    <t xml:space="preserve">Additionally useful as nephroprotective agent, treatment of cyclophosphamide-induced hemorrhagic cystitis, diagnostic adjuvant for tuberculosis and Interstitial lung disease treatment. </t>
  </si>
  <si>
    <t>CC1=CC=C(C=C1)/C(=C\CN2CCCC2)/C3=CC=CC(=N3)/C=C/C(=O)O</t>
  </si>
  <si>
    <t>(E)-3-[6-[(E)-1-(4-methylphenyl)-3-pyrrolidin-1-ylprop-1-enyl]pyridin-2-yl]prop-2-enoic acid</t>
  </si>
  <si>
    <t>Acrivastine</t>
  </si>
  <si>
    <t>6-A11</t>
  </si>
  <si>
    <t>87848-99-5</t>
  </si>
  <si>
    <t>2 mM</t>
  </si>
  <si>
    <t>Antihistaminic</t>
  </si>
  <si>
    <t>Histamine H1 antagonist</t>
  </si>
  <si>
    <t xml:space="preserve">
The side effects most often reported include somnolence, headache, dizziness, nervousness, insomnia, tachycardia, palpitations, xerostomia, nausea, and muscle weakness.</t>
  </si>
  <si>
    <t>CC(C)(C)C(=O)OCOP(=O)(COCCN1C=NC2=C1N=CN=C2N)OCOC(=O)C(C)(C)C</t>
  </si>
  <si>
    <t>[2-(6-aminopurin-9-yl)ethoxymethyl-(2,2-dimethylpropanoyloxymethoxy)phosphoryl]oxymethyl 2,2-dimethylpropanoate</t>
  </si>
  <si>
    <t>Adefovir Dipivoxil</t>
  </si>
  <si>
    <t>6-B02</t>
  </si>
  <si>
    <t>142340-99-6</t>
  </si>
  <si>
    <t xml:space="preserve">Used for treatment of hepatitis B and herpes simplex virus infection. 
Failed as HIV treatment.
Adefovir dipivoxil contains two pivaloyloxymethyl units, making it a prodrug form of adefovir.
</t>
  </si>
  <si>
    <t>C1=NC2=C(C(=N1)N)N=CN2C3C(C(C(O3)CO)O)O</t>
  </si>
  <si>
    <t>(2R,3R,4S,5R)-2-(6-aminopurin-9-yl)-5-(hydroxymethyl)oxolane-3,4-diol</t>
  </si>
  <si>
    <t>Adenosine</t>
  </si>
  <si>
    <t>6-B03</t>
  </si>
  <si>
    <t>58-61-7</t>
  </si>
  <si>
    <t xml:space="preserve">Adenosine receptor agonist. Slows conduction time through the AV node and can interrupt the reentry pathways through the AV node, resulting in the restoration of normal sinus rhythm in patients with paroxysmal supraventricular tachycardia (PSVT), including PSVT associated with Wolff-Parkinson-White Syndrome. </t>
  </si>
  <si>
    <t>Many individuals experience facial flushing, a temporary rash on the chest, lightheadedness, diaphoresis, or nausea after administration of adenosine due to its vasodilatory effects. Metallic taste is a hallmark side effect of adenosine administration. These symptoms are transitory, usually lasting less than one minute.</t>
  </si>
  <si>
    <t>Blank</t>
  </si>
  <si>
    <t>6-B04</t>
  </si>
  <si>
    <t>CC1=C(C(CCC1)(C)C)/C=C/C(=C\C=C\C(=C\C(=O)O)\C)/C</t>
  </si>
  <si>
    <t>(2E,4E,6Z,8E)-3,7-dimethyl-9-(2,6,6-trimethylcyclohexen-1-yl)nona-2,4,6,8-tetraenoic acid</t>
  </si>
  <si>
    <t>6-B05</t>
  </si>
  <si>
    <t>Ligand for all intracellular retinoic acid receptor subtypes, which act as transcription factors to regulate proliferation and cellular differentiation in both normal and neoplastic cells.</t>
  </si>
  <si>
    <t>CN(C)CCC1=CNC2=C1C=C(C=C2)CS(=O)(=O)N3CCCC3.C(C(C(=O)O)O)C(=O)O</t>
  </si>
  <si>
    <t>N,N-dimethyl-2-[5-(pyrrolidin-1-ylsulfonylmethyl)-1H-indol-3-yl]ethanamine;2-hydroxybutanedioic acid</t>
  </si>
  <si>
    <t>Almotriptan malate</t>
  </si>
  <si>
    <t>6-B06</t>
  </si>
  <si>
    <t>181183-52-8</t>
  </si>
  <si>
    <t>Antimigraine (esp. adolescent from 12 to 17 years of age)</t>
  </si>
  <si>
    <t xml:space="preserve">Selective and potent serotonin 5-HT1B/1D agonist. Because of the particular distribution of the 5-HT1B/1D receptors, almotriptan basically constricts the human meningeal arteries; therefore it has a limited effect on arteries supplying blood to the brain, and little effect on cardiac and pulmonary vessels.
</t>
  </si>
  <si>
    <t xml:space="preserve">Almotriptan has proved to have an adverse effects profile similar to placebo. </t>
  </si>
  <si>
    <t>CC1=C(N=CN1)CN2CCC3=C(C2=O)C4=CC=CC=C4N3C.Cl</t>
  </si>
  <si>
    <t>5-methyl-2-[(5-methyl-1H-imidazol-4-yl)methyl]-3,4-dihydropyrido[4,3-b]indol-1-one;hydrochloride</t>
  </si>
  <si>
    <t>Alosetron·HCl</t>
  </si>
  <si>
    <t>6-B07</t>
  </si>
  <si>
    <t>122852-69-1</t>
  </si>
  <si>
    <t xml:space="preserve">Potent 5-HT3 receptor antagonist. Modulates serotonin-sensitive gastrointestinal (GI) processes. </t>
  </si>
  <si>
    <t>Alosetron was voluntarily withdrawn from the US market in November 2000 by the manufacturer due to numerous reports of severe adverse effects including ischemic colitis, severely obstructed or ruptured bowel, and death. In June 2002, the FDA approved a supplemental new drug application allowing the remarketing of the drug under restricted conditions of use.</t>
  </si>
  <si>
    <t>6-B08</t>
  </si>
  <si>
    <t>CC1=CC(=NC(=N1)O[C@H](C(=O)O)C(C2=CC=CC=C2)(C3=CC=CC=C3)OC)C</t>
  </si>
  <si>
    <t>(2S)-2-(4,6-dimethylpyrimidin-2-yl)oxy-3-methoxy-3,3-diphenylpropanoic acid</t>
  </si>
  <si>
    <t>Ambrisentan</t>
  </si>
  <si>
    <t>6-B09</t>
  </si>
  <si>
    <t>177036-94-1</t>
  </si>
  <si>
    <t>Pulmonary hypertension treatment</t>
  </si>
  <si>
    <t>Selective type A endothelin receptor (ETA) antagonist.</t>
  </si>
  <si>
    <t xml:space="preserve">Adverse effects of this drug include headache, fever, flushing, orthostatic hypotension, hypotension, peripheral edema, sinusitis, rhinitis, abdominal pain, constipation, anemia, rash, pharyngitis, and dyspnea. </t>
  </si>
  <si>
    <t>CC(=O)OCC(=O)[C@@]12[C@@H](C[C@@H]3[C@@]1(C[C@@H]([C@]4([C@H]3CCC5=CC(=O)C=C[C@@]54C)F)O)C)OC6(O2)CCCC6</t>
  </si>
  <si>
    <t>2-[(1'S,2'S,4'R,8'S,9'S,11'S,12'R,13'S)-12'-fluoro-11'-hydroxy-9',13'-dimethyl-16'-oxo-5',7'-dioxaspiro[cyclopentane-1,6'-pentacyclo[10.8.0.0²,⁹.0⁴,⁸.0¹³,¹⁸]icosane]-14',17'-dien-8'-yl]-2-oxoethyl acetate</t>
  </si>
  <si>
    <t>Amcinonide</t>
  </si>
  <si>
    <t>6-B10</t>
  </si>
  <si>
    <t>51022-69-6</t>
  </si>
  <si>
    <t>Anti-inflammatory</t>
  </si>
  <si>
    <t>Corticosteroid</t>
  </si>
  <si>
    <t xml:space="preserve">Among the most common adverse reactions are itching, stinging, burning, and less frequently, various skin eruptions. Systemic side effects may result from prolonged or excessive application. 
</t>
  </si>
  <si>
    <t>C1[C@H]([C@H]([C@H](C([C@H]1N)O[C@@H]2[C@@H]([C@H]([C@H]([C@H](O2)CN)O)O)O)O)O[C@@H]3[C@@H]([C@H]([C@@H]([C@H](O3)CO)O)N)O)NC(=O)C(CCN)O.OS(=O)(=O)O.OS(=O)(=O)O</t>
  </si>
  <si>
    <t>4-amino-N-[5-amino-2-[4-amino-3,5-dihydroxy-6-(hydroxymethyl)oxan-2-yl]oxy-4-[6-(aminomethyl)-3,4,5-trihydroxyoxan-2-yl]oxy-3-hydroxycyclohexyl]-2-hydroxybutanamide;sulfuric acid</t>
  </si>
  <si>
    <t>6-B11</t>
  </si>
  <si>
    <t>39831-55-5</t>
  </si>
  <si>
    <t>30S subunit protein and 16S rRNA antagonist</t>
  </si>
  <si>
    <t xml:space="preserve"> Kidney damage and hearing loss are the most important effects. Because of this potential, blood levels of the drug and markers of kidney function (creatinine) may be monitored.</t>
  </si>
  <si>
    <t>C(CCC(=O)O)CCN</t>
  </si>
  <si>
    <t>6-aminohexanoic acid</t>
  </si>
  <si>
    <t>6-C02</t>
  </si>
  <si>
    <t>60-32-2</t>
  </si>
  <si>
    <t xml:space="preserve">Hemostatic, Antifibrinolytic agent </t>
  </si>
  <si>
    <t xml:space="preserve">Antifibrinolytic agent that binds reversibly to the kringle domain of plasminogen and blocks the binding of plasminogen to fibrin and its activation to plasmin. </t>
  </si>
  <si>
    <t>Side-effects include nausea, vomiting, and chronic mild fevers (99 degrees to 100 degrees). When used long-term (for approx. 6 to 12 months), there is a risk of the inflammation of one's internal organs, especially the appendix (appendicitis) and liver, as well as failure of the liver and cyanosis. It almost always causes generalised myalgia and fibromyalgia. In some cases, successive organ failure can occur after long</t>
  </si>
  <si>
    <t>C1=CC(=CC=C1C(=O)NCC(=O)O)N.[Na]</t>
  </si>
  <si>
    <t>2-[(4-aminobenzoyl)amino]acetic acid;sodium</t>
  </si>
  <si>
    <t>6-C03</t>
  </si>
  <si>
    <t>94-16-6</t>
  </si>
  <si>
    <t>Diagnostic Aid</t>
  </si>
  <si>
    <t>Indicator. Aminohippurate is filtered by the renal glomeruli and secreted into the urine by the proximal tubules. By measuring the amount of drug in the urine it is possible to determine functional capacity and effective renal plasma flow.</t>
  </si>
  <si>
    <t xml:space="preserve">During World War II, para-aminohippurate was given along with penicillin in order to prolong the time penicillin circulated in the blood. Because both penicillin and para-aminohippurate compete for the same transporter in the kidney, administering para-aminohippurate with penicillin decreased the clearance of penicillin from the body by the kidney, providing better antibacterial therapy. </t>
  </si>
  <si>
    <t>C(CC(=O)O)C(=O)CN.Cl</t>
  </si>
  <si>
    <t>5-amino-4-oxopentanoic acid;hydrochloride</t>
  </si>
  <si>
    <t>Aminolevulinic Acid·HCl</t>
  </si>
  <si>
    <t>6-C04</t>
  </si>
  <si>
    <t>Intermediate in heme biosynthesis.</t>
  </si>
  <si>
    <t>CC(C)C1=CC2=C(C=C1)OC3=NC(=C(C=C3C2=O)C(=O)O)N</t>
  </si>
  <si>
    <t>2-amino-5-oxo-7-propan-2-ylchromeno[2,3-b]pyridine-3-carboxylic acid</t>
  </si>
  <si>
    <t>Amlexanox</t>
  </si>
  <si>
    <t>6-C05</t>
  </si>
  <si>
    <t>68302-57-8</t>
  </si>
  <si>
    <t>SRS-A release inhibitor/FGF1 Inhibitor</t>
  </si>
  <si>
    <t>Amlexanox is also being investigated for its anti-allergenic and anti-inflammatory properties.</t>
  </si>
  <si>
    <t>C[C@H]1/C=C\C=C/C=C\C=C/C=C\C=C/C=C\[C@@H](C[C@H]2[C@@H]([C@H](C[C@](O2)(C[C@H](C[C@H]([C@@H](CC[C@H](C[C@H](CC(=O)O[C@H]([C@@H]([C@@H]1O)C)C)O)O)O)O)O)O)O)C(=O)O)O[C@H]3[C@H]([C@H]([C@@H]([C@H](O3)C)O)N)O</t>
  </si>
  <si>
    <t>(1S,3R,4Z,6Z,8Z,10Z,12Z,14Z,16Z,18S,19R,20R,21S,25R,27R,30R,31R,33S,35R,37S,38R)-3-[(2R,3S,4S,5S,6R)-4-amino-3,5-dihydroxy-6-methyloxan-2-yl]oxy-19,25,27,30,31,33,35,37-octahydroxy-18,20,21-trimethyl-23-oxo-22,39-dioxabicyclo[33.3.1]nonatriaconta-4,6,8,10,12,14,16-heptaene-38-carboxylic acid</t>
  </si>
  <si>
    <t>Amphotericin B</t>
  </si>
  <si>
    <t>6-C06</t>
  </si>
  <si>
    <t>1397-89-3</t>
  </si>
  <si>
    <t xml:space="preserve">Associates with ergosterol, the main component of fungal cell membranes, forming a transmembrane channel that leads to monovalent ion (K+, Na+, H+ and Cl−) leakage, which is the primary effect leading to fungal cell death. </t>
  </si>
  <si>
    <t>Causes agranulocytosis, thrombocytopenia, leukopenia, eosinophilia and leukocytosis.</t>
  </si>
  <si>
    <t>O=[As]O[As]=O</t>
  </si>
  <si>
    <t>bicyclo[1.1.1]diarsoxane</t>
  </si>
  <si>
    <t>Arsenic Trioxide</t>
  </si>
  <si>
    <t>6-C07</t>
  </si>
  <si>
    <t>1327-53-3</t>
  </si>
  <si>
    <t xml:space="preserve">Apoptosis inducer. Thioredoxin Reductase Irreversible Inhibitor. </t>
  </si>
  <si>
    <t>Cardiotoxic. Risk of causing torsades de pointes.</t>
  </si>
  <si>
    <t>C[C@@H]1CC[C@H]2[C@H]([C@H](O[C@H]3[C@@]24[C@H]1CCC(O3)(OO4)C)OC)C</t>
  </si>
  <si>
    <t>(1R,4S,5R,8S,9R,10S,12R,13R)-10-methoxy-1,5,9-trimethyl-11,14,15,16-tetraoxatetracyclo[10.3.1.0⁴,¹³.0⁸,¹³]hexadecane</t>
  </si>
  <si>
    <t>Artemether</t>
  </si>
  <si>
    <t>6-C08</t>
  </si>
  <si>
    <t>71963-77-4</t>
  </si>
  <si>
    <t>Antimalarial</t>
  </si>
  <si>
    <t>Interacts with ferriprotoporphyrin IX (“heme”), or ferrous ions, in the acidic parasite food vacuole, which results in the generation of cytotoxic radical species. The generally accepted mechanism of action of peroxide antimalarials involves interaction of the peroxide-containing drug with heme, a hemoglobin degradation byproduct, derived from proteolysis of hemoglobin. This interaction is believed to result in the formation of a range of potentially toxic oxygen and carbon-centered radicals.</t>
  </si>
  <si>
    <t>Artemether has been shown to have significant anticancer and antitumor activities. It is demonstrated that artemether caused strong inhibitory effects on brain glioma growth and angiogenesis in rats. It exhibits a dose- and time-dependent cytotoxicity, and induced apoptosis and G2 cell cycle arrest in ovarian cancer cell lines, human leukemia HL60 cells, and human pancreatic cancer BxPC-3 and AsPC-1 cells.</t>
  </si>
  <si>
    <t>CCCNC(C)C(=O)NC1=C(SC=C1C)C(=O)OC.Cl</t>
  </si>
  <si>
    <t>methyl 4-methyl-3-[2-(propylamino)propanoylamino]thiophene-2-carboxylate;hydrochloride</t>
  </si>
  <si>
    <t>Articaine·HCl</t>
  </si>
  <si>
    <t>6-C09</t>
  </si>
  <si>
    <t>23964-57-0</t>
  </si>
  <si>
    <t>Anesthetic</t>
  </si>
  <si>
    <t>Paresthesia, a short to long-term numbness or altered sensation affecting a nerve, is a well-known complication of injectable local anesthetics and has been present even before articaine was available.</t>
  </si>
  <si>
    <t>C([C@@H]([C@@H]1C(=C(C(=O)O1)O)O)O)O</t>
  </si>
  <si>
    <t>(2R)-2-[(1S)-1,2-dihydroxyethyl]-3,4-dihydroxy-2H-furan-5-one</t>
  </si>
  <si>
    <t>L-Ascorbic Acid</t>
  </si>
  <si>
    <t>6-C10</t>
  </si>
  <si>
    <t>50-81-7</t>
  </si>
  <si>
    <t>Antioxidant, Free Radical Scavenger, Vitamin</t>
  </si>
  <si>
    <t xml:space="preserve">Essential nutrient for humans. Acts as an antioxidant by protecting the cells against oxidative stress. It also serves as a cofactor in at least eight enzymatic reactions including several collagen synthesis reactions that cause the most severe symptoms of scurvy when they are dysfunctional. </t>
  </si>
  <si>
    <t>Migraine headache has been reported with a daily dose of 6 grams.</t>
  </si>
  <si>
    <t>CN1C[C@H]2[C@H](C1)C3=C(C=CC(=C3)Cl)OC4=CC=CC=C24.C(=C\C(=O)O)\C(=O)O</t>
  </si>
  <si>
    <t>(2S,6S)-9-chloro-4-methyl-13-oxa-4-azatetracyclo[12.4.0.0²,⁶.0⁷,¹²]octadeca-1(18),7,9,11,14,16-hexaene; (2Z)-but-2-enedioic acid</t>
  </si>
  <si>
    <t>Asenapine Maleate</t>
  </si>
  <si>
    <t>6-C11</t>
  </si>
  <si>
    <t>85650-56-2</t>
  </si>
  <si>
    <t>Binds to Histamine, dopamine, adrenergic and serotonin receptors</t>
  </si>
  <si>
    <t xml:space="preserve">Causes severe akathisia, oral hypoesthesia, somnolence, dizziness, extrapyramidal symptoms other than akathisia, weight gain, insomnia, extreme sedation, headache.
Rare side effects: Neuroleptic malignant syndrome (Combination of fever, muscle stiffness, faster breathing, sweating, reduced consciousness, and sudden change in blood pressure and heart rate.), tardive dyskinesia.
</t>
  </si>
  <si>
    <t>CC1=CC=CC=C1O[C@H](CCNC)C2=CC=CC=C2.Cl</t>
  </si>
  <si>
    <t>(3R)-N-methyl-3-(2-methylphenoxy)-3-phenylpropan-1-amine;hydrochloride</t>
  </si>
  <si>
    <t>6-D02</t>
  </si>
  <si>
    <t>82248-59-7</t>
  </si>
  <si>
    <t>Nootropic, Antidepressant</t>
  </si>
  <si>
    <t>Norepinephrine reuptake inhibitor</t>
  </si>
  <si>
    <t>The side effects include, dry mouth, tiredness, irritability, nausea, decreased appetite, constipation, dizziness, sweating, dysuria, sexual problems, decreased libido, urinary retention or hesitancy, increased obsessive behavior, weight changes, palpitations, increases in heart rate and blood pressure.
Confirmed cases of severe liver damage have been reported.</t>
  </si>
  <si>
    <t>CC(C)C1=C(C(=C(N1CC[C@H](C[C@H](CC(=O)[O-])O)O)C2=CC=C(C=C2)F)C3=CC=CC=C3)C(=O)NC4=CC=CC=C4.CC(C)C1=C(C(=C(N1CC[C@H](C[C@H](CC(=O)[O-])O)O)C2=CC=C(C=C2)F)C3=CC=CC=C3)C(=O)NC4=CC=CC=C4.[Ca+2]</t>
  </si>
  <si>
    <t>calcium;(3R,5R)-7-[2-(4-fluorophenyl)-3-phenyl-4-(phenylcarbamoyl)-5-propan-2-ylpyrrol-1-yl]-3,5-dihydroxyheptanoate</t>
  </si>
  <si>
    <t>6-D03</t>
  </si>
  <si>
    <t>134523-03-8</t>
  </si>
  <si>
    <t>Antihyperlipidemic</t>
  </si>
  <si>
    <t>HMG-CoA Reductase Inhibitor</t>
  </si>
  <si>
    <t>Hepatocellular toxicants [Elevated ALT (alanine transaminase) levels]</t>
  </si>
  <si>
    <t>C1=NC(=NC(=O)N1[C@H]2[C@@H]([C@@H]([C@H](O2)CO)O)O)N</t>
  </si>
  <si>
    <t>4-amino-1-[(2R,3R,4S,5R)-3,4-dihydroxy-5-(hydroxymethyl)oxolan-2-yl]-1,3,5-triazin-2-one</t>
  </si>
  <si>
    <t>6-D04</t>
  </si>
  <si>
    <t>320-67-2</t>
  </si>
  <si>
    <t xml:space="preserve">Causes inhibition of DNA methyltransferase at low doses, resulting in hypomethylation of DNA, and direct cytotoxicity in abnormal hematopoietic cells in the bone marrow through its incorporation into DNA and RNA at high doses, resulting in cell death. </t>
  </si>
  <si>
    <t xml:space="preserve">Life-threatening side effects include diarrhea, hepatotoxicity, hepatic coma, renal failure, renal tubular acidosis, leukopenia, anemia, thrombocytopenia, and neutropenia. </t>
  </si>
  <si>
    <t>C(CCCC(=O)O)CCCC(=O)O</t>
  </si>
  <si>
    <t>nonanedioic acid</t>
  </si>
  <si>
    <t>Azelaic Acid</t>
  </si>
  <si>
    <t>6-D05</t>
  </si>
  <si>
    <t>123-99-9</t>
  </si>
  <si>
    <t>Antineoplastic, Dermatologic</t>
  </si>
  <si>
    <t>Reversibly inhibits several oxidoreductive enzymes including tyrosinase, mitochondrial enzymes of the respiratory chain, thioredoxin reductase, 5-alpha-reductase, and DNA polymerases.</t>
  </si>
  <si>
    <t>In plants, azelaic acid serves as a "distress flare" involved in defense responses after infection. It serves as a signal that induces the accumulation of salicylic acid, an important component of a plant's defensive response.</t>
  </si>
  <si>
    <t>CN1CCCC(CC1)N2C(=O)C3=CC=CC=C3C(=N2)CC4=CC=C(C=C4)Cl.Cl</t>
  </si>
  <si>
    <t>4-[(4-chlorophenyl)methyl]-2-(1-methylazepan-4-yl)phthalazin-1-one;hydrochloride</t>
  </si>
  <si>
    <t>Azelastine·HCl</t>
  </si>
  <si>
    <t>6-D06</t>
  </si>
  <si>
    <t>79307-93-0</t>
  </si>
  <si>
    <t xml:space="preserve">A unique Histamine H1 receptor antagonist displaying broad spectrum anti-allergic and anti-inflammatory activity. It inhibits production of IL-6, TNF-&amp;alpha and IL-8 as well as NF-κB activation in human mast cells. In guinea pigs it inhibits leukotriene production and leukotriene-mediated acute lung anaphylaxis. 
</t>
  </si>
  <si>
    <t xml:space="preserve">Safe and well-tolerated in both adults and children (≥12 years) with allergic rhinitis. Bitter taste, headache, nasal burning and somnolence are the most frequently reported adverse events. </t>
  </si>
  <si>
    <t>CCC(C)C1C(=O)NC(C(=O)NC(C(=O)NC(C(=O)NC(C(=O)NCCCCC(C(=O)NC(C(=O)N1)CCCN)NC(=O)C(C(C)CC)NC(=O)C(CCC(=O)O)NC(=O)C(CC(C)C)NC(=O)C2CN=C(S2)C(C(C)CC)N)CC(=O)N)CC(=O)O)CC3=CN=CN3)CC4=CC=CC=C4</t>
  </si>
  <si>
    <t>(4R)-4-[[(2S)-2-[[2-[(1S)-1-amino-2-methylbutyl]-4,5-dihydro-1,3-thiazole-5-carbonyl]amino]-4-methylpentanoyl]amino]-5-[[(2S)-1-[[(3S,6R,9S,12R,15S,18R,21S)-3-(2-amino-2-oxoethyl)-18-(3-aminopropyl)-12-benzyl-15-butan-2-yl-6-(carboxymethyl)-9-(1H-imidazol-5-ylmethyl)-2,5,8,11,14,17,20-heptaoxo-1,4,7,10,13,16,19-heptazacyclopentacos-21-yl]amino]-3-methyl-1-oxopentan-2-yl]amino]-5-oxopentanoic acid</t>
  </si>
  <si>
    <t>Bacitracin</t>
  </si>
  <si>
    <t>6-D07</t>
  </si>
  <si>
    <t xml:space="preserve">Inhibits dephosphorylation of C55-isoprenyl pyrophosphate. Binds divalent transition metal ions (Mn(II), Co(II), Ni(II), Cu(II), and Zn(II)) which binds and oxidatively cleave DNA. </t>
  </si>
  <si>
    <t>As a toxic and difficult-to-use antibiotic, bacitracin does not work well orally. However, it is very effective topically, and is a common ingredient of eye and skin antibiotic preparations. Its action is on Gram-positive cell walls. It can cause contact dermatitis and cross-reacts with allergic sensitivity to sulfa-drugs.
When given intramuscularly, bacitracin's absorption is rapid and complete, but its nephrotoxicity has limited its use to infants only, and then in very specific circumstances. In 2010 it was approved by the US FDA by this route for the very narrow indication of treatment of infants with staphylococcal pneumonia and empyema when due to organisms shown to be susceptible to bacitracin. It can only be used where adequate laboratory facilities are available for checking the drug's concentration in blood.</t>
  </si>
  <si>
    <t>C1=CC(=CC=C1C(CC(=O)O)CN)Cl</t>
  </si>
  <si>
    <t>4-amino-3-(4-chlorophenyl)butanoic acid</t>
  </si>
  <si>
    <t>6-D08</t>
  </si>
  <si>
    <t>1134-47-0</t>
  </si>
  <si>
    <t>GABAB agonist. Skeletal muscle relaxant.</t>
  </si>
  <si>
    <t>Symptoms of a baclofen overdose include vomiting, weakness, drowsiness, slow breathing, seizures, unusual pupil size, pruritus/itching and coma.</t>
  </si>
  <si>
    <t>C1=CC(=CC=C1C(=O)NCCC(=O)O)NN=C2C=CC(=O)C(=C2)C(=O)O</t>
  </si>
  <si>
    <t>3-[[4-(2-carboxyethylcarbamoyl)phenyl]hydrazinylidene]-6-oxocyclohexa-1,4-diene-1-carboxylic acid</t>
  </si>
  <si>
    <t>Balsalazide</t>
  </si>
  <si>
    <t>6-D09</t>
  </si>
  <si>
    <t>80573-04-2</t>
  </si>
  <si>
    <t>Anti-inflammatory, Anti-Ulcer, Gastrointestinal Agent</t>
  </si>
  <si>
    <t>Balsalazide is metabolized to produce 5-aminosalicylic acid, an anti-inflammatory agent</t>
  </si>
  <si>
    <t>CCC(=O)OCC(=O)[C@]1([C@H](C[C@@H]2[C@@]1(C[C@@H](C3([C@H]2CCC4=CC(=O)C=C[C@@]43C)Cl)O)C)C)OC(=O)CC</t>
  </si>
  <si>
    <t>[2-[(8S,10S,11S,13S,14S,16S,17R)-9-chloro-11-hydroxy-10,13,16-trimethyl-3-oxo-17-propanoyloxy-6,7,8,11,12,14,15,16-octahydrocyclopenta[a]phenanthren-17-yl]-2-oxoethyl] propanoate</t>
  </si>
  <si>
    <t>Beclomethasone Dipropionate</t>
  </si>
  <si>
    <t>6-D10</t>
  </si>
  <si>
    <t>Anti-asthmatic, Anti-inflammatory</t>
  </si>
  <si>
    <t>Anti-inflammatory, synthetic glucocorticoid</t>
  </si>
  <si>
    <t>CCOC(=O)[C@H](CCC1=CC=CC=C1)N[C@H]2CCC3=CC=CC=C3N(C2=O)CC(=O)O.Cl</t>
  </si>
  <si>
    <t>2-[(3S)-3-[[(2S)-1-ethoxy-1-oxo-4-phenylbutan-2-yl]amino]-2-oxo-4,5-dihydro-3H-1-benzazepin-1-yl]acetic acid;hydrochloride</t>
  </si>
  <si>
    <t>Benazepril·HCl</t>
  </si>
  <si>
    <t>6-D11</t>
  </si>
  <si>
    <t> 86541-74-4</t>
  </si>
  <si>
    <t>ACE inhibitor</t>
  </si>
  <si>
    <t>Most commonly, headaches and cough can occur with its use. Anaphylaxis, angioedema and hyperkalemia, the elevation of potassium levels, can also occur. Benazepril may cause harm to the fetus during pregnancy.</t>
  </si>
  <si>
    <t>CN1C2=C(C=C(C=C2)N(CCCl)CCCl)N=C1CCCC(=O)O.Cl</t>
  </si>
  <si>
    <t>4-[5-[bis(2-chloroethyl)amino]-1-methylbenzimidazol-2-yl]butanoic acid;hydrochloride</t>
  </si>
  <si>
    <t>6-E02</t>
  </si>
  <si>
    <t>3543-75-7</t>
  </si>
  <si>
    <t>Nausea, fatigue, vomiting, diarrhea, fever, constipation, loss of appetite, cough, headache, unintentional weight loss, difficulty breathing, rashes, and stomatitis, as well as immunosuppression, anemia, and low platelet counts.</t>
  </si>
  <si>
    <t>C1=CC=C(C=C1)CC2NC3=C(C=C(C(=C3)C(F)(F)F)S(=O)(=O)N)S(=O)(=O)N2</t>
  </si>
  <si>
    <t>3-benzyl-1,1-dioxo-6-(trifluoromethyl)-3,4-dihydro-2H-1$l^{6},2,4-benzothiadiazine-7-sulfonamide</t>
  </si>
  <si>
    <t>Bendroflumethiazide</t>
  </si>
  <si>
    <t>6-E03</t>
  </si>
  <si>
    <t>73-48-3</t>
  </si>
  <si>
    <t>Diuretic, antihypertensive</t>
  </si>
  <si>
    <t xml:space="preserve">Inhibits active chloride reabsorption at the early distal tubule via the Na-Cl cotransporter and sodium ion transport across the renal tubular epithelium through binding to the thiazide sensitive sodium-chloride transporter. </t>
  </si>
  <si>
    <t>Common adverse effects include postural hypotension, hyponatraemia, hypokalaemia, hypercalcaemia, gout, impaired glucose tolerance, impotence. 
Rare adverse effects are thrombocytopenia, agranulocytosis, photosensitivity rash 
pancreatitis.</t>
  </si>
  <si>
    <t>CN1C2CCC1CC(C2)OC(C3=CC=CC=C3)C4=CC=CC=C4.CS(=O)(=O)O</t>
  </si>
  <si>
    <t>3-benzhydryloxy-8-methyl-8-azabicyclo[3.2.1]octane;methanesulfonic acid</t>
  </si>
  <si>
    <t>6-E04</t>
  </si>
  <si>
    <t>132-17-2</t>
  </si>
  <si>
    <t xml:space="preserve">Muscarinic acetylcholine receptor antagonist (M1). Inhibits the dopamine transporter. 
</t>
  </si>
  <si>
    <t xml:space="preserve">Side effects are principally anticholinergic in nature and include: Dry mouth, Blurred vision, 
Cognitive changes, Constipation, Urinary retention, Tachycardia, Psychosis (in overdose). </t>
  </si>
  <si>
    <t>C[N+](C)(C)CC(=O)[O-]</t>
  </si>
  <si>
    <t>2-(trimethylazaniumyl)acetate</t>
  </si>
  <si>
    <t xml:space="preserve">Betaine </t>
  </si>
  <si>
    <t>6-E05</t>
  </si>
  <si>
    <t>107-43-7</t>
  </si>
  <si>
    <t>Homocystinuria</t>
  </si>
  <si>
    <t>Homocysteine conversion to methionine</t>
  </si>
  <si>
    <t>Severe allergic reactions include rash; hives; itching; difficulty breathing; tightness in the chest; swelling of the mouth, face, lips, or tongue.</t>
  </si>
  <si>
    <t>CC(C[N+](C)(C)C)OC(=O)N.[Cl-]</t>
  </si>
  <si>
    <t>2-carbamoyloxypropyl(trimethyl)azanium;chloride</t>
  </si>
  <si>
    <t>Bethanechol Chloride</t>
  </si>
  <si>
    <t>6-E06</t>
  </si>
  <si>
    <t>590-63-6</t>
  </si>
  <si>
    <t>Parasympathomimetic</t>
  </si>
  <si>
    <t>Bethanechol directly stimulates cholinergic receptors in the parasympathetic nervous system while stimulating the ganglia to a lesser extent. Its effects are predominantly muscarinic, inducing little effect on nicotinic receptors and negligible effects on the cardiovascular system.</t>
  </si>
  <si>
    <t>Contraindicated in patients with asthma, coronary insufficiency, peptic ulcers, intestinal obstruction and hyperthyroidism. The parasympathomimetic action of this drug will exacerbate the symptoms of these disorders.</t>
  </si>
  <si>
    <t>CCNC(=O)CCC/C=C/C[C@H]1[C@H](C[C@H]([C@@H]1/C=C/[C@H](CCC2=CC=CC=C2)O)O)O</t>
  </si>
  <si>
    <t>(E)-7-[(1R,2R,3R,5S)-3,5-dihydroxy-2-[(E,3S)-3-hydroxy-5-phenylpent-1-enyl]cyclopentyl]-N-ethylhept-5-enamide</t>
  </si>
  <si>
    <t>Bimatoprost</t>
  </si>
  <si>
    <t>6-E07</t>
  </si>
  <si>
    <t>155206-00-1</t>
  </si>
  <si>
    <t xml:space="preserve">Antihypertensive, Antiglaucomic </t>
  </si>
  <si>
    <t xml:space="preserve">Stable analog of PGF2α. Agonist at FP receptors (after in vivo hydrolysis to the free acid). It is an efficacious treatment for glaucoma. It also displays an unusual eye lash lengthening effect. 
</t>
  </si>
  <si>
    <t xml:space="preserve">May cause blurred vision, eyelid redness, permanent eyelashe darkening, eye discomfort. 
May eventually cause permanent darkening of the iris to brown. </t>
  </si>
  <si>
    <t>C1CCN(CC1)CCC(C2CC3CC2C=C3)(C4=CC=CC=C4)O.Cl</t>
  </si>
  <si>
    <t>1-(5-bicyclo[2.2.1]hept-2-enyl)-1-phenyl-3-piperidin-1-ylpropan-1-ol;hydrochloride</t>
  </si>
  <si>
    <t>Biperiden·HCl</t>
  </si>
  <si>
    <t>6-E08</t>
  </si>
  <si>
    <t>1235-82-1</t>
  </si>
  <si>
    <t>Antiparkinson treatment</t>
  </si>
  <si>
    <t xml:space="preserve">Muscarinic receptor antagonist that displays some selectivity for the M1 subtype. </t>
  </si>
  <si>
    <t xml:space="preserve">Dose-dependent side effects are frequent. Particularly geriatric patients may react with confusional states or develop delirium. 
CNS : Drowsiness, vertigo, headache, and dizziness are frequent. With high doses nervousness, agitation, anxiety, delirium, and confusion are noted. Biperiden may be abused due to a short acting mood-elevating and euphoriant effect. 
Peripheral side effects : Blurred vision, dry mouth, impaired sweating, abdominal discomfort, and obstipation are frequent. Allergic skin reactions may occur. Parenteral use may cause orthostatic hypotension. 
Eyes : Biperiden causes mydriasis with or without photophobia. It may precipitate narrow angle glaucoma. </t>
  </si>
  <si>
    <t>CC(C)NCC(COC1=CC=C(C=C1)COCCOC(C)C)O.CC(C)NCC(COC1=CC=C(C=C1)COCCOC(C)C)O.C(=CC(=O)O)C(=O)O</t>
  </si>
  <si>
    <t>but-2-enedioic acid;1-(propan-2-ylamino)-3-[4-(2-propan-2-yloxyethoxymethyl)phenoxy]propan-2-ol</t>
  </si>
  <si>
    <t>Bisoprolol Fumarate</t>
  </si>
  <si>
    <t>6-E09</t>
  </si>
  <si>
    <t>104344-23-2</t>
  </si>
  <si>
    <t>Cardioselective β1-adrenergic blocking agent used for secondary prevention of myocardial infarction (MI), heart failure, angina pectoris and mild to moderate hypertension.</t>
  </si>
  <si>
    <t xml:space="preserve">Overdose of bisoprolol leads to fatigue, hypotension, low blood sugar, bronchospasms and bradycardia. </t>
  </si>
  <si>
    <t>C1CN=C(N1)NC2=C(C3=NC=CN=C3C=C2)Br</t>
  </si>
  <si>
    <t>5-bromo-N-(4,5-dihydro-1H-imidazol-2-yl)quinoxalin-6-amine</t>
  </si>
  <si>
    <t>Brimonidine</t>
  </si>
  <si>
    <t>6-E10</t>
  </si>
  <si>
    <t>59803-98-4</t>
  </si>
  <si>
    <t>Glaucoma treatment</t>
  </si>
  <si>
    <t>Alpha adrenergic receptor agonist (primarily alpha-2).</t>
  </si>
  <si>
    <t>Side effects are reported in 10% to 30% of patients and include fatigue/drowsiness, headache, ocular hyperemia, burning and stinging, blurring, foreign body sensation, conjunctival follicles, and ocular allergic reactions.</t>
  </si>
  <si>
    <t>C1=CC(=C(C(=C1)CC(=O)O)N)C(=O)C2=CC=C(C=C2)Br</t>
  </si>
  <si>
    <t>2-[2-amino-3-(4-bromobenzoyl)phenyl]acetic acid</t>
  </si>
  <si>
    <t xml:space="preserve">Bromfenac </t>
  </si>
  <si>
    <t>6-E11</t>
  </si>
  <si>
    <t>91714-94-2</t>
  </si>
  <si>
    <t xml:space="preserve">Blocks prostaglandin synthesis by inhibiting cyclooxygenase 1 and 2. </t>
  </si>
  <si>
    <t>Side effects associated with the treatment of postoperative inflammation have included abnormal sensation in the eye, conjunctival hyperemia, eye irritation, eye pain, eye pruritus, eye redness, headache, and iritis in 2% to 7% of patients. Corneal erosion, corneal perforation, corneal thinning, and epithelial breakdown have also been reported.</t>
  </si>
  <si>
    <t>CN(C)CCC(C1=CC=C(C=C1)Br)C2=CC=CC=N2.C(=C\C(=O)O)\C(=O)O</t>
  </si>
  <si>
    <t>3-(4-bromophenyl)-N,N-dimethyl-3-pyridin-2-ylpropan-1-amine;(Z)-but-2-enedioic acid</t>
  </si>
  <si>
    <t>Brompheniramine Maleate</t>
  </si>
  <si>
    <t>6-F02</t>
  </si>
  <si>
    <t> 980-71-2</t>
  </si>
  <si>
    <t xml:space="preserve">Antiallergic </t>
  </si>
  <si>
    <t>Antagonist of the H1 histamine receptors. Functions also as a moderately effective anticholingeric agent, likely an antimuscarinic agent similar to other common antihistamines such as diphenhydramine.</t>
  </si>
  <si>
    <t>Its effects on the cholinergic system may include side-effects such as drowsiness, sedation, dry mouth, dry throat, blurred vision, and increased heart rate.</t>
  </si>
  <si>
    <t>CCCC1O[C@H]2C[C@H]3[C@@H]4CCC5=CC(=O)C=C[C@@]5([C@H]4[C@H](C[C@@]3([C@@]2(O1)C(=O)CO)C)O)C</t>
  </si>
  <si>
    <t>(1S,2S,4R,8S,9S,11S,12S,13R)-11-hydroxy-8-(2-hydroxyacetyl)-9,13-dimethyl-6-propyl-5,7-dioxapentacyclo[10.8.0.0²,⁹.0⁴,⁸.0¹³,¹⁸]icosa-14,17-dien-16-one</t>
  </si>
  <si>
    <t>Budesonide</t>
  </si>
  <si>
    <t>6-F03</t>
  </si>
  <si>
    <t>51333-22-3</t>
  </si>
  <si>
    <t>Anti-inflammatory, Bronchodilator</t>
  </si>
  <si>
    <t xml:space="preserve"> Binds to the glucocorticoid receptor (GR). The activated GR complex in turn up-regulates the expression of anti-inflammatory proteins in the nucleus (a process known as transactivation) and represses the expression of pro-inflammatory proteins in the cytosol by preventing the translocation of other transcription factors from the cytosol into the nucleus (transrepression).</t>
  </si>
  <si>
    <t xml:space="preserve">Budesonide may cause nose irritation or burning, bleeding or sores in the nose, 
lightheadedness, upset stomach, cough, hoarseness, dry mouth, rash, sore throat, 
muscle cramps. 
In addition, the following symptoms should be reported immediately: difficulty breathing or swelling of the face, severe acne, behavioral changes — when these do occur, they seem to mostly affect children. </t>
  </si>
  <si>
    <t>CC(C(=O)C1=CC(=CC=C1)Cl)NC(C)(C)C</t>
  </si>
  <si>
    <t>2-(tert-butylamino)-1-(3-chlorophenyl)propan-1-one</t>
  </si>
  <si>
    <t xml:space="preserve">Bupropion </t>
  </si>
  <si>
    <t>6-F04</t>
  </si>
  <si>
    <t>34911-55-2</t>
  </si>
  <si>
    <t>An inhibitor of the neuronal reuptake of dopamine, norepinephrine, and serotonin</t>
  </si>
  <si>
    <t>Hypertesntion and seizures are possible side effects.</t>
  </si>
  <si>
    <t>CS(=O)(=O)OCCCCOS(=O)(=O)C</t>
  </si>
  <si>
    <t>4-methylsulfonyloxybutyl methanesulfonate</t>
  </si>
  <si>
    <t>Busulfan</t>
  </si>
  <si>
    <t>6-F05</t>
  </si>
  <si>
    <t>55-98-1</t>
  </si>
  <si>
    <t>Antineoplastic bifunctional, DNA alkylating agent that causes DNA damage by cross-linking DNA and proteins. Causes double-base lesions mainly at 5’-GA-3’ and, to a lesser extent, at 5’-GG-3’ sequences. Forms an intrastrand cross-link at the 5’-GA-3’ sequence, in addition to monoalkylation. Selectively induces normal human fibroblast senescence through Erk and p38 pathways.</t>
  </si>
  <si>
    <t>Risk of endocardial fibrosis.</t>
  </si>
  <si>
    <t>6-F06</t>
  </si>
  <si>
    <t>6-F07</t>
  </si>
  <si>
    <t xml:space="preserve">Inhibits protein synthesis by binding to the 70S ribosomal unit. </t>
  </si>
  <si>
    <t xml:space="preserve">Adverse effects include nephrotoxicity and 8th cranial nerve toxicity.
</t>
  </si>
  <si>
    <t>CN(C)CCOC(C1=CC=C(C=C1)Cl)C2=CC=CC=N2.C(=C\C(=O)O)\C(=O)O</t>
  </si>
  <si>
    <t>(Z)-but-2-enedioic acid;2-[(4-chlorophenyl)-pyridin-2-ylmethoxy]-N,N-dimethylethanamine</t>
  </si>
  <si>
    <t>Carbinoxamine Maleate</t>
  </si>
  <si>
    <t>6-F08</t>
  </si>
  <si>
    <t>3505-38-2</t>
  </si>
  <si>
    <t xml:space="preserve"> Antihistamine, anticholinergic</t>
  </si>
  <si>
    <t>Competes with free histamine for binding at HA-receptor sites. This antagonizes the effects of histamine on HA-receptors, leading to a reduction of the negative symptoms brought on by histamine HA-receptor binding. Carbinoxamine's anticholinergic action appears to be due to a central antimuscarinic effect, which also may be responsible for its antiemetic effects, although the exact mechanism is unknown.</t>
  </si>
  <si>
    <t>In June 2006 the FDA announced that more than 120 branded pharmacy products containing carbinoxamine were being illegally marketed, and demanded they be removed from the marketplace. This action was precipitated by twenty-one reported deaths in children under the age of two who had been administered carbinoxamine-containing products. Despite the fact that the drug had not been studied in this age group, a multitude of OTC preparations containing carbinoxamine were being marketed for infants and toddlers. At present, all carbinoxamine-containing formulations are approved only for adults or children ages 3 or older.</t>
  </si>
  <si>
    <t>C(CC(=O)O)[C@@H](C(=O)O)NC(=O)N</t>
  </si>
  <si>
    <t>(2S)-2-(carbamoylamino)pentanedioic acid</t>
  </si>
  <si>
    <t>Carglumic Acid</t>
  </si>
  <si>
    <t>6-F09</t>
  </si>
  <si>
    <t>1188-38-1</t>
  </si>
  <si>
    <t>Hyperammonaemia treatment</t>
  </si>
  <si>
    <t>Synthetic structural analogue of N-acetylglutamate (NAG), which is an essential allosteric activator of the liver enzyme carbamoyl phosphate synthetase 1 (CPS1). CPS1 is the first enzyme of the urea cycle, which converts ammonia into urea. Carglumic acid acts as a replacement for NAG in NAGS deficiency patients by activating CPS1.</t>
  </si>
  <si>
    <t xml:space="preserve">Side effects include vomiting (26%), abdominal pain (17%), tonsillitis (17%), diarrhea (13%), nasopharyngitis (13%), headache (13%), influenza (9%) and pneumonia (9%). </t>
  </si>
  <si>
    <t>6-F10</t>
  </si>
  <si>
    <t>C(CCl)NC(=O)N(CCCl)N=O</t>
  </si>
  <si>
    <t>1,3-bis(2-chloroethyl)-1-nitrosourea</t>
  </si>
  <si>
    <t>Carmustine</t>
  </si>
  <si>
    <t>6-F11</t>
  </si>
  <si>
    <t>154-93-8</t>
  </si>
  <si>
    <t>Nitrogen Mustard Alkylating Agent, DNA Crosslinker</t>
  </si>
  <si>
    <t>Causes severe, sometimes delayed, myelosuppression.</t>
  </si>
  <si>
    <t>C1C(=C(N2C(S1)C(C2=O)NC(=O)C(C3=CC=CC=C3)N)C(=O)O)Cl</t>
  </si>
  <si>
    <t>(6R,7R)-7-[[(2R)-2-amino-2-phenylacetyl]amino]-3-chloro-8-oxo-5-thia-1-azabicyclo[4.2.0]oct-2-ene-2-carboxylic acid</t>
  </si>
  <si>
    <t>Cefaclor</t>
  </si>
  <si>
    <t>6-G02</t>
  </si>
  <si>
    <t>53994-73-3</t>
  </si>
  <si>
    <t>2nd Generation cefalosporin. Bacterial cell-wall synthesis inhibitor.</t>
  </si>
  <si>
    <t>The principal side effect of the cephalosporins is hypersensitivity. Up to about 10% of penicillin-sensitive patients will also be allergic to the cephalosporins, depending on the cephalosporin generation. Allergic reactions may present as, for example, rashes, pruritus (itching), urticaria, serum sickness-like reactions with rashes, fever and arthralgia, and anaphylaxis.</t>
  </si>
  <si>
    <t>CC1=C(N2[C@@H]([C@@H](C2=O)NC(=O)[C@@H](C3=CC=C(C=C3)O)N)SC1)C(=O)O.O</t>
  </si>
  <si>
    <t>(6R,7R)-7-[[(2R)-2-amino-2-(4-hydroxyphenyl)acetyl]amino]-3-methyl-8-oxo-5-thia-1-azabicyclo[4.2.0]oct-2-ene-2-carboxylic acid;hydrate</t>
  </si>
  <si>
    <t>Cefadroxil Monohydrate</t>
  </si>
  <si>
    <t>6-G03</t>
  </si>
  <si>
    <t>66592-87-8</t>
  </si>
  <si>
    <t>1st Generation cefalosporin. Bacterial cell-wall synthesis inhibitor.</t>
  </si>
  <si>
    <t>CC1=NN=C(S1)SCC2=C(N3[C@@H]([C@@H](C3=O)NC(=O)CN4C=NN=N4)SC2)C(=O)[O-].[Na+]</t>
  </si>
  <si>
    <t>sodium;(6R,7R)-3-[(5-methyl-1,3,4-thiadiazol-2-yl)sulfanylmethyl]-8-oxo-7-[[2-(tetrazol-1-yl)acetyl]amino]-5-thia-1-azabicyclo[4.2.0]oct-2-ene-2-carboxylate</t>
  </si>
  <si>
    <t>6-G04</t>
  </si>
  <si>
    <t>27164-46-1</t>
  </si>
  <si>
    <t>C=CC1=C(N2[C@@H]([C@@H](C2=O)NC(=O)/C(=N\O)/C3=CSC(=N3)N)SC1)C(=O)O</t>
  </si>
  <si>
    <t>(6R,7R)-7-[[(2Z)-2-(2-amino-1,3-thiazol-4-yl)-2-hydroxyiminoacetyl]amino]-3-ethenyl-8-oxo-5-thia-1-azabicyclo[4.2.0]oct-2-ene-2-carboxylic acid</t>
  </si>
  <si>
    <t>Cefdinir</t>
  </si>
  <si>
    <t>6-G05</t>
  </si>
  <si>
    <t>91832-40-5</t>
  </si>
  <si>
    <t>3rd Generation cefalosporin. Bacterial cell-wall synthesis inhibitor.</t>
  </si>
  <si>
    <t>CC1=C(SC=N1)/C=C\C2=C(N3[C@@H]([C@@H](C3=O)NC(=O)/C(=N/OC)/C4=CSC(=N4)N)SC2)C(=O)OCOC(=O)C(C)(C)C</t>
  </si>
  <si>
    <t>2,2-dimethylpropanoyloxymethyl (6R,7R)-7-[[(2E)-2-(2-amino-1,3-thiazol-4-yl)-2-methoxyiminoacetyl]amino]-3-[(Z)-2-(4-methyl-1,3-thiazol-5-yl)ethenyl]-8-oxo-5-thia-1-azabicyclo[4.2.0]oct-2-ene-2-carboxylate</t>
  </si>
  <si>
    <t>Cefditoren Pivoxil</t>
  </si>
  <si>
    <t>6-G06</t>
  </si>
  <si>
    <t>117467-28-4</t>
  </si>
  <si>
    <t>C=CC1=C(N2[C@@H]([C@@H](C2=O)NC(=O)/C(=N\OCC(=O)O)/C3=CSC(=N3)N)SC1)C(=O)O</t>
  </si>
  <si>
    <t>(6R,7R)-7-[[(2Z)-2-(2-amino-1,3-thiazol-4-yl)-2-(carboxymethoxyimino)acetyl]amino]-3-ethenyl-8-oxo-5-thia-1-azabicyclo[4.2.0]oct-2-ene-2-carboxylic acid</t>
  </si>
  <si>
    <t>Cefixime</t>
  </si>
  <si>
    <t>6-G07</t>
  </si>
  <si>
    <t>79350-37-1</t>
  </si>
  <si>
    <t>CN1C(=NN=N1)SCC2=C(N3[C@@H]([C@@](C3=O)(NC(=O)C4SC(=C(C(=O)N)C(=O)[O-])S4)OC)SC2)C(=O)[O-].[Na+].[Na+]</t>
  </si>
  <si>
    <t>disodium;(6R,7S)-7-[[4-(2-amino-1-carboxylato-2-oxoethylidene)-1,3-dithietane-2-carbonyl]amino]-7-methoxy-3-[(1-methyltetrazol-5-yl)sulfanylmethyl]-8-oxo-5-thia-1-azabicyclo[4.2.0]oct-2-ene-2-carboxylate</t>
  </si>
  <si>
    <t>Cefotetan Disodium</t>
  </si>
  <si>
    <t>6-G08</t>
  </si>
  <si>
    <t>74356-00-6</t>
  </si>
  <si>
    <t>Cefalosporin. Bacterial cell-wall synthesis inhibitor.</t>
  </si>
  <si>
    <t>CO[C@@]1([C@@H]2N(C1=O)C(=C(CS2)COC(=O)N)C(=O)[O-])NC(=O)CC3=CC=CS3.[Na+]</t>
  </si>
  <si>
    <t>sodium;(6R,7S)-3-(carbamoyloxymethyl)-7-methoxy-8-oxo-7-[(2-thiophen-2-ylacetyl)amino]-5-thia-1-azabicyclo[4.2.0]oct-2-ene-2-carboxylate</t>
  </si>
  <si>
    <t>Cefoxitin·Na</t>
  </si>
  <si>
    <t>6-G09</t>
  </si>
  <si>
    <t>33564-30-6</t>
  </si>
  <si>
    <t>CC(C)OC(=O)OC(C)OC(=O)C1=C(CS[C@H]2N1C(=O)[C@H]2NC(=O)C(=NOC)C3=CSC(=N3)N)COC</t>
  </si>
  <si>
    <t>1-propan-2-yloxycarbonyloxyethyl (6R,7R)-7-[[2-(2-amino-1,3-thiazol-4-yl)-2-methoxyiminoacetyl]amino]-3-(methoxymethyl)-8-oxo-5-thia-1-azabicyclo[4.2.0]oct-2-ene-2-carboxylate</t>
  </si>
  <si>
    <t>Cefpodoxime Proxetil</t>
  </si>
  <si>
    <t>6-G10</t>
  </si>
  <si>
    <t> 87239-81-4</t>
  </si>
  <si>
    <t>C/C=C/C1=C(N2[C@H]([C@@H](C2=O)NC(=O)[C@@H](C3=CC=C(C=C3)O)N)SC1)C(=O)O</t>
  </si>
  <si>
    <t>(6S,7R)-7-[[(2R)-2-amino-2-(4-hydroxyphenyl)acetyl]amino]-8-oxo-3-[(E)-prop-1-enyl]-5-thia-1-azabicyclo[4.2.0]oct-2-ene-2-carboxylic acid</t>
  </si>
  <si>
    <t>Cefprozil</t>
  </si>
  <si>
    <t>6-G11</t>
  </si>
  <si>
    <t>92665-29-7</t>
  </si>
  <si>
    <t>C1C=C(N2[C@H](S1)[C@@H](C2=O)NC(=O)/C(=C\CC(=O)O)/C3=CSC(=N3)N)C(=O)O</t>
  </si>
  <si>
    <t>(6R,7R)-7-[[(Z)-2-(2-amino-1,3-thiazol-4-yl)-4-carboxybut-2-enoyl]amino]-8-oxo-5-thia-1-azabicyclo[4.2.0]oct-2-ene-2-carboxylic acid</t>
  </si>
  <si>
    <t>Ceftibuten</t>
  </si>
  <si>
    <t>6-H02</t>
  </si>
  <si>
    <t>97519-39-6</t>
  </si>
  <si>
    <t>CO/N=C(\C1=CSC(=N1)N)/C(=O)N[C@H]2[C@@H]3N(C2=O)C(=CCS3)C(=O)[O-].[Na+]</t>
  </si>
  <si>
    <t>sodium;(6R,7R)-7-[[(2E)-2-(2-amino-1,3-thiazol-4-yl)-2-methoxyiminoacetyl]amino]-8-oxo-5-thia-1-azabicyclo[4.2.0]oct-2-ene-2-carboxylate</t>
  </si>
  <si>
    <t>Ceftizoxim·Na</t>
  </si>
  <si>
    <t>6-H03</t>
  </si>
  <si>
    <t>68401-82-1</t>
  </si>
  <si>
    <t>CN1C(=NC(=O)C(=O)N1)SCC2=C(N3[C@@H]([C@@H](C3=O)NC(=O)/C(=N\OC)/C4=CSC(=N4)N)SC2)C(=O)[O-].[Na+]</t>
  </si>
  <si>
    <t>sodium;7-[[(2Z)-2-(2-amino-1,3-thiazol-4-yl)-2-methoxyiminoacetyl]amino]-3-[(2-methyl-5,6-dioxo-1H-1,2,4-triazin-3-yl)sulfanylmethyl]-8-oxo-5-thia-1-azabicyclo[4.2.0]oct-2-ene-2-carboxylate</t>
  </si>
  <si>
    <t>Ceftriaxone·Na</t>
  </si>
  <si>
    <t>6-H04</t>
  </si>
  <si>
    <t>104376-79-6</t>
  </si>
  <si>
    <t>Hypoprothombinaemia and bleeding are specific side effects. Haemolysis is reported. Biliary sludging is another known though rare adverse effect which occurs primarily in neonates</t>
  </si>
  <si>
    <t>CC(OC(=O)C)OC(=O)C1=C(CS[C@H]2N1C(=O)[C@H]2NC(=O)/C(=N/OC)/C3=CC=CO3)COC(=O)N</t>
  </si>
  <si>
    <t>1-acetyloxyethyl (6R,7R)-3-(carbamoyloxymethyl)-7-[[(2E)-2-(furan-2-yl)-2-methoxyiminoacetyl]amino]-8-oxo-5-thia-1-azabicyclo[4.2.0]oct-2-ene-2-carboxylate</t>
  </si>
  <si>
    <t>Cefuroxime Axetil</t>
  </si>
  <si>
    <t>6-H05</t>
  </si>
  <si>
    <t>64544-07-6</t>
  </si>
  <si>
    <t>CO/N=C(\C1=CC=CO1)/C(=O)N[C@H]2[C@@H]3N(C2=O)C(=C(CS3)COC(=O)N)C(=O)[O-].[Na+]</t>
  </si>
  <si>
    <t>sodium;(6R,7R)-3-(carbamoyloxymethyl)-7-[[(2E)-2-(furan-2-yl)-2-methoxyiminoacetyl]amino]-8-oxo-5-thia-1-azabicyclo[4.2.0]oct-2-ene-2-carboxylate</t>
  </si>
  <si>
    <t>Cefuroxime·Na</t>
  </si>
  <si>
    <t>6-H06</t>
  </si>
  <si>
    <t>56238-63-2</t>
  </si>
  <si>
    <t>CC1=C(N2[C@@H]([C@@H](C2=O)NC(=O)[C@@H](C3=CC=CC=C3)N)SC1)C(=O)O.O</t>
  </si>
  <si>
    <t>(6R,7R)-7-[[(2R)-2-amino-2-phenylacetyl]amino]-3-methyl-8-oxo-5-thia-1-azabicyclo[4.2.0]oct-2-ene-2-carboxylic acid;hydrate</t>
  </si>
  <si>
    <t>Cephalexin Monohydrate</t>
  </si>
  <si>
    <t>6-H07</t>
  </si>
  <si>
    <t>23325-78-2</t>
  </si>
  <si>
    <t>C[C@H](CCC(=O)O)[C@H]1CC[C@@H]2[C@@]1(CC[C@H]3[C@H]2[C@@H](C[C@H]4[C@@]3(CC[C@H](C4)O)C)O)C</t>
  </si>
  <si>
    <t>(4R)-4-[(3R,5S,7R,8R,9S,10S,13R,14S,17R)-3,7-dihydroxy-10,13-dimethyl-2,3,4,5,6,7,8,9,11,12,14,15,16,17-tetradecahydro-1H-cyclopenta[a]phenanthren-17-yl]pentanoic acid</t>
  </si>
  <si>
    <t>6-H08</t>
  </si>
  <si>
    <t>474-25-9</t>
  </si>
  <si>
    <t>Cholagogue and Choleretic</t>
  </si>
  <si>
    <t>Suppresses hepatic synthesis of both cholesterol and cholic acid, gradually replacing the latter and its metabolite, deoxycholic acid in an expanded bile acid pool. These actions contribute to biliary cholesterol desaturation and gradual dissolution of radiolucent cholesterol gallstones</t>
  </si>
  <si>
    <t>Hepatotoxic.</t>
  </si>
  <si>
    <t>6-H09</t>
  </si>
  <si>
    <t>C1=CC(=CC=C1NC(=NC(=NCCCCCCN=C(N)N=C(N)NC2=CC=C(C=C2)Cl)N)N)Cl.Cl.Cl</t>
  </si>
  <si>
    <t>(1E)-2-[6-[[amino-[(E)-[amino-(4-chloroanilino)methylidene]amino]methylidene]amino]hexyl]-1-[amino-(4-chloroanilino)methylidene]guanidine;dihydrochloride</t>
  </si>
  <si>
    <t>Chlorhexidine Dihydrochloride</t>
  </si>
  <si>
    <t>6-H10</t>
  </si>
  <si>
    <t>3697-42-5</t>
  </si>
  <si>
    <t xml:space="preserve">Anti-infective, disinfectant </t>
  </si>
  <si>
    <t>Antimicrobial effects are associated with the attractions between chlorhexidine (cation) and negatively charged bacterial cells. After chlorhexidine is absorpted onto the organism's cell wall, it disrupts the integrity of the cell membrane and causes the leakage of intracellular components of the organisms.</t>
  </si>
  <si>
    <t>Chlorhexidine is deactivated by anionic compounds, including the anionic surfactants commonly used as detergents in toothpastes and mouthwashes, anionic thickeners such as carbomer, and anionic emulsifiers such as acrylates. For this reason, chlorhexidine mouth rinses should be used at least 30 minutes after other dental products.</t>
  </si>
  <si>
    <t>C1=C2C(=CC(=C1Cl)S(=O)(=O)N)S(=O)(=O)N=CN2</t>
  </si>
  <si>
    <t>6-chloro-1,1-dioxo-4H-1$l^{6},2,4-benzothiadiazine-7-sulfonamide</t>
  </si>
  <si>
    <t>Chlorothiazide</t>
  </si>
  <si>
    <t>6-H11</t>
  </si>
  <si>
    <t>58-94-6</t>
  </si>
  <si>
    <t xml:space="preserve">Carbonic anhydrase inhibitor. Inhibits active chloride reabsorption at the early distal tubule via the Na-Cl cotransporter, resulting in an increase in the excretion of sodium, chloride, and water. </t>
  </si>
  <si>
    <t xml:space="preserve">Side effects: Nausea, Vomiting, Headache, Dizziness, Excess urine production, Dehydration
Hypoelectrolytemia (esp. hypokalemia / hypomagnesia)
</t>
  </si>
  <si>
    <t>CCCNC(=O)NS(=O)(=O)C1=CC=C(C=C1)Cl</t>
  </si>
  <si>
    <t>1-(4-chlorophenyl)sulfonyl-3-propylurea</t>
  </si>
  <si>
    <t>Chlorpropamide</t>
  </si>
  <si>
    <t>7-A02</t>
  </si>
  <si>
    <t>94-20-2</t>
  </si>
  <si>
    <t>Hypoglycemic Agent</t>
  </si>
  <si>
    <t>Binds to ATP-sensitive potassium channels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</si>
  <si>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Chlorpropamide and other sulfonylureas encourage weight gain, so they are generally not favored for use in very obese patients. Metformin (Glucophage) is considered a better drug for these patients. Sulfonylureas should be used with caution or generally avoided in patients with hepatic and renal impairment, patients with porphyria, patients who are breastfeeding, patients with ketoacidosis, and elderly patients.</t>
  </si>
  <si>
    <t>C1=CC=C2C(=C1)C(=O)NC2(C3=CC(=C(C=C3)Cl)S(=O)(=O)N)O</t>
  </si>
  <si>
    <t>2-chloro-5-(1-hydroxy-3-oxo-2H-isoindol-1-yl)benzenesulfonamide</t>
  </si>
  <si>
    <t>Chlorthalidone</t>
  </si>
  <si>
    <t>7-A03</t>
  </si>
  <si>
    <t>77-36-1</t>
  </si>
  <si>
    <t>Inhibits sodium ion transport across the renal tubular epithelium in the cortical diluting segment of the ascending limb of the loop of Henle. By increasing the delivery of sodium to the distal renal tubule, Chlorthalidone indirectly increases potassium excretion via the sodium-potassium exchange mechanism.</t>
  </si>
  <si>
    <t>Symptoms of overdose include nausea, weakness, dizziness and disturbances of electrolyte balance.</t>
  </si>
  <si>
    <t>C1=CC2=C(C=C1Cl)NC(=O)O2</t>
  </si>
  <si>
    <t>5-chloro-3H-1,3-benzoxazol-2-one</t>
  </si>
  <si>
    <t>Chlorzoxazone</t>
  </si>
  <si>
    <t>7-A04</t>
  </si>
  <si>
    <t>95-25-0</t>
  </si>
  <si>
    <t xml:space="preserve">Muscle relaxant </t>
  </si>
  <si>
    <t xml:space="preserve">A centrally acting muscle relaxant used to treat muscle spasm and the resulting pain or discomfort. inhibits degranulation of mast cells, subsequently preventing the release of histamine and slow-reacting substance of anaphylaxis (SRS-A), mediators of type I allergic reactions. Chlorzoxazone also may reduce the release of inflammatory leukotrienes. Chlorzoxazone may act by inhibiting calcium and potassium influx which would lead to neuronal inhibition and muscle relaxation. </t>
  </si>
  <si>
    <t>Hepatotoxic; Bioactivation to reactive metabolites by liver cytochrome P-450.</t>
  </si>
  <si>
    <t>CC(C)C(=O)OCC(=O)[C@@]12[C@@H](C[C@@H]3[C@@]1(C[C@@H]([C@H]4[C@H]3CCC5=CC(=O)C=C[C@]45C)O)C)O[C@H](O2)C6CCCCC6</t>
  </si>
  <si>
    <t>2-[(1S,2S,4R,6R,8S,9S,11S,12S,13R)-6-cyclohexyl-11-hydroxy-9,13-dimethyl-16-oxo-5,7-dioxapentacyclo[10.8.0.0²,⁹.0⁴,⁸.0¹³,¹⁸]icosa-14,17-dien-8-yl]-2-oxoethyl 2-methylpropanoate</t>
  </si>
  <si>
    <t>Ciclesonide</t>
  </si>
  <si>
    <t>7-A05</t>
  </si>
  <si>
    <t>126544-47-6</t>
  </si>
  <si>
    <t>Inhibits rhinitis and treatment for allergy</t>
  </si>
  <si>
    <t>Glucocorticoid</t>
  </si>
  <si>
    <t>CC1=CC(=O)N(C(=C1)C2CCCCC2)O</t>
  </si>
  <si>
    <t>6-cyclohexyl-1-hydroxy-4-methylpyridin-2-one</t>
  </si>
  <si>
    <t>Ciclopirox</t>
  </si>
  <si>
    <t>7-A06</t>
  </si>
  <si>
    <t>29342-05-0</t>
  </si>
  <si>
    <t xml:space="preserve">Acts through the chelation of polyvalent metal cations, such as Fe3+ and Al3+. These cations inhibit many enzymes, including cytochromes, thus disrupting cellular activities such as mitochondrial electron transport processes and energy production. Ciclopirox also appears to modify the plasma membrane of fungi, resulting in the disorganization of internal structures. The anti-inflammatory action of ciclopirox is most likely due to inhibition of 5-lipoxygenase and cyclooxygenase. ciclopirox may exert its effect by disrupting DNA repair, cell division signals and structures (mitotic spindles) as well as some elements of intracellular transport. </t>
  </si>
  <si>
    <t>Symptoms of overexposure include drowsiness and headache.</t>
  </si>
  <si>
    <t>C1=CN(C(=O)N=C1N)C[C@@H](CO)OCP(=O)(O)O</t>
  </si>
  <si>
    <t>[(2S)-1-(4-amino-2-oxopyrimidin-1-yl)-3-hydroxypropan-2-yl]oxymethylphosphonic acid</t>
  </si>
  <si>
    <t>Cidofovir</t>
  </si>
  <si>
    <t>7-A07</t>
  </si>
  <si>
    <t>113852-37-2</t>
  </si>
  <si>
    <t>Acts through the selective inhibition of viral DNA polymerase.</t>
  </si>
  <si>
    <t xml:space="preserve">Nephrotoxic. Probenecid (a uricosuric drug) is usually prescribed to prevent this nephrotoxicity.
</t>
  </si>
  <si>
    <t>C1CCC(CC1)N2C(=NN=N2)CCCCOC3=CC4=C(C=C3)NC(=O)CC4</t>
  </si>
  <si>
    <t>6-[4-(1-cyclohexyltetrazol-5-yl)butoxy]-3,4-dihydro-1H-quinolin-2-one</t>
  </si>
  <si>
    <t>Cilostazol</t>
  </si>
  <si>
    <t>7-A08</t>
  </si>
  <si>
    <t>73963-72-1</t>
  </si>
  <si>
    <t>Vasodilator, Platelet Aggregation Inhibitor</t>
  </si>
  <si>
    <t xml:space="preserve">Cyclic AMP (cAMP) phosphodiesterase III inhibitor (PDE III inhibitor). Inhibits cell death by activating maxi-K channels. 
</t>
  </si>
  <si>
    <t xml:space="preserve">The signs and symptoms of an acute overdose can be anticipated to be those of excessive pharmacologic effect: severe headache, diarrhea, hypotension, tachycardia, and possibly cardiac arrhythmias. </t>
  </si>
  <si>
    <t>C[C@H](C1=CC=CC2=CC=CC=C21)NCCCC3=CC(=CC=C3)C(F)(F)F.Cl</t>
  </si>
  <si>
    <t>N-[(1R)-1-naphthalen-1-ylethyl]-3-[3-(trifluoromethyl)phenyl]propan-1-amine;hydrochloride</t>
  </si>
  <si>
    <t>Cinacalcet·HCl</t>
  </si>
  <si>
    <t>7-A09</t>
  </si>
  <si>
    <t>364782-34-3</t>
  </si>
  <si>
    <t>Calcimimetic</t>
  </si>
  <si>
    <t>The calcium-sensing receptors on the surface of the chief cell of the parathyroid gland is the principal regulator of parathyroid hormone secretion (PTH). Cinacalcet directly lowers parathyroid hormone levels by increasing the sensitivity of the calcium sensing receptors to activation by extracellular calcium, resulting in the inhibition of PTH secretion. The reduction in PTH is associated with a concomitant decrease in serum calcium levels.</t>
  </si>
  <si>
    <t>Overdosage of cinacalcet may lead to hypocalcemia.</t>
  </si>
  <si>
    <t>C[N@@+]1(CCC2=CC(=C(C=C2[C@H]1CC3=CC(=C(C=C3)OC)OC)OC)OC)CCC(=O)OCCCCCOC(=O)CC[N@+]4(CCC5=CC(=C(C=C5[C@H]4CC6=CC(=C(C=C6)OC)OC)OC)OC)C.C1=CC=C(C=C1)S(=O)(=O)[O-].C1=CC=C(C=C1)S(=O)(=O)[O-]</t>
  </si>
  <si>
    <t>benzenesulfonate;5-[3-[(1R,2R)-1-[(3,4-dimethoxyphenyl)methyl]-6,7-dimethoxy-2-methyl-3,4-dihydro-1H-isoquinolin-2-ium-2-yl]propanoyloxy]pentyl 3-[(1R,2R)-1-[(3,4-dimethoxyphenyl)methyl]-6,7-dimethoxy-2-methyl-3,4-dihydro-1H-isoquinolin-2-ium-2-yl]propanoate</t>
  </si>
  <si>
    <t>Cisatracurium Besylate</t>
  </si>
  <si>
    <t>7-A10</t>
  </si>
  <si>
    <t>96946-42-8</t>
  </si>
  <si>
    <t>Neuromuscular Blocking Agent</t>
  </si>
  <si>
    <t>Binds to the nicotinic acetycholine (cholinergic) receptors in the motor endplate and blocks access to the receptors.</t>
  </si>
  <si>
    <t xml:space="preserve">Cisatracurium undergoes Hofmann elimination as a primary route of chemodegradation: consequently one of the metabolites from this process is laudanosine, a tertiary amino alkaloid reported to be a modest CNS stimulant with epileptogenic activity and cardiovascular effects such a hypotension and bradycardia. As a tertiary amine, Laudanosine is unionised and readily crosses the blood–brain barrier. </t>
  </si>
  <si>
    <t>N.N.Cl[Pt+2]Cl</t>
  </si>
  <si>
    <t>azanide;dichloroplatinum(2+)</t>
  </si>
  <si>
    <t>7-A11</t>
  </si>
  <si>
    <t>15663-27-1</t>
  </si>
  <si>
    <t xml:space="preserve">DNA Crosslinker </t>
  </si>
  <si>
    <t>Risk of acute myocardial infarction.</t>
  </si>
  <si>
    <t>C1[C@@H]([C@H](O[C@H]1N2C=NC3=C2N=C(N=C3N)Cl)CO)O</t>
  </si>
  <si>
    <t>(2R,3S,5R)-5-(6-amino-2-chloropurin-9-yl)-2-(hydroxymethyl)oxolan-3-ol</t>
  </si>
  <si>
    <t>Cladribine</t>
  </si>
  <si>
    <t>7-B02</t>
  </si>
  <si>
    <t>4291-63-8</t>
  </si>
  <si>
    <t xml:space="preserve">Mimics adenosine and thus inhibits the enzyme adenosine deaminase, which interferes with the cell's ability to process DNA. Myelosuppression is frequently observed during the first month after starting treatment. Neutropenia was noted in 70% of patients. Severe anemia developed in 37% of patients, and thrombocytopenia in 12% of patients.
</t>
  </si>
  <si>
    <t>Myelosuppression is frequently observed during the first month after starting treatment. Neutropenia was noted in 70% of patients. Severe anemia developed in 37% of patients, and thrombocytopenia in 12% of patients.</t>
  </si>
  <si>
    <t>C1[C@@H]2N(C1=O)[C@H](/C(=C/CO)/O2)C(=O)[O-].[K+]</t>
  </si>
  <si>
    <t>potassium;(2R,3Z,5R)-3-(2-hydroxyethylidene)-7-oxo-4-oxa-1-azabicyclo[3.2.0]heptane-2-carboxylate</t>
  </si>
  <si>
    <t>Clavulanate Potassium</t>
  </si>
  <si>
    <t>7-B03</t>
  </si>
  <si>
    <t> 61177-45-5</t>
  </si>
  <si>
    <t xml:space="preserve"> Competitive β-lactamase inhibitor. Has negligible intrinsic antimicrobial activity, despite sharing the β-lactam ring that is characteristic of beta-lactam antibiotics. However, the similarity in chemical structure allows the molecule to interact with the enzyme beta-lactamase secreted by certain bacteria to confer resistance to beta-lactam antibiotics. Clavulanic acid is a suicide inhibitor, covalently bonding to a serine residue in the active site of the beta-lactamase.</t>
  </si>
  <si>
    <t>Increased incidence of cholestatic jaundice and acute hepatitis.</t>
  </si>
  <si>
    <t>7-B04</t>
  </si>
  <si>
    <t>CC(C)N=C1C=C2C(=NC3=CC=CC=C3N2C4=CC=C(C=C4)Cl)C=C1NC5=CC=C(C=C5)Cl</t>
  </si>
  <si>
    <t>N,5-bis(4-chlorophenyl)-3-propan-2-yliminophenazin-2-amine</t>
  </si>
  <si>
    <t>Clofazimine</t>
  </si>
  <si>
    <t>7-B05</t>
  </si>
  <si>
    <t>2030-63-9</t>
  </si>
  <si>
    <t>Antibacterial, Leprostatic Agents, Dye</t>
  </si>
  <si>
    <t>Clofazimine works by binding to the guanine bases of bacterial DNA, thereby blocking the template function of the DNA and inhibiting bacterial proliferation. Also increases activity of bacterial phospholipase A2, leading to release and accumulation of lysophospholipids, which are toxic and inhibit bacterial proliferation.</t>
  </si>
  <si>
    <t>Eosinophilic enteritis, GI irritation</t>
  </si>
  <si>
    <t>CN(C)CCCN1C2=CC=CC=C2CCC3=C1C=C(C=C3)Cl.Cl</t>
  </si>
  <si>
    <t>3-(2-chloro-5,6-dihydrobenzo[b][1]benzazepin-11-yl)-N,N-dimethylpropan-1-amine;hydrochloride</t>
  </si>
  <si>
    <t>Clomipramine·HCl</t>
  </si>
  <si>
    <t>7-B06</t>
  </si>
  <si>
    <t> 17321-77-6</t>
  </si>
  <si>
    <t xml:space="preserve"> Blocker of Clomipramine is a blocker of Serotonin (SERT), Norepinephrine (NET) and Dopamine DAT) transporters. Antagonist/inverse agonist at 5-HT, α1, α2, D1-3, H1 and mACh receptors. </t>
  </si>
  <si>
    <t xml:space="preserve">Has a broad range of side effects:
Central nervous system: Often, fatigue, dizziness, lightheadedness, headaches, confusion, agitation, insomnia, nightmares, increased anxiety, seizures,  induction of schizophrenia (immediate termination of therapy required), and extrapyramidal side effects (pseudoparkinsonism, dyskinesia, rarely tardive dyskinesia) are noted. 
Anticholinergic side effects in different grades of severity are quite common: dry mouth, constipation, rarely ileus (paralysis of the large intestine, life-threatening), difficulties in urinating, sweating, precipitation of glaucoma (may lead to permanent eye-damage or even blindness, if untreated). The incidence of dental caries may be increased due to dry mouth. 
Antiadrenergic side effects occur very frequently due to strong central and peripheral blockage of alpha receptors: hypotension, postural collapse (when patient is rising too fast from lying or sitting position to standing), arrhythmias (sinus tachycardia, bradycardia, AV block, rarely other forms of cardiac problems). Pre-existing heart insufficiency can be worsened. 
Most of these side effects are dose related and/or tolerance will develop with continued use.
Allergic/toxic: skin reactions and photosensitivity with increased frequency of sunburns are seen in a few percentage of cases. Rarely liver damage of the cholostatic type, hepatitis, and leukopenia or other forms of blood dyskrasia are seen, also severe acute allergy including difficulties in breathing, skin reaction, chest pain etc. 
Other side effects may include heartburn, weight loss, but also nausea and bruxism–teeth-grinding while asleep–(the latter due to the strong inhibition of reuptake of serotonin). 
The drug often causes sexual problems in men. </t>
  </si>
  <si>
    <t>7-B07</t>
  </si>
  <si>
    <t>C1=CC=C(C=C1)C(C2=CC=CC=C2)(C3=CC=CC=C3Cl)N4C=CN=C4</t>
  </si>
  <si>
    <t>1-[(2-chlorophenyl)-diphenylmethyl]imidazole</t>
  </si>
  <si>
    <t>Clotrimazole</t>
  </si>
  <si>
    <t>7-B08</t>
  </si>
  <si>
    <t>23593-75-1</t>
  </si>
  <si>
    <t xml:space="preserve"> Antifungal</t>
  </si>
  <si>
    <t xml:space="preserve">Inhibits yeast growth by increasing cell membrane permeability in susceptible fungi. Potent, specific inhibitor of cytochrome P450 oxidase that may alter the metabolism of other drugs.
</t>
  </si>
  <si>
    <t>Side effects include skin rash, hives, blistering, burning, itching, peeling, redness, stinging, swelling, or other sign of skin irritation. Hepatotoxic (Inhibition of BSEP (bile salt export pump).</t>
  </si>
  <si>
    <t>CC1=C(C(=NO1)C2=CC=CC=C2Cl)C(=O)N[C@H]3[C@@H]4N(C3=O)[C@H](C(S4)(C)C)C(=O)[O-].O.[Na+]</t>
  </si>
  <si>
    <t>sodium;(2S,5R,6R)-6-[[3-(2-chlorophenyl)-5-methyl-1,2-oxazole-4-carbonyl]amino]-3,3-dimethyl-7-oxo-4-thia-1-azabicyclo[3.2.0]heptane-2-carboxylate;hydrate</t>
  </si>
  <si>
    <t xml:space="preserve">Cloxacillin·Na </t>
  </si>
  <si>
    <t>7-B09</t>
  </si>
  <si>
    <t>7081-44-9</t>
  </si>
  <si>
    <t>Cloxacillin binds to certain penicillin-binding proteins (PBPs) in the bacterial cell wall, thereby inhibiting the last stage of bacterial cell wall synthesis.  Cloxacillin may also interfere with an autolysin inhibitor, resulting in autolysin mediated cell lysis.</t>
  </si>
  <si>
    <t>CC(=O)NC1CCC2=CC(=C(C(=C2C3=CC=C(C(=O)C=C13)OC)OC)OC)OC</t>
  </si>
  <si>
    <t>N-(1,2,3,10-tetramethoxy-9-oxo-6,7-dihydro-5H-benzo[a]heptalen-7-yl)acetamide</t>
  </si>
  <si>
    <t>Colchicine</t>
  </si>
  <si>
    <t>7-B10</t>
  </si>
  <si>
    <t>64-86-8</t>
  </si>
  <si>
    <t>A natural product that is used as a medication used for gout</t>
  </si>
  <si>
    <t>Inhibits microtubule polymerization by binding to tubulin, one of the main constituents of microtubules. Availability of tubulin is essential to mitosis, and therefore colchicine effectively functions as a "mitotic poison" or spindle poison.</t>
  </si>
  <si>
    <t>Side effects include gastrointestinal upset and neutropenia. High doses can also damage bone marrow and lead to anemia. Note that all of these side effects can result from hyperinhibition of mitosis. A main side effect associated with all mitotic inhibitors is peripheral neuropathy which is a numbness or tingling in the hands and feet due to peripheral nerve damage which can becomes so severe that reduction in dosage or complete cessation of the drug may be required. Hepatotoxic (Inhibition of BSEP (bile salt export pump).</t>
  </si>
  <si>
    <t>CCC(C)CCCCC(=O)NC(CCNCS(=O)(=O)[O-])C(=O)NC(C(C)O)C(=O)NC(CCNCS(=O)(=O)[O-])C(=O)NC1CCNC(=O)C(NC(=O)C(NC(=O)C(NC(=O)C(NC(=O)C(NC(=O)C(NC1=O)CCNCS(=O)(=O)[O-])CC(C)C)CC(C)C)CCNCS(=O)(=O)[O-])CCNCS(=O)(=O)[O-])C(C)O.[Na+].[Na+].[Na+].[Na+].[Na+]</t>
  </si>
  <si>
    <t>pentasodium;[2-[17-(1-hydroxyethyl)-22-[[2-[[3-hydroxy-2-[[2-(6-methyloctanoylamino)-4-(sulfonatomethylamino)butanoyl]amino]butanoyl]amino]-4-(sulfonatomethylamino)butanoyl]amino]-5,8-bis(2-methylpropyl)-3,6,9,12,15,18,23-heptaoxo-11,14-bis[2-(sulfonatomethylamino)ethyl]-1,4,7,10,13,16,19-heptazacyclotricos-2-yl]ethylamino]methanesulfonate</t>
  </si>
  <si>
    <t>Colistimethate·Na</t>
  </si>
  <si>
    <t>7-B11</t>
  </si>
  <si>
    <t>8068-28-8</t>
  </si>
  <si>
    <t xml:space="preserve">Surface active agent which penetrates into and disrupts the bacterial cell membrane. Polycationic drug with both hydrophobic and lipophilic moieties. Interacts with the bacterial cytoplasmic membrane changing its permeability. </t>
  </si>
  <si>
    <t>The main toxicities described with intravenous treatment are nephrotoxicity (damage to the kidneys) and neurotoxicity (damage to the nerves).</t>
  </si>
  <si>
    <t>N1[C@H](C(NCC[C@@H](C(=O)N[C@H](C(=O)N[C@@H](C(=O)N[C@H](C(=O)N[C@H](C(N[C@H](C1=O)CCN)=O)CCN)CC(C)C)CC(C)C)CCN)NC([C@@H](NC(=O)[C@H]([C@H](O)C)NC([C@@H](NC(=O)CCCC[C@@H](CC)C)CCN)=O)CCN)=O)=O)[C@H](O)C.S(O)(O)(=O)=O</t>
  </si>
  <si>
    <t>N-[(1S)-3-amino-1-{[(1S,2R)-1-{[(1S)-3-amino-1-{[(3S,6S,9S,12S,15R,18S,21S)-6,9,18-tris(2-aminoethyl)-3-[(1R)-1-hydroxyethyl]-12,15-bis(2-methylpropyl)-2,5,8,11,14,17,20-heptaoxo-1,4,7,10,13,16,19-heptaazacyclotricosan-21-yl]carbamoyl}propyl]carbamoyl}-2-hydroxypropyl]carbamoyl}propyl]-5-methylheptanamide; sulfuric acid</t>
  </si>
  <si>
    <t>7-C02</t>
  </si>
  <si>
    <t>1264-72-8</t>
  </si>
  <si>
    <t xml:space="preserve">Polymyxin antibiotic. Binds to lipids on the cell cytoplasmic membrane. Disrupts cell wall integrity. Effective against Gram-negative bacteria. </t>
  </si>
  <si>
    <t>CC(=O)OCC(=O)[C@]1(CC[C@@H]2[C@@]1(CC(=O)[C@H]3[C@H]2CCC4=CC(=O)CC[C@]34C)C)O</t>
  </si>
  <si>
    <t>[2-[(8S,9S,10R,13S,14S,17R)-17-hydroxy-10,13-dimethyl-3,11-dioxo-1,2,6,7,8,9,12,14,15,16-decahydrocyclopenta[a]phenanthren-17-yl]-2-oxoethyl] acetate</t>
  </si>
  <si>
    <t>Cortisone Acetate</t>
  </si>
  <si>
    <t>7-C03</t>
  </si>
  <si>
    <t>50-04-4</t>
  </si>
  <si>
    <t xml:space="preserve">Binds to the cytosolic glucocorticoid receptor. </t>
  </si>
  <si>
    <t>Oral use of cortisone has a number of potential side-effects: hyperglycemia, insulin resistance, diabetes mellitus, osteoporosis, anxiety, depression, amenorrhoea, cataracts and glaucoma, among other problems.</t>
  </si>
  <si>
    <t>CN(C)CCC=C1C2=CC=CC=C2C=CC3=CC=CC=C31.Cl</t>
  </si>
  <si>
    <t>3-(dibenzo[1,2-a:1',2'-e][7]annulen-11-ylidene)-N,N-dimethylpropan-1-amine;hydrochloride</t>
  </si>
  <si>
    <t>Cyclobenzaprine·HCl</t>
  </si>
  <si>
    <t>7-C04</t>
  </si>
  <si>
    <t>6202-23-9</t>
  </si>
  <si>
    <t>Binds to the serotonin receptor and is considered a 5-HT2 receptor antagonist that reduces muscle tone by decreasing the activity of descending serotonergic neurons.</t>
  </si>
  <si>
    <t>The most common effects of overdose are drowsiness and tachycardia. Rare but potentially critical complications are cardiac arrest, cardiac dysrhythmias, severe hypotension, seizures, and neuroleptic malignant syndrome.</t>
  </si>
  <si>
    <t>CN(C)CCOC(=O)C(C1=CC=CC=C1)C2(CCCC2)O</t>
  </si>
  <si>
    <t>2-(dimethylamino)ethyl 2-(1-hydroxycyclopentyl)-2-phenylacetate</t>
  </si>
  <si>
    <t xml:space="preserve">Cyclopentolate </t>
  </si>
  <si>
    <t>7-C05</t>
  </si>
  <si>
    <t>512-15-2</t>
  </si>
  <si>
    <t>Mydriatic</t>
  </si>
  <si>
    <t xml:space="preserve">Muscarinic receptor antagonist.
</t>
  </si>
  <si>
    <t>Side effects to Cyclopentolate are rare, but can include effects such as disorientation, incoherent speech or visual disturbances during the 24-hour period that the drug has an effect.</t>
  </si>
  <si>
    <t>C1[C@H](C(=O)NO1)N</t>
  </si>
  <si>
    <t>(4R)-4-amino-1,2-oxazolidin-3-one</t>
  </si>
  <si>
    <t>Cycloserine</t>
  </si>
  <si>
    <t>7-C06</t>
  </si>
  <si>
    <t>68-41-7</t>
  </si>
  <si>
    <t xml:space="preserve">Interferes with an early step in bacterial cell wall synthesis in the cytoplasm by competitive inhibition of two enzymes, L-alanine racemase, which forms D-alanine from L-alanine, and D-alanylalanine synthetase, which incorporates D-alanine into the pentapeptide necessary for peptidoglycan formation and bacterial cell wall synthesis. Excitatory amino acid. Partial agonist at the glycine modulatory site of the NMDA receptor. 
</t>
  </si>
  <si>
    <t>The side effects are mainly central nervous system (CNS) manifestations, i.e. headache, irritability, depression, psychosis convulsions.</t>
  </si>
  <si>
    <t>C(CS)N.Cl</t>
  </si>
  <si>
    <t>2-aminoethanethiol;hydrochloride</t>
  </si>
  <si>
    <t>Cysteamine·HCl</t>
  </si>
  <si>
    <t>7-C07</t>
  </si>
  <si>
    <t>156-57-0</t>
  </si>
  <si>
    <t xml:space="preserve">Radiation-protective agent, Nephropathic cystinosis therapy. </t>
  </si>
  <si>
    <t>The free thiol cysteamine depletes cystinotic leukocytes and other cells of cystine, whose accumulation is considered the cause of organ damage in cystinosis. Cysteamine cleaves the disulfide bond with cystine to produce molecules that can escape the metabolic defect in cystinosis and cystinuria.</t>
  </si>
  <si>
    <t>The most common reactions are appetite loss, diarrhea, drowsiness, lack of energy, nausea, stomach pain, unpleasant breath odor and vomiting.</t>
  </si>
  <si>
    <t>CC1C(C(=O)NC(C(=O)N2CCCC2C(=O)N(CC(=O)N(C(C(=O)O1)C(C)C)C)C)C(C)C)NC(=O)C3=C4C(=C(C=C3)C)OC5=C(C(=O)C(=C(C5=N4)C(=O)NC6C(OC(=O)C(N(C(=O)CN(C(=O)C7CCCN7C(=O)C(NC6=O)C(C)C)C)C)C(C)C)C)N)C</t>
  </si>
  <si>
    <t>2-amino-4,6-dimethyl-3-oxo-1-N,9-N-bis[7,11,14-trimethyl-2,5,9,12,15-pentaoxo-3,10-di(propan-2-yl)-8-oxa-1,4,11,14-tetrazabicyclo[14.3.0]nonadecan-6-yl]phenoxazine-1,9-dicarboxamide</t>
  </si>
  <si>
    <t>7-C08</t>
  </si>
  <si>
    <t>50-76-0</t>
  </si>
  <si>
    <t xml:space="preserve"> Antibiotic; Inhibits transcription by binding DNA at the transcription initiation complex and preventing elongation by RNA polymerase. Because it can bind DNA duplexes, it can also interfere with DNA replication, although other chemicals such as hydroxyurea are better suited for use in the laboratory as inhibitors of DNA synthesis.
</t>
  </si>
  <si>
    <t>Common adverse drug reaction includes bone marrow suppression, fatigue, hair loss, mouth ulcer, loss of appetite and diarrhea.</t>
  </si>
  <si>
    <t>C1=CN=CC=C1N</t>
  </si>
  <si>
    <t>pyridin-4-amine</t>
  </si>
  <si>
    <t>7-C09</t>
  </si>
  <si>
    <t>504-24-5</t>
  </si>
  <si>
    <t>Multiple sclerosis and  Lambert-Eaton myasthenic syndrome treatment</t>
  </si>
  <si>
    <t>Acts by blocking potassium channels, prolonging action potentials and thereby increasing neurotransmitter release at the neuromuscular junction. Also, has been shown to reverse tetrodotoxin toxicity in animal experiments.</t>
  </si>
  <si>
    <t>Case reports have shown that overdoses with 4-AP can lead to paresthesias, seizures, and atrial fibrillation.</t>
  </si>
  <si>
    <t>C1C(=O)N=C(N1/N=C/C2=CC=C(O2)C3=CC=C(C=C3)[N+](=O)[O-])[O-].[Na+]</t>
  </si>
  <si>
    <t>sodium;3-[(E)-[5-(4-nitrophenyl)furan-2-yl]methylideneamino]-5-oxo-4H-imidazol-2-olate</t>
  </si>
  <si>
    <t>7-C10</t>
  </si>
  <si>
    <t>14663-23-1</t>
  </si>
  <si>
    <t xml:space="preserve">Depresses excitation-contraction coupling in skeletal muscle by binding to the ryanodine receptor thus decreasing intracellular calcium concentration. Intracellularly acting muscle relaxant. Dantrolene has been shown to protect tissues such as heart, liver and pancreas from necrosis. 
</t>
  </si>
  <si>
    <t>Central nervous system side effects are quite frequently noted and encompass speech and visual disturbances, mental depression and confusion, hallucinations, headache, insomnia and exacerbation or precipitation of seizures, and increased nervousness. Infrequent cases of respiratory depression or a feeling of suffocation have been observed. Dantrolene often causes sedation severe enough to incapacitate the patient to drive or operate machinery.
Gastrointestinal effects include bad taste, anorexia, nausea, vomiting, abdominal cramps, and diarrhea.
Hepatic side effects may be seen either as asymptomatic elevation of liver enzymes and/or bilirubin or, most severe, as fatal and nonfatal hepatitis. The risk of hepatitis is associated with the duration of treatment and the daily dose. In patients treated for hyperthermia, no liver toxicity has been observed so far.</t>
  </si>
  <si>
    <t>C1=CC(=CC=C1N)S(=O)(=O)C2=CC=C(C=C2)N</t>
  </si>
  <si>
    <t>4-(4-aminophenyl)sulfonylaniline</t>
  </si>
  <si>
    <t>Dapsone</t>
  </si>
  <si>
    <t>7-C11</t>
  </si>
  <si>
    <t>80-08-0</t>
  </si>
  <si>
    <t>Antibacterial (against Mycobacterium leprae)</t>
  </si>
  <si>
    <t xml:space="preserve">Inhibits bacterial synthesis of dihydrofolic acid, via competition with p-aminobenzoate for the active site of dihydropteroate synthetase. Has anti-inflammatory and immunomodulatory effects. Blocks myeloperoxidase, which has been suggested to be its mechanism of action in treating dermatitis herpetiformis. Myeloperoxidase converts hydrogen peroxide (H2O2) into hypochlorous acid (HOCl) as part of the respiratory burst in neutrophils to kill bacteria. HOCl is the most toxic and potent oxidant generated by neutrophils, which have potential to cause significant tissue damage in many inflammatory diseases. The respiratory burst uses large quantities of oxygen, and a single neutrophil may produce enough HOCl in one second to destroy 150 bacteria. In the absence of chloride ions or when there is excess hydrogen peroxide, the myeloperoxidase is converted to its inactive form. Dapsone reversibly inhibits myeloperoxidase activity by promoting the formation of an inactive intermediate of the enzyme, thus preventing the conversion of hydrogen peroxide to hypochlorous acid, an extremely potent neutrophil oxidant. Leukotriene B4 (LTB4) antagonist. Inhibits LTB4 induced lysozyme release. 
</t>
  </si>
  <si>
    <t xml:space="preserve">The most prominent side-effects of this drug are dose-related hemolysis (which may lead to hemolytic anemia) and methemoglobinemia. Agranulocytosis occurs rarely when dapsone is used alone but more frequently in combination regimens for malaria prophylaxis.                                Toxic hepatitis and cholestatic jaundice have been reported.                                                             Other adverse effects include nausea, headache, and rash (which are common), and insomnia, psychosis, and peripheral neuropathy. </t>
  </si>
  <si>
    <t>CCCCCCCCCC(=O)NC(CC1=CNC2=CC=CC=C21)C(=O)NC(CC(=O)N)C(=O)NC(CC(=O)O)C(=O)NC3C(OC(=O)C(NC(=O)C(NC(=O)C(NC(=O)CNC(=O)C(NC(=O)C(NC(=O)C(NC(=O)C(NC(=O)CNC3=O)CCCN)CC(=O)O)C)CC(=O)O)CO)C(C)CC(=O)O)CC(=O)C4=CC=CC=C4N)C</t>
  </si>
  <si>
    <t>3-({3-[2-(2-aminophenyl)-2-oxoethyl]-24-(3-aminopropyl)-15,21-bis(carboxymethyl)-6-(1-carboxypropan-2-yl)-9-(hydroxymethyl)-18,31-dimethyl-2,5,8,11,14,17,20,23,26,29-decaoxo-1-oxa-4,7,10,13,16,19,22,25,28-nonaazacyclohentriacontan-30-yl}carbamoyl)-3-{3-carbamoyl-2-[2-decanamido-3-(1H-indol-3-yl)propanamido]propanamido}propanoic acid</t>
  </si>
  <si>
    <t>Daptomycin</t>
  </si>
  <si>
    <t>7-D02</t>
  </si>
  <si>
    <t>103060-53-3</t>
  </si>
  <si>
    <t xml:space="preserve">Has a distinct mechanism of action, disrupting multiple aspects of bacterial cell membrane function. Appears to bind to the membrane and cause rapid depolarization, resulting in a loss of membrane potential leading to inhibition of protein, DNA and RNA synthesis, which  in bacterial cell death.
</t>
  </si>
  <si>
    <t xml:space="preserve"> Common side effects include: Hypotension (2.4%), Headache (5.4%), insomnia (4.5%), dizziness (2.2%), Rash (4.3%), Constipation (6.2%), Nausea (5.8%), Diarrhea (5.2%), Vomiting (3.2%), Anemia (2.1%), Injection site reactions (5.8%).</t>
  </si>
  <si>
    <t>C1CN(C[C@@H]1C(C2=CC=CC=C2)(C3=CC=CC=C3)C(=O)N)CCC4=CC5=C(C=C4)OCC5.Br</t>
  </si>
  <si>
    <t>2-[(3S)-1-[2-(2,3-dihydro-1-benzofuran-5-yl)ethyl]pyrrolidin-3-yl]-2,2-diphenylacetamide;hydrobromide</t>
  </si>
  <si>
    <t>Darifenacin·HBr</t>
  </si>
  <si>
    <t>7-D03</t>
  </si>
  <si>
    <t>133099-07-7</t>
  </si>
  <si>
    <t>Overactive bladder and urinary incontinence treatment</t>
  </si>
  <si>
    <t xml:space="preserve"> Inhibits M3 muscarinic acetylcholine receptor, which is primarily responsible for bladder muscle contractions.</t>
  </si>
  <si>
    <t>May produce constipation and blurred vision. Heat prostration (due to decreased sweating) can occur when anticholinergics such as Enablex are used in a hot environment.</t>
  </si>
  <si>
    <t>CC(C)CN(C[C@H]([C@H](CC1=CC=CC=C1)NC(=O)O[C@H]2CO[C@@H]3[C@H]2CCO3)O)S(=O)(=O)C4=CC=C(C=C4)N</t>
  </si>
  <si>
    <t>[(3aS,4R,6aR)-2,3,3a,4,5,6a-hexahydrofuro[2,3-b]furan-4-yl] N-[(2S,3R)-4-[(4-aminophenyl)sulfonyl-(2-methylpropyl)amino]-3-hydroxy-1-phenylbutan-2-yl]carbamate</t>
  </si>
  <si>
    <t>Darunavir</t>
  </si>
  <si>
    <t>7-D04</t>
  </si>
  <si>
    <t>206361-99-1</t>
  </si>
  <si>
    <t xml:space="preserve">HIV protease inhibitor which prevents HIV replication by binding to the enzyme's active site, thereby preventing the dimerization and the catalytic activity of the HIV-1 protease. </t>
  </si>
  <si>
    <t xml:space="preserve">Mild to moderate rash was seen in 7% of patients. Some patients developed severe rash. The most common moderate to severe side effects associated with darunavir include diarrhea (2.3%), headache (3.8%), abdominal pain (2.3%), constipation (2.3%), and vomiting (1.5%). </t>
  </si>
  <si>
    <t>CC1=C(C(=CC=C1)Cl)NC(=O)C2=CN=C(S2)NC3=NC(=NC(=C3)N4CCN(CC4)CCO)C</t>
  </si>
  <si>
    <t>N-(2-chloro-6-methylphenyl)-2-[[6-[4-(2-hydroxyethyl)piperazin-1-yl]-2-methylpyrimidin-4-yl]amino]-1,3-thiazole-5-carboxamide</t>
  </si>
  <si>
    <t>Dasatinib</t>
  </si>
  <si>
    <t>7-D05</t>
  </si>
  <si>
    <t>302962-49-8</t>
  </si>
  <si>
    <t>Multi- BCR/ABL and Src family tyrosine kinase inhibitor. The main targets are BCR/ABL, Src, c-Kit, multiple Eph kinases, and several other tyrosine kinases, but not erbB kinases such as EGFR or Her2.</t>
  </si>
  <si>
    <t>Hematologic side effects including neutropenia (up to 83%), thrombocytopenia (up to 83%), anemia (up to 70%), hemorrhage (40%), and febrile neutropenia (9%) have been reported. Pancytopenia has been reported frequently. Coagulopathy and pure red cell aplasia have been reported infrequently.</t>
  </si>
  <si>
    <t>C1[C@@H]([C@H](O[C@H]1N2C=NC(=NC2=O)N)CO)O</t>
  </si>
  <si>
    <t>4-amino-1-[(2R,4S,5R)-4-hydroxy-5-(hydroxymethyl)oxolan-2-yl]-1,3,5-triazin-2-one</t>
  </si>
  <si>
    <t>Decitabine</t>
  </si>
  <si>
    <t>7-D06</t>
  </si>
  <si>
    <t>2353-33-5</t>
  </si>
  <si>
    <t>Treatment of myelodysplastic syndromes (MDS)</t>
  </si>
  <si>
    <t xml:space="preserve">Inhibitor of DNA methyltransferase. Restores mRNA and protein expression of caspase-8 and TRAIL (tumor necrosis factor-related apoptosis inducing ligand) sensitivity of resistant cell lines. Enhances apoptosis induced by HDAC (histone deacetylase) inhibitors. 
</t>
  </si>
  <si>
    <t xml:space="preserve">Hematologic side effects including neutropenia (up to 90%), thrombocytopenia (up to 89%), anemia (up to 82%), febrile neutropenia (up to 29%), leukopenia (up to 28%), lymphadenopathy (12%), pancytopenia (5%), and thrombocythemia (5%) have been reported.
</t>
  </si>
  <si>
    <t>C1=CC(=C2NC(=C3C=CC=CC3=O)N(N2)C4=CC=C(C=C4)C(=O)O)C(=O)C=C1</t>
  </si>
  <si>
    <t>4-[(3Z,5E)-3,5-bis(6-oxocyclohexa-2,4-dien-1-ylidene)-1,2,4-triazolidin-1-yl]benzoic acid</t>
  </si>
  <si>
    <t>Deferasirox</t>
  </si>
  <si>
    <t>7-D07</t>
  </si>
  <si>
    <t>201530-41-8</t>
  </si>
  <si>
    <t>Rationally designed iron chelator</t>
  </si>
  <si>
    <t xml:space="preserve">Used to reduce chronic iron overload in patients who are receiving long-term blood transfusions for conditions such as beta-thalassemia and other chronic anemias. It is the first oral medication approved in the USA for this purpose. Seems to be capable of removing iron from cells (cardiac myocytes and hepatocytes) as well as removing iron from the blood.
</t>
  </si>
  <si>
    <t xml:space="preserve"> Renal failure and cytopenias have been reported.</t>
  </si>
  <si>
    <t>CC(=O)N(CCCCCNC(=O)CCC(=O)N(CCCCCNC(=O)CCC(=O)N(CCCCCN)O)O)O.CS(=O)(=O)O</t>
  </si>
  <si>
    <t>N-[5-[[4-[5-[acetyl(hydroxy)amino]pentylamino]-4-oxobutanoyl]-hydroxyamino]pentyl]-N'-(5-aminopentyl)-N'-hydroxybutanediamide;methanesulfonic acid</t>
  </si>
  <si>
    <t>Deferoxamine Mesylate</t>
  </si>
  <si>
    <t>7-D08</t>
  </si>
  <si>
    <t>138-14-7</t>
  </si>
  <si>
    <t>Iron chelator used in iron poisoning</t>
  </si>
  <si>
    <t xml:space="preserve">Acts by binding free iron in the bloodstream and enhancing its elimination in the urine. By removing excess iron, the agent reduces the damage done to various organs and tissues, such as the liver. It speeds healing of nerve damage (and minimizes the extent of recent nerve trauma) and may modulate expression and release of inflammatory mediators by specific cell types.
</t>
  </si>
  <si>
    <t>Administration of deferoxamine after acute intoxication may color the urine a pinkish red, a phenomenon termed "vin rose urine".</t>
  </si>
  <si>
    <t xml:space="preserve">CN(C)[C@H]1[C@@H]2C[C@@H]3[C@@H](C4=C(C=CC(=C4C(=C3C(=O)[C@@]2(C(=C(C1=O)C(=O)N)O)O)O)O)Cl)O.Cl
</t>
  </si>
  <si>
    <t xml:space="preserve">(4S,4aS,5aS,6S,12aR)-7-chloro-4-(dimethylamino)-1,6,10,11,12a-pentahydroxy-3,12-dioxo-4a,5,5a,6-tetrahydro-4H-tetracene-2-carboxamide;hydrochloride
</t>
  </si>
  <si>
    <t>Demeclocycline·HCl</t>
  </si>
  <si>
    <t>7-D09</t>
  </si>
  <si>
    <t>64-73-3</t>
  </si>
  <si>
    <t xml:space="preserve"> Tetracycline antibiotic. Acts by binding to the 30S- and 50S-RNA, which impairs protein synthesis by bacteria. It is bacteriostatic (it impairs bacterial growth but does not kill bacteria directly). It is not completely understood why demeclocycline impairs the action of antidiuretic hormone, but it is thought that it blocks the binding of the hormone to its receptor.
</t>
  </si>
  <si>
    <t>Skin reactions with sunlight have been reported. Demeclocycline is unique in that it is the only tetracycline known to cause nephrogenic diabetes insipidus.
Tetracyclines bind to cations such as calcium, iron (when given orally), and magnesium, rendering them insoluble and inabsorbable for the GI tract. Demeclocycline should not be taken with food (particularly milk and other dairy products) or antacids.</t>
  </si>
  <si>
    <t>CNCCCN1C2=CC=CC=C2CCC3=CC=CC=C31.Cl</t>
  </si>
  <si>
    <t>3-(5,6-dihydrobenzo[b][1]benzazepin-11-yl)-N-methylpropan-1-amine;hydrochloride</t>
  </si>
  <si>
    <t>Desipramine·HCl</t>
  </si>
  <si>
    <t>7-D10</t>
  </si>
  <si>
    <t>58-28-6</t>
  </si>
  <si>
    <t>Inhibits the reuptake of norepinephrine and to a lesser extent serotonin.</t>
  </si>
  <si>
    <t>The FDA and the manufacturer warn that some patients may have seizures before cardiac dysrhythmias and death. Desipramine overdose is more likely to result in death than overdose with other tricyclic antidepressants.</t>
  </si>
  <si>
    <t>CC[C@]12CC(=C)[C@H]3[C@H]([C@@H]1CC[C@]2(C#C)O)CCC4=CCCC[C@H]34</t>
  </si>
  <si>
    <t>(8S,9S,10R,13S,14S,17R)-13-ethyl-17-ethynyl-11-methylidene-1,2,3,6,7,8,9,10,12,14,15,16-dodecahydrocyclopenta[a]phenanthren-17-ol</t>
  </si>
  <si>
    <t>Desogestrel</t>
  </si>
  <si>
    <t>7-D11</t>
  </si>
  <si>
    <t>54024-22-5</t>
  </si>
  <si>
    <t xml:space="preserve"> Contraceptive</t>
  </si>
  <si>
    <t>Binds to the progesterone and estrogen receptors. Target cells include the female reproductive tract, the mammary gland, the hypothalamus, and the pituitary. Once bound to the receptor, progestins like desogestrel will slow the frequency of release of gonadotropin releasing hormone (GnRH) from the hypothalamus and blunt the pre-ovulatory LH (luteinizing hormone) surge.</t>
  </si>
  <si>
    <t>Studies going as far back as 1995 that suggest the risk of dangerous blood clots is doubled for women taking the drug.</t>
  </si>
  <si>
    <t>C[C@]12C[C@@H]([C@H]3[C@H]([C@@H]1C[C@@H]4[C@]2(OC(O4)(C)C)C(=O)CO)CCC5=CC(=O)C=C[C@]35C)O</t>
  </si>
  <si>
    <t>(1S,2S,4R,8S,9S,11S,12S,13R)-11-hydroxy-8-(2-hydroxyacetyl)-6,6,9,13-tetramethyl-5,7-dioxapentacyclo[10.8.0.0²,⁹.0⁴,⁸.0¹³,¹⁸]icosa-14,17-dien-16-one</t>
  </si>
  <si>
    <t>Desonide</t>
  </si>
  <si>
    <t>7-E02</t>
  </si>
  <si>
    <t>638-94-8</t>
  </si>
  <si>
    <t xml:space="preserve">Anti-inflammatory, Corticosteroid </t>
  </si>
  <si>
    <t>Has anti-inflammatory, antipruritic and vasoconstrictive properties. The drug binds to cytosolic glucocorticoid receptors. This complex migrates to the nucleus and binds to genetic elements on the DNA. This activates and represses various genes. However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</si>
  <si>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The local adverse reactions are reported infrequently. These reactions are listed in an approximate decreasing order of occurrence: Burning, Itching, Irritation, Dryness, Folliculitis, Hypertrichosis, Acneiform eruptions, Hypopigmentation, Perioral dermatitis, Allergic contact dermatitis, Maceration of the skin, Secondary infection, Skin atrophy, Striae, Miliaria.</t>
  </si>
  <si>
    <t>C[C@@H]1C[C@H]2[C@@H]3CCC4=CC(=O)C=C[C@@]4([C@]3([C@H](C[C@@]2([C@H]1C(=O)CO)C)O)F)C</t>
  </si>
  <si>
    <t>(8S,9R,10S,11S,13S,14S,16R,17S)-9-fluoro-11-hydroxy-17-(2-hydroxyacetyl)-10,13,16-trimethyl-7,8,11,12,14,15,16,17-octahydro-6H-cyclopenta[a]phenanthren-3-one</t>
  </si>
  <si>
    <t>Desoximetasone</t>
  </si>
  <si>
    <t>7-E03</t>
  </si>
  <si>
    <t>382-67-2</t>
  </si>
  <si>
    <t>Anti-inflammatory, Glucocorticoid</t>
  </si>
  <si>
    <t>Corticosteroids are thought to act by the induction of phospholipase A2 inhibitory proteins, collectively called lipocortins. This is achieved first by the drug binding to the glucocorticoid receptors which then translocates into the nucleus and binds to DNA causing various activations and repressions of genes.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</si>
  <si>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 xml:space="preserve">Among the more serious adverse reactions, usually occurring after prolonged or excessive application, are striae, hypopigmentation, or local irritation of the skin and various systemic effects. </t>
  </si>
  <si>
    <t>CN(C)CC(C1=CC=C(C=C1)O)C2(CCCCC2)O.C(CC(=O)O)C(=O)O.O</t>
  </si>
  <si>
    <t>butanedioic acid;4-[2-(dimethylamino)-1-(1-hydroxycyclohexyl)ethyl]phenol;hydrate</t>
  </si>
  <si>
    <t>Desvenlafaxine Succinate Hydrate</t>
  </si>
  <si>
    <t>7-E04</t>
  </si>
  <si>
    <t>386750-22-7</t>
  </si>
  <si>
    <t xml:space="preserve"> Antidepressant</t>
  </si>
  <si>
    <t xml:space="preserve"> Selective serotonin-norepinephrine reuptake inhibitor (SSNRI). It works by blocking the transporter "reuptake" proteins for key neurotransmitters affecting mood, thereby leaving more active neurotransmitters in the synapse. The neurotransmitters affected are serotonin (5-hydroxytryptamine) and norepinephrine (noradrenaline). It is approximately 10 times more potent at inhibiting serotonin uptake than norepinephrine uptake.</t>
  </si>
  <si>
    <t>Nausea is the most profound and prevalent side effect. Other commonly adverse reactions were dizziness, insomnia, hyperhidrosis, constipation, somnolence, decreased appetite, priapism, night terrors, anxiety, and delayed ejaculation.</t>
  </si>
  <si>
    <t>CN(C)CC[C@@H](C1=CC=C(C=C1)Cl)C2=CC=CC=N2.C(=C\C(=O)O)\C(=O)O</t>
  </si>
  <si>
    <t>(Z)-but-2-enedioic acid;(3S)-3-(4-chlorophenyl)-N,N-dimethyl-3-pyridin-2-ylpropan-1-amine</t>
  </si>
  <si>
    <t>Dexchlorpheniramine Maleate</t>
  </si>
  <si>
    <t>7-E05</t>
  </si>
  <si>
    <t>2438-32-6</t>
  </si>
  <si>
    <t>Antihistamine, antiallergic</t>
  </si>
  <si>
    <t xml:space="preserve"> Antihistamine with anticholinergic properties. Pharmacologically active dextrorotatory isomer of chlorpheniramine with no apparent advantages over the parent drug.
  </t>
  </si>
  <si>
    <t xml:space="preserve"> Mild reproductive toxin to women of childbearing age.</t>
  </si>
  <si>
    <t>CC1=C(C(=CC=C1)[C@H](C)C2=CN=CN2)C.Cl</t>
  </si>
  <si>
    <t>5-[(1S)-1-(2,3-dimethylphenyl)ethyl]-1H-imidazole;hydrochloride</t>
  </si>
  <si>
    <t>Dexmedetomidine·HCl</t>
  </si>
  <si>
    <t>7-E06</t>
  </si>
  <si>
    <t>145108-58-3</t>
  </si>
  <si>
    <t xml:space="preserve"> Sedative</t>
  </si>
  <si>
    <t xml:space="preserve"> α2-adrenergic receptors agonist.</t>
  </si>
  <si>
    <t xml:space="preserve">Life-threatening effects are atrial fibrillation and infarction. Other serious adverse effects include oliguria, hypertension, pulmonary edema, pleural effusion, hypoxia, leukocytosis, and anemia. Common side effects include nausea, bradycardia, and hypotension. </t>
  </si>
  <si>
    <t>7-E07</t>
  </si>
  <si>
    <t>C[C@@H](CN1CC(=O)NC(=O)C1)N2CC(=O)NC(=O)C2</t>
  </si>
  <si>
    <t xml:space="preserve">Dexrazoxane </t>
  </si>
  <si>
    <t>7-E08</t>
  </si>
  <si>
    <t>24584-09-6</t>
  </si>
  <si>
    <t xml:space="preserve">Cardioprotective agent </t>
  </si>
  <si>
    <t xml:space="preserve"> Used to protect the heart against the cardiotoxic side effects of anthracyclines, such as doxorubicin. As a EDTA derivative, dexrazoxane chelates iron, thus reduces the number of metal ions complexed with anthracycline and, consequently, decreases the formation of superoxide radicals. 
</t>
  </si>
  <si>
    <t>CC(=O)NC1=C(C(=C(C(=C1I)C(=O)O)I)NC(=O)C)I.CNC[C@@H]([C@H]([C@@H]([C@@H](CO)O)O)O)O</t>
  </si>
  <si>
    <t>Diatrizoate Meglumine</t>
  </si>
  <si>
    <t>7-E09</t>
  </si>
  <si>
    <t>131-49-7</t>
  </si>
  <si>
    <t xml:space="preserve"> Radiocontrast agent </t>
  </si>
  <si>
    <t xml:space="preserve">Iodine-containing radiocontrast agent. Also used to kill tapeworms. </t>
  </si>
  <si>
    <t xml:space="preserve">Gastrografin is a hypertonic solution, and therefore it should be avoided in imaging studies of the upper gastrointestinal tract in patients who are at risk of aspiration, as it will cause prompt pulmonary edema if accidentally introduced into the tracheobronchial tree.
Urografin is not to be used for myelography, ventriculography or cisternography, since it is likely to provoke neurotoxic symptoms in these examinations. 
</t>
  </si>
  <si>
    <t>7-E10</t>
  </si>
  <si>
    <t>CC1=C(C(=NO1)C2=C(C=CC=C2Cl)Cl)C(=O)N[C@H]3[C@@H]4N(C3=O)[C@H](C(S4)(C)C)C(=O)[O-].O.[Na+]</t>
  </si>
  <si>
    <t>Dicloxacillin·Na Salt Monohydrate</t>
  </si>
  <si>
    <t>7-E11</t>
  </si>
  <si>
    <t>13412-64-1</t>
  </si>
  <si>
    <t xml:space="preserve"> Narrow-spectrum β-lactam antibiotic of the penicillin class. Acts by inhibiting the synthesis of bacterial cell walls. Specifically, it inhibits cross-linkage between the linear peptidoglycan polymer chains that make up a major component of the cell wall of Gram-positive bacteria.
</t>
  </si>
  <si>
    <t>Common adverse drug reactions include: diarrhoea, nausea, rash, urticaria, pain and inflammation at injection site, superinfection (including candidiasis) and allergy. 
On rare occasions, cholestatic jaundice (also referred to as cholestatic hepatitis) has been reported.</t>
  </si>
  <si>
    <t>CCN(CC)CCOC(=O)C1(CCCCC1)C2CCCCC2.Cl</t>
  </si>
  <si>
    <t>Dicyclomine·HCl</t>
  </si>
  <si>
    <t>7-F02</t>
  </si>
  <si>
    <t>67-92-5</t>
  </si>
  <si>
    <t>Antispasmodic; Intestinal hypermotility treatment, relieves the symptoms of Irritable Bowel Syndrome (IBS)</t>
  </si>
  <si>
    <t>Action is achieved via a dual mechanism: (1) a specific anticholinergic effect (antimuscarinic) at the acetylcholine-receptor sites and (2) a direct effect upon smooth muscle (musculotropic).</t>
  </si>
  <si>
    <t>Dicyclomine can cause a range of anticholinergic side effects such as dry mouth, nausea, and, at higher doses, deliriant effects. Recreational use of this drug for its anticholinergic effects has been rarely reported.</t>
  </si>
  <si>
    <t>C[C@]12CCC3=C4CCC(=O)C=C4CC[C@H]3[C@@H]1CC[C@]2(CC#N)O</t>
  </si>
  <si>
    <t>Dienogest</t>
  </si>
  <si>
    <t>7-F03</t>
  </si>
  <si>
    <t>65928-58-7</t>
  </si>
  <si>
    <t>Synthetic progesterone</t>
  </si>
  <si>
    <t>Adverse effects associated with dienogest are the same as those expected of a progestogen. These include weight gain, increased blood pressure, breast tenderness and nausea. It produces no androgenic side effects and has little effect on metabolic and lipid haemostatic parameters.</t>
  </si>
  <si>
    <t>7-F04</t>
  </si>
  <si>
    <t>CCCC(=O)O[C@@]1(CC[C@@H]2[C@@]1(C[C@@H]([C@]3([C@H]2C[C@@H](C4=CC(=O)C=C[C@@]43C)F)F)O)C)C(=O)COC(=O)C</t>
  </si>
  <si>
    <t>Difluprednate</t>
  </si>
  <si>
    <t>7-F05</t>
  </si>
  <si>
    <t>23674-86-4</t>
  </si>
  <si>
    <t xml:space="preserve">Corticosteroid, Anti-inflammatory </t>
  </si>
  <si>
    <t>Phospholipase A2 inhibitory proteins (lipocortins) inducer. It is postulated that these proteins control the biosynthesis of potent mediators of infammation such as prostaglandins and leukotrienes by inhibiting the release of their common precursor arachidonic acid. Arachidonic acid is released from membrane phospholipids by phospholipase A2.</t>
  </si>
  <si>
    <t>Preclinical pharmacokinetic and toxicity studies have established that difluprednate ophthalmic emulsion 0.05% given 4 times a day is not toxic to the eye.</t>
  </si>
  <si>
    <t xml:space="preserve">C[C@@H]1[C@H]([C@H](C[C@@H](O1)O[C@@H]2[C@H](O[C@H](C[C@@H]2O)O[C@@H]3[C@H](O[C@H](C[C@@H]3O)O[C@H]4CC[C@]5([C@@H](C4)CC[C@@H]6[C@@H]5C[C@H]([C@]7([C@@]6(CC[C@@H]7C8=CC(=O)OC8)O)C)O)C)C)C)O)O
</t>
  </si>
  <si>
    <t>Digoxin</t>
  </si>
  <si>
    <t>7-F06</t>
  </si>
  <si>
    <t>20830-75-5</t>
  </si>
  <si>
    <t xml:space="preserve">Antiarrhythmic, Cardiotonic </t>
  </si>
  <si>
    <t xml:space="preserve">Cardiac Glycoside; Na+/K+ ATPase Pump Antagonist. </t>
  </si>
  <si>
    <t>Risk of serious cardiomyopathy (esp.  ventricular fibrillation).</t>
  </si>
  <si>
    <t>CN1C2=C(C(=O)N(C1=O)C)NC(=N2)Cl.CN(C)CCOC(C1=CC=CC=C1)C2=CC=CC=C2</t>
  </si>
  <si>
    <t>Dimenhydrinate</t>
  </si>
  <si>
    <t>7-F07</t>
  </si>
  <si>
    <t>523-87-5</t>
  </si>
  <si>
    <t xml:space="preserve"> Nausea and motion sickness treatment</t>
  </si>
  <si>
    <t xml:space="preserve"> H1-antagonist, but also possesses an antimuscarinic effect.</t>
  </si>
  <si>
    <t xml:space="preserve">Among the more serious adverse reactions are skin rash, hypersensitivity reactions, and tachycardia. Drowsiness and dry mouth are common. </t>
  </si>
  <si>
    <t>CC(C)N(CCC(C1=CC=CC=C1)(C2=CC=CC=N2)C(=O)N)C(C)C</t>
  </si>
  <si>
    <t xml:space="preserve">Disopyramide </t>
  </si>
  <si>
    <t>7-F08</t>
  </si>
  <si>
    <t>Class IA antiarrhythmic; sodium channel blocker</t>
  </si>
  <si>
    <t>C1=CC(=C(C=C1CCN)O)O.Cl</t>
  </si>
  <si>
    <t>Dopamine·HCl</t>
  </si>
  <si>
    <t>7-F09</t>
  </si>
  <si>
    <t>62-31-7</t>
  </si>
  <si>
    <t xml:space="preserve"> Catecholamine neurotransmitter</t>
  </si>
  <si>
    <t xml:space="preserve"> Non-selective dopamine receptor agonist. </t>
  </si>
  <si>
    <t>Naturally occuring neurotransmitter.</t>
  </si>
  <si>
    <t>C[C@@H]1[C@@H]2[C@H](C(=O)N2C(=C1S[C@H]3C[C@H](NC3)CNS(=O)(=O)N)C(=O)O)[C@@H](C)O</t>
  </si>
  <si>
    <t>Doripenem</t>
  </si>
  <si>
    <t>7-F10</t>
  </si>
  <si>
    <t>148016-81-3</t>
  </si>
  <si>
    <t>Ultra-broad spectrum antibiotic</t>
  </si>
  <si>
    <t xml:space="preserve">Inhibits renal dehydropeptidase-1 hydrolysis due to its structure containing a single side chain, 1-β methyl. Additionally, within the molecular structure a sulfamoylaminomethyl-pyrrolindinylthio group is attached to a side chain giving the molecule increased antibacterial action against gram-negative microbes. In vivo, doripenem inhibits the synthesis of cell walls by attaching itself to penicillin binding proteins, also known as PBPs.
</t>
  </si>
  <si>
    <t xml:space="preserve">Used for bacterial infections such as: complex abdominal infections, pneumonia within the setting of a hospital, and complicated infections of the urinary tract including kidney infections with septicemia. </t>
  </si>
  <si>
    <t>CCN1CC(C(C1=O)(C2=CC=CC=C2)C3=CC=CC=C3)CCN4CCOCC4.O.Cl</t>
  </si>
  <si>
    <t>Doxapram·HCl H2O</t>
  </si>
  <si>
    <t>7-F11</t>
  </si>
  <si>
    <t>7081-53-0</t>
  </si>
  <si>
    <t>Respiratory stimulant</t>
  </si>
  <si>
    <t xml:space="preserve">Stimulates chemoreceptors in the carotid arteries, which in turn, stimulates the respiratory centre in the brain stem.
</t>
  </si>
  <si>
    <t xml:space="preserve">High blood pressure, panic attacks, tachycardia (rapid heart rate), tremor, sweating and vomiting may occur. Convulsions have been reported. It cannot be used in patients with coronary heart disease, epilepsy and high blood pressure. </t>
  </si>
  <si>
    <t>CN(C)CCC=C1C2=CC=CC=C2COC3=CC=CC=C31.Cl</t>
  </si>
  <si>
    <t>7-G02</t>
  </si>
  <si>
    <t>1229-29-4</t>
  </si>
  <si>
    <t>Psychotropic Agent with Tricyclic Antidepressant and Anxiolytic Properties</t>
  </si>
  <si>
    <t>Serotonin-Norepinephrine Reuptake Inhibitor (mostly NE) and H1, H2  and  5-HT2, α1-adrenergic, mACh Receptor Antagonist. Risk of agranulocytosis, anemia, thrombocytopenia, and leukopenia.</t>
  </si>
  <si>
    <t>CNS side effects include fatigue, dizziness, drowsiness, lightheadedness, confusion, nightmares, agitation, increased anxiety, insomnia, seizures (infrequently), delirium, rarely induction of hypomania and schizophrenia (stop medication immediately). 
Anticholinergic: dry mouth, obstipation, even ileus (rarely), difficulties in urinating, sweating, precepitation of glaucoma. 
Antiadrenergic: hypotension, postural collapse, arrhythmias (sinus-tachycardia, bradycardia, av-blockade). 
Allergic/toxic: skin rash, photosensitivity, liver damage of the cholostatic type (rarely), hepatitis (extremely rare), leuko- or thrombopenia (rarely), agranulocytosis (very rarely), hypoplastic anemia (rarely). 
Others : frequently increased appetite, weight gain, rarely nausea, frequently impaired sexual function.</t>
  </si>
  <si>
    <t>C1CN(CC=C1N2C3=CC=CC=C3NC2=O)CCCC(=O)C4=CC=C(C=C4)F</t>
  </si>
  <si>
    <t>Droperidol</t>
  </si>
  <si>
    <t>7-G03</t>
  </si>
  <si>
    <t>548-73-2</t>
  </si>
  <si>
    <t>Sedative/Anti-nausea/Anesthesia Adjunct</t>
  </si>
  <si>
    <t>Potent D1, D2 Receptor Antagonist with Some Histamine and Serotonin Antagonist Activity; Risk of causing torsades de pointes.</t>
  </si>
  <si>
    <t>Dysphoria, sedation, hypotension resulting from peripheral alpha adrenoceptor blockade, prolongation of QT interval which can lead to Torsades de Pointes, and extrapyramidal side effects such as dystonic reactions/neuroleptic malignant syndrome.</t>
  </si>
  <si>
    <t>C[C@]12CCC(=O)C=C1[C@@H]3C[C@@H]3[C@@H]4[C@@H]2CC[C@]5([C@H]4[C@@H]6C[C@@H]6[C@@]57CCC(=O)O7)C</t>
  </si>
  <si>
    <t>Drospirenone</t>
  </si>
  <si>
    <t>7-G04</t>
  </si>
  <si>
    <t>67392-87-4</t>
  </si>
  <si>
    <t>Synthetic progestin. Has anti-mineralocorticoid properties, counteracts the estrogen-stimulated activity of the renin-angiotensin-aldosterone system, and is not androgenic. With its activities similar to spironolactone it may lead to less water retention and breast tenderness while improving skin appearance</t>
  </si>
  <si>
    <t>Women who take contraceptive pills containing drospirenone have a six- to sevenfold risk of developing thromboembolism compared to women who do not take any contraceptive pill, and twice the risk of women who take a contraceptive pill containing levonorgestrel.</t>
  </si>
  <si>
    <t>CNCCC(C1=CC=CS1)OC2=CC=CC3=CC=CC=C32.Cl</t>
  </si>
  <si>
    <t>Duloxetine·HCl</t>
  </si>
  <si>
    <t>7-G05</t>
  </si>
  <si>
    <t>136434-34-9</t>
  </si>
  <si>
    <t xml:space="preserve"> Serotonin-norepinephrine reuptake inhibitor. </t>
  </si>
  <si>
    <t>Nausea, somnolence, insomnia, and dizziness are the main side effects, reported by about 10% to 20% of patients.</t>
  </si>
  <si>
    <t>C[C@]12CC[C@H]3[C@H]([C@@H]1CC[C@@H]2C(=O)NC4=C(C=CC(=C4)C(F)(F)F)C(F)(F)F)CC[C@@H]5[C@@]3(C=CC(=O)N5)C</t>
  </si>
  <si>
    <t>Dutasteride</t>
  </si>
  <si>
    <t>7-G06</t>
  </si>
  <si>
    <t>164656-23-9</t>
  </si>
  <si>
    <t xml:space="preserve"> Treatment of benign prostatic hyperplasia (BPH) and male pattern baldness (MPB).</t>
  </si>
  <si>
    <t xml:space="preserve"> Dual 5-α reductase inhibitor that inhibits conversion of testosterone to dihydrotestosterone (DHT).
</t>
  </si>
  <si>
    <t>Side effects: Impotence: 4.7%, Decreased libido: 3%, Ejaculation disorders: 1.4%, Breast disorders: 0.5%.</t>
  </si>
  <si>
    <t>CN1C2=C(C(=O)N(C1=O)C)N(C=N2)CC(CO)O</t>
  </si>
  <si>
    <t>Dyphylline</t>
  </si>
  <si>
    <t>7-G07</t>
  </si>
  <si>
    <t>479-18-5</t>
  </si>
  <si>
    <t>Antiasthmatic</t>
  </si>
  <si>
    <t xml:space="preserve"> Xanthine derivative with bronchodilator and vasodilator effects. Adenosine receptor antagonist and phosphodiesterase inhibitor.</t>
  </si>
  <si>
    <t xml:space="preserve">Among the more serious adverse reactions are GI distress, dizziness, tachycardia, headache, and palpitations. </t>
  </si>
  <si>
    <t>C1=CC(=CC=C1COC(CN2C=CN=C2)C3=C(C=C(C=C3)Cl)Cl)Cl.[N+](=O)(O)[O-]</t>
  </si>
  <si>
    <t>Econazole Nitrate</t>
  </si>
  <si>
    <t>7-G08</t>
  </si>
  <si>
    <t>24169-02-6</t>
  </si>
  <si>
    <t xml:space="preserve">Ergosterol biosynthesis inhibitor (Cytochrome P450-dependent 14α-demethylase Inhibitor). </t>
  </si>
  <si>
    <t>The most serious side effects are local irritation and hypersensitivity of the skin.</t>
  </si>
  <si>
    <t>7-G09</t>
  </si>
  <si>
    <t>C(CC(C(F)F)(C(=O)O)N)CN.Cl</t>
  </si>
  <si>
    <t>2,5-diamino-2-(difluoromethyl)pentanoic acid;hydrochloride</t>
  </si>
  <si>
    <t>Eflornithine·HCl</t>
  </si>
  <si>
    <t>7-G10</t>
  </si>
  <si>
    <t>68278-23-9</t>
  </si>
  <si>
    <t xml:space="preserve"> Facial hirsutism and African trypanosomiasis (sleeping sickness) treatment</t>
  </si>
  <si>
    <t>Irreversible inhibitor of ornithine decarboxylase (ODC), which catalyses the conversion of ornithine to putrescine, which plays an important role in cell division and proliferation in the hair follicle. Kills trypanosomes by acting as a suicide inhibitor of the enzyme ornithine decarboxylase.</t>
  </si>
  <si>
    <t>The most frequently reported side effect is acne (7-14%). Other side effects commonly (&gt; 1%) reported are skin problems, such as skin reactions from in-growing hair, hair loss, burning, stinging or tingling sensations, dry skin, itching, redness or rash.                                                      Most side effects related to systemic use of the drug are transient and reversible by discontinuing the drug or decreasing the dose. Hematologic abnormalities occur frequently, ranging from 10–55%. Thrombocytopenia is thought to be due to a production defect rather than to peripheral destruction. Seizures were seen in approximately 8% of patients, but may be related to the disease state rather than the drug. Reversible hearing loss has occurred in 30–70% of patients receiving long-term therapy (more than 4–8 weeks of therapy or a total dose of &gt;300 grams).</t>
  </si>
  <si>
    <t>C1C2C3=CC=CC=C3CC4=CC=CC=C4N2C(=N1)N.Cl</t>
  </si>
  <si>
    <t>2,4-diazatetracyclo[12.4.0.0²,⁶.0⁷,¹²]octadeca-1(18),3,7,9,11,14,16-heptaen-3-amine hydrochloride</t>
  </si>
  <si>
    <t>Epinastine·HCl</t>
  </si>
  <si>
    <t>7-G11</t>
  </si>
  <si>
    <t> 108929-04-0</t>
  </si>
  <si>
    <t xml:space="preserve"> Antiallergic, Antihistamine, Mast cell stabilizer </t>
  </si>
  <si>
    <t>Antihistamine binding primarily to 5-HT2a, 5-HT7, and 5-HT3 receptors</t>
  </si>
  <si>
    <t>For the prevention of itching associated with allergic conjunctivitis.</t>
  </si>
  <si>
    <t>CC1C(C(CC(O1)OC2CC(CC3=C(C4=C(C(=C23)O)C(=O)C5=C(C4=O)C=CC=C5OC)O)(C(=O)CO)O)N)O.Cl</t>
  </si>
  <si>
    <t>7-(4-amino-5-hydroxy-6-methyloxan-2-yl)oxy-6,9,11-trihydroxy-9-(2-hydroxyacetyl)-4-methoxy-8,10-dihydro-7H-tetracene-5,12-dione;hydrochloride</t>
  </si>
  <si>
    <t>Epirubicin·HCl</t>
  </si>
  <si>
    <t>7-H02</t>
  </si>
  <si>
    <t>56390-09-1</t>
  </si>
  <si>
    <t xml:space="preserve">Anthracycline-type DNA intercalator, triggers DNA cleavage by topoisomerase II and DNA damage by free radical generation. </t>
  </si>
  <si>
    <t>Bone marrow aplasia, grade 4 mucositis, and gastrointestinal bleeding are main side effects.</t>
  </si>
  <si>
    <t>C[C@]12CCC(=O)C=C1C[C@H]([C@@H]3[C@]24[C@H](O4)C[C@]5([C@H]3CC[C@@]56CCC(=O)O6)C)C(=O)OC</t>
  </si>
  <si>
    <t>methyl (1'R,2R,2'S,9'R,10'R,11'S,15'S,17'R)-2',15'-dimethyl-5,5'-dioxo-18'-oxaspiro[oxolane-2,14'-pentacyclo[8.8.0.0¹,¹⁷.0²,⁷.0¹¹,¹⁵]octadecan]-6'-ene-9'-carboxylate</t>
  </si>
  <si>
    <t>Eplerenone</t>
  </si>
  <si>
    <t>7-H03</t>
  </si>
  <si>
    <t>107724-20-9</t>
  </si>
  <si>
    <t xml:space="preserve"> Potassium-sparing diuretic, Antihypertensive</t>
  </si>
  <si>
    <t xml:space="preserve"> Aldosterone antagonist. Mineralocorticoid receptor (MR) ligand.</t>
  </si>
  <si>
    <t>Common adverse drug reactions associated with the use of eplerenone include: hyperkalaemia, hypotension, dizziness, altered renal function, and increased creatinine concentration.</t>
  </si>
  <si>
    <t>C1CC2C(=O)NC(CSSCCC(=O)NC(C(=O)NCC(=O)NC(C(=O)NC(C(=O)N2C1)CC3=CNC4=CC=CC=C43)CC(=O)O)CCCCN=C(N)N)C(=O)N</t>
  </si>
  <si>
    <t>2-[(3S,6S,12S,20R,23S)-20-carbamoyl-12-[4-(diaminomethylideneamino)butyl]-3-(1H-indol-3-ylmethyl)-2,5,8,11,14,22-hexaoxo-17,18-dithia-1,4,7,10,13,21-hexazabicyclo[21.3.0]hexacosan-6-yl]acetic acid</t>
  </si>
  <si>
    <t>Eptifibatide</t>
  </si>
  <si>
    <t>7-H04</t>
  </si>
  <si>
    <t>188627-80-7</t>
  </si>
  <si>
    <t>Antiplatelet, anticoagulant</t>
  </si>
  <si>
    <t xml:space="preserve"> Glycoprotein IIb/IIIa inhibitor. Arginine-glycine-aspartate-mimetic reversibly binding to platelets.</t>
  </si>
  <si>
    <t>Thrombocytopenia, Renal insufficiency.</t>
  </si>
  <si>
    <t>CC[C@@H]1[C@@]([C@@H]([C@H](C(=O)[C@@H](C[C@@]([C@@H]([C@H]([C@@H]([C@H](C(=O)O1)C)O[C@H]2C[C@@]([C@H]([C@@H](O2)C)O)(C)OC)C)O[C@H]3[C@@H]([C@H](C[C@H](O3)C)N(C)C)O)(C)O)C)C)O)(C)O</t>
  </si>
  <si>
    <t>(3R,4S,5S,6R,7R,9R,11R,12R,13S,14R)-6-[(2S,3R,4S,6R)-4-(dimethylamino)-3-hydroxy-6-methyloxan-2-yl]oxy-14-ethyl-7,12,13-trihydroxy-4-[(2R,4R,5S,6S)-5-hydroxy-4-methoxy-4,6-dimethyloxan-2-yl]oxy-3,5,7,9,11,13-hexamethyl-oxacyclotetradecane-2,10-dione</t>
  </si>
  <si>
    <t>Erythromycin</t>
  </si>
  <si>
    <t>7-H05</t>
  </si>
  <si>
    <t>114-07-8</t>
  </si>
  <si>
    <t xml:space="preserve"> Macrolide antibiotic</t>
  </si>
  <si>
    <t>Erythromycin interferes with aminoacyl translocation, preventing the transfer of the tRNA bound at the A site of the rRNA complex to the P site of the rRNA complex.</t>
  </si>
  <si>
    <t>Cardiotoxicity, Hepatotoxicity</t>
  </si>
  <si>
    <t>C[C@]12CC[C@H]3[C@H]([C@@H]1CC[C@@H]2OP(=O)([O-])[O-])CCC4=C3C=CC(=C4)OC(=O)N(CCCl)CCCl.[Na+].[Na+]</t>
  </si>
  <si>
    <t>disodium;[(8R,9S,13S,14S,17S)-3-[bis(2-chloroethyl)carbamoyloxy]-13-methyl-6,7,8,9,11,12,14,15,16,17-decahydrocyclopenta[a]phenanthren-17-yl] phosphate</t>
  </si>
  <si>
    <t>Estramustine Phosphate·Na</t>
  </si>
  <si>
    <t>7-H06</t>
  </si>
  <si>
    <t> 52205-73-9</t>
  </si>
  <si>
    <t>Nitrogen mustard type alkylating agent; Estradiol analog.</t>
  </si>
  <si>
    <t>C[C@]12CC[C@H]3[C@H]([C@@H]1CCC2=O)CCC4=C3C=CC(=C4)OS(=O)(=O)O.C1CNCCN1</t>
  </si>
  <si>
    <t>[(8R,9S,13S,14S)-13-methyl-17-oxo-7,8,9,11,12,14,15,16-octahydro-6H-cyclopenta[a]phenanthren-3-yl] hydrogen sulfate;piperazine</t>
  </si>
  <si>
    <t>Estropipate</t>
  </si>
  <si>
    <t>7-H07</t>
  </si>
  <si>
    <t>7280-37-7</t>
  </si>
  <si>
    <t>Hormonal replacement, Antineoplastic</t>
  </si>
  <si>
    <t xml:space="preserve">Estrogen receptor agonist.  Also inhibits organic anion transporting polypeptide 1B1. </t>
  </si>
  <si>
    <t>Gastrointestinal effects are common and most often include nausea and vomiting. Estrogens may cause abnormal uterine bleeding (which must be carefully distinguished from bleeding related to endometrial carcinoma).</t>
  </si>
  <si>
    <t>CN1CCN(CC1)C(=O)O[C@H]2C3=NC=CN=C3C(=O)N2C4=NC=C(C=C4)Cl</t>
  </si>
  <si>
    <t>[(7S)-6-(5-chloropyridin-2-yl)-5-oxo-7H-pyrrolo[3,4-b]pyrazin-7-yl] 4-methylpiperazine-1-carboxylate</t>
  </si>
  <si>
    <t>Eszopiclone</t>
  </si>
  <si>
    <t>7-H08</t>
  </si>
  <si>
    <t>138729-47-2</t>
  </si>
  <si>
    <t xml:space="preserve"> Nonbenzodiazepine hypnotic</t>
  </si>
  <si>
    <t xml:space="preserve">Agonist of benzodiazepine binding site situated on GABAA </t>
  </si>
  <si>
    <t>DEA Schedule IV Controlled Substance.</t>
  </si>
  <si>
    <t>CC[C@@H](CO)NCCN[C@@H](CC)CO.Cl.Cl</t>
  </si>
  <si>
    <t>(2S)-2-[2-[[(2S)-1-hydroxybutan-2-yl]amino]ethylamino]butan-1-ol;dihydrochloride</t>
  </si>
  <si>
    <t>Ethambutol Dihydrochloride</t>
  </si>
  <si>
    <t>7-H09</t>
  </si>
  <si>
    <t>1070-11-7</t>
  </si>
  <si>
    <t xml:space="preserve"> Bacteriostatic, antimycobacterial</t>
  </si>
  <si>
    <t xml:space="preserve"> Arabinosyl transferase inhibitor.</t>
  </si>
  <si>
    <t>Adverse effects include: Optic neuritis, (hence contraindicated in children below six years of age),  
Red-green color blindness, Peripheral neuropathy, Arthralgia, Hyperuricaemia, Vertical nystagmus 
Milk skin reaction.</t>
  </si>
  <si>
    <t>7-H10</t>
  </si>
  <si>
    <t>C[C@]12CC[C@H]3[C@H]([C@@H]1CC[C@]2(C#C)O)CCC4=C3C=CC(=C4)O</t>
  </si>
  <si>
    <t>(8R,9S,13S,14S,17R)-17-ethynyl-13-methyl-7,8,9,11,12,14,15,16-octahydro-6H-cyclopenta[a]phenanthrene-3,17-diol</t>
  </si>
  <si>
    <t>7-H11</t>
  </si>
  <si>
    <t>57-63-6</t>
  </si>
  <si>
    <t>Estrogen receptor activator. The first orally active semisynthetic steroidal estrogen.</t>
  </si>
  <si>
    <t>Hematologic side effects include hypercoagulability.</t>
  </si>
  <si>
    <t>CCC1=NC=CC(=C1)C(=S)N</t>
  </si>
  <si>
    <t>2-ethylpyridine-4-carbothioamide</t>
  </si>
  <si>
    <t>Ethionamide</t>
  </si>
  <si>
    <t>8-A02</t>
  </si>
  <si>
    <t>536-33-4</t>
  </si>
  <si>
    <t xml:space="preserve"> Antibiotic, antimycobacterial</t>
  </si>
  <si>
    <t>Agent causing disruption of mycolic acid.</t>
  </si>
  <si>
    <t>Symptoms of overdose include convulsions, nausea, and vomiting.</t>
  </si>
  <si>
    <t>CCC1(CC(=O)NC1=O)C</t>
  </si>
  <si>
    <t>3-ethyl-3-methylpyrrolidine-2,5-dione</t>
  </si>
  <si>
    <t>Ethosuximide</t>
  </si>
  <si>
    <t>8-A03</t>
  </si>
  <si>
    <t>77-67-8</t>
  </si>
  <si>
    <t xml:space="preserve"> Anticonvulsant</t>
  </si>
  <si>
    <t xml:space="preserve">T-type calcium channel blocker </t>
  </si>
  <si>
    <t>Side reactions: suicidal tendencies, drowsiness, mental confusion and insomnia.</t>
  </si>
  <si>
    <t>CCC1=CC=CC2=C1NC3=C2CCOC3(CC)CC(=O)O</t>
  </si>
  <si>
    <t>2-(1,8-diethyl-4,9-dihydro-3H-pyrano[3,4-b]indol-1-yl)acetic acid</t>
  </si>
  <si>
    <t>Etodolac</t>
  </si>
  <si>
    <t>8-A04</t>
  </si>
  <si>
    <t>41340-25-4</t>
  </si>
  <si>
    <t>Nonsteroidal anti-inflammatory</t>
  </si>
  <si>
    <t xml:space="preserve"> Cyclooxygenase inhibitor, somewhat COX-2 selective. </t>
  </si>
  <si>
    <t xml:space="preserve">Etodolac may cause the following side effects: 
Constipation, diarrhea, gas or bloating, vomiting, headache, dizziness, ringing in the ears, runny nose, sore throat, blurred vision. </t>
  </si>
  <si>
    <t>CCOC(=O)C1=CN=CN1C(C)C2=CC=CC=C2</t>
  </si>
  <si>
    <t>ethyl 3-[(1R)-1-phenylethyl]imidazole-4-carboxylate</t>
  </si>
  <si>
    <t>Etomidate</t>
  </si>
  <si>
    <t>8-A05</t>
  </si>
  <si>
    <t>33125-97-2</t>
  </si>
  <si>
    <t>General anaesthetic, sedative</t>
  </si>
  <si>
    <t>Modulator at GABAA receptors containing β3 subunits.</t>
  </si>
  <si>
    <t>Using a continuous etomidate infusion for sedation of critically ill patients in intensive care units has been associated with increased mortality due to adrenal suppression. Post operative vomiting is more common than with other induction agents.</t>
  </si>
  <si>
    <t>CC[C@]12CC(=C)[C@H]3[C@H]([C@@H]1CC[C@]2(C#C)O)CCC4=CC(=O)CC[C@H]34</t>
  </si>
  <si>
    <t>(8S,9S,10R,13S,14S,17R)-13-ethyl-17-ethynyl-17-hydroxy-11-methylidene-2,6,7,8,9,10,12,14,15,16-decahydro-1H-cyclopenta[a]phenanthren-3-one</t>
  </si>
  <si>
    <t>Etonogestrel</t>
  </si>
  <si>
    <t>8-A06</t>
  </si>
  <si>
    <t>54048-10-1</t>
  </si>
  <si>
    <t xml:space="preserve"> Hormonal contraceptive</t>
  </si>
  <si>
    <t>Synthetic progestin. Progesterone and estrogen receptor activator.</t>
  </si>
  <si>
    <t xml:space="preserve">Associated with a higher risk of venous thrombosis. </t>
  </si>
  <si>
    <t>C[C@@H]1CC[C@H]2C[C@@H](/C(=C/C=C/C=C\[C@H](C[C@H](C(=O)[C@@H]([C@@H](/C(=C/[C@H](C(=O)C[C@H](OC(=O)[C@@H]3CCCCN3C(=O)C(=O)[C@@]1(O2)O)[C@H](C)C[C@@H]4CC[C@H]([C@@H](C4)OC)OCCO)C)/C)O)OC)C)C)/C)OC</t>
  </si>
  <si>
    <t>(1R,9S,12S,15R,16E,18R,19R,21R,23S,24E,26E,28E,30S,32S,35R)-32-hydrogenio-1,18-dihydroxy-12-[(2R)-1-[(3R,4R)-4-(2-hydroxyethoxy)-3-methoxycyclohexyl]propan-2-yl]-19,30-dimethoxy-15,17,21,23,29,35-hexamethyl-11,36-dioxa-4-azatricyclo[30.3.1.0⁴,⁹]hexatriaconta-16,24,26,28-tetraene-2,3,10,14,20-pentone</t>
  </si>
  <si>
    <t>Everolimus</t>
  </si>
  <si>
    <t>8-A07</t>
  </si>
  <si>
    <t>159351-69-6</t>
  </si>
  <si>
    <t xml:space="preserve">mTOR (mammalian target of rapamycin) inhibitor (mTORC1 protein specifically).
</t>
  </si>
  <si>
    <t>Very pronounced side effects affecting multiple systems.</t>
  </si>
  <si>
    <t>C1=CC(=CC=C1[C@@H]2[C@H](C(=O)N2C3=CC=C(C=C3)F)CC[C@@H](C4=CC=C(C=C4)F)O)O</t>
  </si>
  <si>
    <t>(3R,4S)-1-(4-fluorophenyl)-3-[(3S)-3-(4-fluorophenyl)-3-hydroxypropyl]-4-(4-hydroxyphenyl)azetidin-2-one</t>
  </si>
  <si>
    <t>Ezetimibe</t>
  </si>
  <si>
    <t>8-A08</t>
  </si>
  <si>
    <t>163222-33-1</t>
  </si>
  <si>
    <t>Hypercholesterolemia</t>
  </si>
  <si>
    <t>Inhibits intestinal cholesterol absorption. Specifically, it appears to bind to a critical mediator of cholesterol absorption, the Niemann-Pick C1-Like 1 (NPC1L1) protein on the gastrointestinal tract epithelial cells and hepatocytes.</t>
  </si>
  <si>
    <t>CC1=C(SC(=N1)C2=CC(=C(C=C2)OCC(C)C)C#N)C(=O)O</t>
  </si>
  <si>
    <t>2-[3-cyano-4-(2-methylpropoxy)phenyl]-4-methyl-1,3-thiazole-5-carboxylic acid</t>
  </si>
  <si>
    <t>Febuxostat</t>
  </si>
  <si>
    <t>8-A09</t>
  </si>
  <si>
    <t>144060-53-7</t>
  </si>
  <si>
    <t>Hyperuricemia and gout treatment</t>
  </si>
  <si>
    <t xml:space="preserve">Non-purine selective xanthine oxidase inhibitor; It non-competitively blocks the channel leading to the active site on xanthine oxidase. Xanthine oxidase is needed to successively oxidize both hypoxanthine and xanthine to uric acid. </t>
  </si>
  <si>
    <t>The adverse effects associated with febuxostat therapy include nausea, diarrhea, arthralgia, headache, increased hepatic serum enzyme levels and rash.</t>
  </si>
  <si>
    <t>CC(C)(C1=CC=C(C=C1)C(CCCN2CCC(CC2)C(C3=CC=CC=C3)(C4=CC=CC=C4)O)O)C(=O)O.Cl</t>
  </si>
  <si>
    <t>2-[4-[1-hydroxy-4-[4-[hydroxy(diphenyl)methyl]piperidin-1-yl]butyl]phenyl]-2-methylpropanoic acid;hydrochloride</t>
  </si>
  <si>
    <t>Fexofenadine·HCl</t>
  </si>
  <si>
    <t>8-A10</t>
  </si>
  <si>
    <t>153439-40-8</t>
  </si>
  <si>
    <t>H1 receptor antagonist</t>
  </si>
  <si>
    <t>The most common side effects are headache, nausea, dizziness, drowsiness and sleepiness; nervousness, nightmares and frequent coughing are seen in less than 1% of patients. In studies, all of these effects occurred with similar frequencies as under placebo.</t>
  </si>
  <si>
    <t>CCCCCCCCC1=CC=C(C=C1)CCC(CO)(CO)N</t>
  </si>
  <si>
    <t>2-amino-2-[2-(4-octylphenyl)ethyl]propane-1,3-diol</t>
  </si>
  <si>
    <t>8-A11</t>
  </si>
  <si>
    <t>162359-55-9</t>
  </si>
  <si>
    <t>Immunomodulator approved for treating multiple sclerosis.</t>
  </si>
  <si>
    <t xml:space="preserve">Structural analogue of sphingosine. Gets phosphorylated by sphingosine kinases in the cell (most importantly sphingosine kinase. Has also been reported to be a cannabinoid receptor antagonist, a cPLA2 inhibitor and a ceramide synthase inhibitor.
</t>
  </si>
  <si>
    <t xml:space="preserve">Fingolimod has been associated with potentially fatal infections, bradycardia, skin cancer and, recently, a case of hemorrhaging focal encephalitis, an inflammation of the brain with bleeding.
The most common side effects of fingolimod have been head colds, headache, and fatigue, but a few cases of skin cancer have been reported, which has also been reported in patients taking natalizumab (Tysabri), an approved MS drug. </t>
  </si>
  <si>
    <t>CC1=C(OC2=C(C1=O)C=CC=C2C(=O)OCCN3CCCCC3)C4=CC=CC=C4.Cl</t>
  </si>
  <si>
    <t>2-piperidin-1-ylethyl 3-methyl-4-oxo-2-phenylchromene-8-carboxylate;hydrochloride</t>
  </si>
  <si>
    <t>Flavoxate·HCl</t>
  </si>
  <si>
    <t>8-B02</t>
  </si>
  <si>
    <t> 3717-88-2</t>
  </si>
  <si>
    <t xml:space="preserve"> Anticholinergic with antimuscarinic effects</t>
  </si>
  <si>
    <t>Flavoxate is generally well tolerated, but can potentially cause, vomiting, upset stomach, dry mouth or throat, blurred vision, eye pain, and increased sensitivity of your eyes to light.</t>
  </si>
  <si>
    <t>C1=NC(=O)NC(=C1F)N</t>
  </si>
  <si>
    <t>6-amino-5-fluoro-1H-pyrimidin-2-one</t>
  </si>
  <si>
    <t>Flucytosine</t>
  </si>
  <si>
    <t>8-B03</t>
  </si>
  <si>
    <t>2022-85-7</t>
  </si>
  <si>
    <t xml:space="preserve"> Antimycotic</t>
  </si>
  <si>
    <t xml:space="preserve">Uracil analog and fluorouracil prodrug;  It is intrafungally converted into the cytostatic fluorouracil that undergoes further steps of activation and finally, as 5-fluorouridinetriphosphate, interferes with RNA biosynthesis and disturbs the building of essential proteins. It also gets converted to 5-fluorodeoxyuridinemonophosphate which inhibits fungal DNA synthesis.
</t>
  </si>
  <si>
    <t xml:space="preserve">Antiproliferative actions on bone marrow and GI tissue. Due to the drug's preference to affect rapidly proliferating tissues, bone marrow depression (anemia, leukopenia, pancytopenia, or even rarely agranulocytosis) may occur. Aplastic anemia has also been seen. Bone marrow toxicity can be irreversible and may cause death, particular in immunocompromised patients. GI toxicity may be severe or rarely fatal and consists of anorexia, abdominal bloating, abdominal pain, diarrhea, dry mouth, duodenal ulcer, GI hemorrhage, nausea, vomiting, and ulcerative colitis. Hepatic dysfunction, jaundice and, in one patient, liver necrosis have all been seen. Some fatal cases have been reported, however the majority of cases was reversible. 
Acute renal failure have also been seen. Adverse central nervous system effects are frequent and include confusion, hallucinations, psychosis, ataxia, hearing loss, headache, paresthesia, parkinsonism, peripheral neuropathy, vertigo and sedation. Rash, pruritus, and photosensitivity have all been noticed. Toxic epidermal necrolysis (Lyell's syndrome) may also be encountered and may be life-threatening. 
Sometimes cases of anaphylaxis consisting of diffuse erythema, pruritus, conjunctival injection, fever, abdominal pain, edema, hypotension and bronchospastic reactions are observed. </t>
  </si>
  <si>
    <t>C1=NC2=C(N1[C@H]3[C@H]([C@@H]([C@H](O3)COP(=O)(O)O)O)O)N=C(N=C2N)F</t>
  </si>
  <si>
    <t>[(2R,3S,4S,5R)-5-(6-amino-2-fluoropurin-9-yl)-3,4-dihydroxyoxolan-2-yl]methyl dihydrogen phosphate</t>
  </si>
  <si>
    <t>Fludarabine Phosphate</t>
  </si>
  <si>
    <t>8-B04</t>
  </si>
  <si>
    <t>75607-67-9</t>
  </si>
  <si>
    <t>Antineoplastic, immunosuppresant</t>
  </si>
  <si>
    <t xml:space="preserve">Inhibits DNA synthesis by interfering with ribonucleotide reductase and DNA polymerase. 
</t>
  </si>
  <si>
    <t xml:space="preserve">Causes profound lymphopenia. Hematologic events (neutropenia, thrombocytopenia, and/or anemia) were reported in the majority of patients. Myelosuppression may be severe, cumulative, and may affect multiple cell lines. Several instances of trilineage bone marrow hypoplasia or aplasia resulting in pancytopenia, sometimes resulting in death, have been reported. Life-threatening and sometimes fatal autoimmune hemolytic anemia have been reported to occur in patients receiving Fludarabine.   </t>
  </si>
  <si>
    <t>CC(=O)OCC(=O)[C@]1(CCC2C1(CC(C3(C2CCC4=CC(=O)CCC43C)F)O)C)O</t>
  </si>
  <si>
    <t>[2-[(17R)-9-fluoro-11,17-dihydroxy-10,13-dimethyl-3-oxo-1,2,6,7,8,11,12,14,15,16-decahydrocyclopenta[a]phenanthren-17-yl]-2-oxoethyl] acetate</t>
  </si>
  <si>
    <t>Fludrocortisone Acetate</t>
  </si>
  <si>
    <t>8-B05</t>
  </si>
  <si>
    <t>514-36-3</t>
  </si>
  <si>
    <t>Hormonal replacement for aldosterone (in adrenal insufficiency and salt wasting)</t>
  </si>
  <si>
    <t>Synthetic corticosteroid with moderate glucocorticoid potency and much greater mineralocorticoid potency.</t>
  </si>
  <si>
    <t>Effects of overexposure include irritation, cardiac edema, increased blood volume, hypertension, cardiac arrhythmias, enlargement of the heart, headaches, and weakness of the extremities.</t>
  </si>
  <si>
    <t>C[C@]12C[C@@H]([C@H]3[C@H]([C@@H]1C[C@@H]4[C@]2(OC(O4)(C)C)C(=O)CO)C[C@@H](C5=CC(=O)C=C[C@]35C)F)O</t>
  </si>
  <si>
    <t>(1S,2S,4R,8S,9S,11S,12S,13R,19S)-19-fluoro-11-hydroxy-8-(2-hydroxyacetyl)-6,6,9,13-tetramethyl-5,7-dioxapentacyclo[10.8.0.0²,⁹.0⁴,⁸.0¹³,¹⁸]icosa-14,17-dien-16-one</t>
  </si>
  <si>
    <t>Flunisolide</t>
  </si>
  <si>
    <t>8-B06</t>
  </si>
  <si>
    <t xml:space="preserve">Corticosteroid </t>
  </si>
  <si>
    <t xml:space="preserve">In general, side effects elicited in the clinical studies have been primarily associated with the nasal mucous membranes. The most frequent complaints were those of mild transient nasal burning and stinging, which were reported in approximately 45% of the patients treated with Flunisolide. Other side effects reported at a frequency of 5% or less were: nasal congestion, sneezing, epistaxis and/or bloody mucous, nasal irritation, watery eyes, sore throat, nausea and/or vomiting, and headaches. </t>
  </si>
  <si>
    <t>CC(=O)OCC(=O)[C@@]12[C@@H](C[C@@H]3[C@@]1(C[C@@H]([C@]4([C@H]3C[C@@H](C5=CC(=O)C=C[C@@]54C)F)F)O)C)OC(O2)(C)C</t>
  </si>
  <si>
    <t>2-[(1S,2S,4R,8S,9S,11S,12R,13S,19S)-12,19-difluoro-11-hydroxy-6,6,9,13-tetramethyl-16-oxo-5,7-dioxapentacyclo[10.8.0.0²,⁹.0⁴,⁸.0¹³,¹⁸]icosa-14,17-dien-8-yl]-2-oxoethyl acetate</t>
  </si>
  <si>
    <t>Fluocinonide</t>
  </si>
  <si>
    <t>8-B07</t>
  </si>
  <si>
    <t>356-12-7</t>
  </si>
  <si>
    <t>Potent glucocorticoid steroid.</t>
  </si>
  <si>
    <t>A common potential adverse effect is skin atrophy (thinning of the skin). Systemic absorption of topical corticosteroids can produce reversible hypothalamic-pituitary-adrenal axis (HPA) suppression, manifestations of Cushing's syndrome, hyperglycemia, and glucosuria in some patients.</t>
  </si>
  <si>
    <t>C[C@H]1C[C@H]2[C@@H]3CC[C@@]([C@]3(C[C@@H]([C@@]2([C@@]4(C1=CC(=O)C=C4)C)F)O)C)(C(=O)C)O</t>
  </si>
  <si>
    <t>(6S,8S,9R,10S,11S,13S,14S,17R)-17-acetyl-9-fluoro-11,17-dihydroxy-6,10,13-trimethyl-6,7,8,11,12,14,15,16-octahydrocyclopenta[a]phenanthren-3-one</t>
  </si>
  <si>
    <t>Fluorometholone</t>
  </si>
  <si>
    <t>8-B08</t>
  </si>
  <si>
    <t>426-13-1</t>
  </si>
  <si>
    <t>Synthetic corticosteroid</t>
  </si>
  <si>
    <t xml:space="preserve">Side effects may include acute anterior uveitis and perforation of the globe. Keratitis, conjunctivitis, corneal ulcers, mydriasis, conjunctival hyperemia, loss of accommodation and ptosis have occasionally been reported following local use of corticosteroids. </t>
  </si>
  <si>
    <t>C[C@]12CCC(=O)C=C1[C@H](C[C@@H]3[C@@H]2[C@H](C[C@]4([C@H]3C[C@@H]5[C@]4(OC(O5)(C)C)C(=O)CO)C)O)F</t>
  </si>
  <si>
    <t>(1S,2S,4R,8S,9S,11S,12S,13R,19S)-19-fluoro-11-hydroxy-8-(2-hydroxyacetyl)-6,6,9,13-tetramethyl-5,7-dioxapentacyclo[10.8.0.0²,⁹.0⁴,⁸.0¹³,¹⁸]icos-17-en-16-one</t>
  </si>
  <si>
    <t>Flurandrenolide</t>
  </si>
  <si>
    <t>8-B09</t>
  </si>
  <si>
    <t>1524-88-5</t>
  </si>
  <si>
    <t xml:space="preserve">Synthetic corticosteroid </t>
  </si>
  <si>
    <t>Systemic absorption of topical corticosteroids has produced reversible hypothalamic-pituitary- adrenal (HPA) axis suppression, manifestations of Cushing's syndrome, hyperglycemia, and glucosuria in some patients.</t>
  </si>
  <si>
    <t>8-B10</t>
  </si>
  <si>
    <t>CCC(=O)O[C@@]1([C@@H](CC2[C@@]1(C[C@@H]([C@]3(C2C[C@@H](C4=CC(=O)C=C[C@@]43C)F)F)O)C)C)C(=O)SCF</t>
  </si>
  <si>
    <t>[(6S,9R,10S,11S,13S,16R,17R)-6,9-difluoro-17-(fluoromethylsulfanylcarbonyl)-11-hydroxy-10,13,16-trimethyl-3-oxo-6,7,8,11,12,14,15,16-octahydrocyclopenta[a]phenanthren-17-yl] propanoate</t>
  </si>
  <si>
    <t>Fluticasone Propionate</t>
  </si>
  <si>
    <t>8-B11</t>
  </si>
  <si>
    <t>80474-14-2</t>
  </si>
  <si>
    <t>Anti-asthma and anti-allergy (rhinitis)</t>
  </si>
  <si>
    <t>The most common side effects are skin irritation, dryness and burning sensation.</t>
  </si>
  <si>
    <t>COCCCC/C(=N/OCCN)/C1=CC=C(C=C1)C(F)(F)F.C(=C\C(=O)O)\C(=O)O</t>
  </si>
  <si>
    <t>(Z)-but-2-enedioic acid;2-[(Z)-[5-methoxy-1-[4-(trifluoromethyl)phenyl]pentylidene]amino]oxyethanamine</t>
  </si>
  <si>
    <t>Fluvoxamine Maleate</t>
  </si>
  <si>
    <t>8-C02</t>
  </si>
  <si>
    <t>61718-82-9</t>
  </si>
  <si>
    <t>1990's</t>
  </si>
  <si>
    <t>Side effects most commonly observed with fluvoxamine include nausea, vomiting, drowsiness, insomnia, dizziness, nervousness, feeling anxious, dry mouth, abdominal pain, constipation, diarrhea, heart burn, loss of appetite, muscle weakness, pins and needles, abnormal taste, headache, faster heart beat, sweating, weight gain, weight loss or unusual bruising. Other side effects which are observed more frequently in children include abnormal thoughts or behaviour, cough, increased period pain, nose bleeds, increased restlessness, infection and sinusitis.</t>
  </si>
  <si>
    <t>CC1=CNN=C1</t>
  </si>
  <si>
    <t>4-methyl-1H-pyrazole</t>
  </si>
  <si>
    <t>Fomepizole</t>
  </si>
  <si>
    <t>8-C03</t>
  </si>
  <si>
    <t>7554-65-6</t>
  </si>
  <si>
    <t>Antidote in confirmed or suspected methanol or ethylene glycol poisoning</t>
  </si>
  <si>
    <t>A competitive inhibitor of alcohol dehydrogenase</t>
  </si>
  <si>
    <t>Toxicity includes headache, nausea and dizziness.</t>
  </si>
  <si>
    <t>CC(CC1=CC=C(C=C1)OC)NCC(C2=CC(=C(C=C2)O)NC=O)O</t>
  </si>
  <si>
    <t>N-[2-hydroxy-5-[(1R)-1-hydroxy-2-[[(2R)-1-(4-methoxyphenyl)propan-2-yl]amino]ethyl]phenyl]formamide</t>
  </si>
  <si>
    <t>Formoterol</t>
  </si>
  <si>
    <t>8-C04</t>
  </si>
  <si>
    <t>73573-87-2</t>
  </si>
  <si>
    <t>Antiasthmatic, Bronchodilator</t>
  </si>
  <si>
    <t>A long-acting β2-agonist</t>
  </si>
  <si>
    <t>An overdosage is likely to lead to effects that are typical of ß2-adrenergic stimulants: nausea, vomiting, headache, tremor, somnolence, palpitations, tachycardia, ventricular arrhythmias, metabolic acidosis, hypokalemia, hyperglycemia.</t>
  </si>
  <si>
    <t>C(=O)([O-])P(=O)([O-])[O-].O.O.O.O.O.O.[Na+].[Na+].[Na+]</t>
  </si>
  <si>
    <t>trisodium;phosphonatoformate;hexahydrate</t>
  </si>
  <si>
    <t>8-C05</t>
  </si>
  <si>
    <t>34156-56-4</t>
  </si>
  <si>
    <t>Exerts its antiviral activity by a selective inhibition at the pyrophosphate binding site on virus-specific DNA polymerases at concentrations that do not affect cellular DNA polymerases.</t>
  </si>
  <si>
    <t xml:space="preserve">Nephrotoxicity - Increase in serum creatinine levels occurs on average in 45% of patients receiving foscarnet. Nephrotoxicity is usually reversible and can be reduced by dosage adjustment and adequate hydration. Genital ulceration - Occurs more commonly in men and usually occurs during induction use of foscarnet. It is most likely a contact dermatitis due to high concentrations of foscarnet in urine. It usually resolves rapidly following discontinuation of the drug.
CNS - Paraesthesias,irritability and hallucinations
</t>
  </si>
  <si>
    <t>C[C@H]1[C@@H](O1)P(=O)([O-])[O-].[Ca+2]</t>
  </si>
  <si>
    <t>calcium;[(2S,3S)-3-methyloxiran-2-yl]-dioxido-oxo-$l^{5}-phosphane</t>
  </si>
  <si>
    <t>Fosfomycin Calcium</t>
  </si>
  <si>
    <t>8-C06</t>
  </si>
  <si>
    <t>26016-98-8</t>
  </si>
  <si>
    <t>Inhibits bacterial cell wall biogenesis by inactivating the enzyme UDP-N-acetylglucosamine-3-enolpyruvyltransferase, also known as MurA.</t>
  </si>
  <si>
    <t>Side effects include diarrhea.</t>
  </si>
  <si>
    <t>C1=CC=C(C=C1)C2(C(=O)N(C(=O)N2)COP(=O)([O-])[O-])C3=CC=CC=C3.[Na+].[Na+]</t>
  </si>
  <si>
    <t>disodium;(2,5-dioxo-4,4-diphenylimidazolidin-1-yl)methyl phosphate</t>
  </si>
  <si>
    <t>Fosphenytoin·2Na</t>
  </si>
  <si>
    <t>406.241 (as dry basis)</t>
  </si>
  <si>
    <t>8-C07</t>
  </si>
  <si>
    <t>92134-98-0 (free molecule)</t>
  </si>
  <si>
    <t>Antiepileptic</t>
  </si>
  <si>
    <t xml:space="preserve">A water-soluble phenytoin prodrug reducing electrical conductance among brain cells by stabilizing the inactive state of voltage-gated sodium channels. Used only in hospitals for the treatment of epileptic seizures.
</t>
  </si>
  <si>
    <t>Side effects are similar to phenytoin, except that fosphenytoin causes less hypotension and more paresthesia. Fosphenytoin can cause hyperphosphatemia in end-stage renal failure patients.</t>
  </si>
  <si>
    <t>CO/N=C\1/CN(CC1CN)C2=C(C=C3C(=O)C(=CN(C3=N2)C4CC4)C(=O)O)F</t>
  </si>
  <si>
    <t>7-[(4E)-3-(aminomethyl)-4-methoxyiminopyrrolidin-1-yl]-1-cyclopropyl-6-fluoro-4-oxo-1,8-naphthyridine-3-carboxylic acid</t>
  </si>
  <si>
    <t xml:space="preserve">Gemifloxacin </t>
  </si>
  <si>
    <t>8-C08</t>
  </si>
  <si>
    <t>175463-14-6</t>
  </si>
  <si>
    <t>DNA Gyrase/Topoisomerase IV Inhibitor.</t>
  </si>
  <si>
    <t>Fluoroquinolones are generally well tolerated with most side effects being mild and serious adverse effects being rarely. Some of the serious adverse effects which occur more commonly with fluoroquinolones than with other antibiotic drug classes include CNS and tendon toxicity.
The serious events may occur with therapeutic or with acute overdose. At therapeutic doses they include: central nervous system toxicity, cardiovascular toxicity, tendon / articular toxicity, and rarely hepatic toxicity.</t>
  </si>
  <si>
    <t>C[N+]1(CCC(C1)OC(=O)C(C2CCCC2)(C3=CC=CC=C3)O)C.[I-]</t>
  </si>
  <si>
    <t>(1,1-dimethylpyrrolidin-1-ium-3-yl) 2-cyclopentyl-2-hydroxy-2-phenylacetate;iodide</t>
  </si>
  <si>
    <t>Glycopyrrolate Iodide</t>
  </si>
  <si>
    <t>8-C09</t>
  </si>
  <si>
    <t>873295-32-0</t>
  </si>
  <si>
    <t>Adjuvant, Anesthetic</t>
  </si>
  <si>
    <t>Binds competitively to the muscarinic acetylcholine receptor.</t>
  </si>
  <si>
    <t>Since glycopyrrolate reduces the body's sweating ability, it can even cause fever and heat stroke in hot environments. Dry mouth, difficulty urinating, headaches, diarrhea and constipation are also observed side effects of the medication.
The medication also induces drowsiness or blurred visions, an effect exacerbated by the consumption of alcohol.</t>
  </si>
  <si>
    <t>CC1CC(=O)C=C(C12C(=O)C3=C(O2)C(=C(C=C3OC)OC)Cl)OC</t>
  </si>
  <si>
    <t>(2S,5'R)-7-chloro-3',4,6-trimethoxy-5'-methylspiro[1-benzofuran-2,4'-cyclohex-2-ene]-1',3-dione</t>
  </si>
  <si>
    <t>Griseofulvin</t>
  </si>
  <si>
    <t>8-C10</t>
  </si>
  <si>
    <t>126-07-8</t>
  </si>
  <si>
    <t xml:space="preserve">Mitosis inhibitor via interfering with microtubule function. </t>
  </si>
  <si>
    <t>Risk of leukopenia.</t>
  </si>
  <si>
    <t>C(=N)(N)N.Cl</t>
  </si>
  <si>
    <t>guanidine;hydrochloride</t>
  </si>
  <si>
    <t>Guanidine·HCl</t>
  </si>
  <si>
    <t>8-C11</t>
  </si>
  <si>
    <t>50-01-1</t>
  </si>
  <si>
    <t>Myasthenia treatment</t>
  </si>
  <si>
    <t>Guanidine apparently acts by enhancing the release of acetylcholine following a nerve impulse. It also appears to slow the rates of depolarization and repolarization of muscle cell membranes.</t>
  </si>
  <si>
    <t>Can cause severe gastrointestinal symptoms (nausea, vomiting and diarrhea), bone marrow suppression, renal insufficiency and other hematologic abnormalities (anemia, leucopenia). Severe guanidine intoxication is characterized by nervous hyperirritability, fibrillary tremors and convulsive contractions of muscle, salivation, vomiting, diarrhea, hypoglycemia, and circulatory disturbances.</t>
  </si>
  <si>
    <t>C[C@]12CCC(=O)C=C1CC[C@@H]3[C@@]2([C@H](C[C@]4([C@H]3C[C@@H]5[C@]4(OC(O5)(C)C)C(=O)CCl)C)O)F</t>
  </si>
  <si>
    <t>(1S,2S,4R,8S,9S,11S,12R,13S)-8-(2-chloroacetyl)-12-fluoro-11-hydroxy-6,6,9,13-tetramethyl-5,7-dioxapentacyclo[10.8.0.0²,⁹.0⁴,⁸.0¹³,¹⁸]icos-17-en-16-one</t>
  </si>
  <si>
    <t>Halcinonide</t>
  </si>
  <si>
    <t>8-D02</t>
  </si>
  <si>
    <t>3093-35-4</t>
  </si>
  <si>
    <t xml:space="preserve"> Corticosteroid</t>
  </si>
  <si>
    <t>Used topically in the treatment of certain skin conditions.</t>
  </si>
  <si>
    <t>CCC(=O)O[C@@]1([C@H](C[C@@H]2[C@@]1(C[C@@H]([C@]3([C@H]2C[C@@H](C4=CC(=O)C=C[C@@]43C)F)F)O)C)C)C(=O)CCl</t>
  </si>
  <si>
    <t>[(6S,8S,9R,10S,11S,13S,14S,16S,17R)-17-(2-chloroacetyl)-6,9-difluoro-11-hydroxy-10,13,16-trimethyl-3-oxo-6,7,8,11,12,14,15,16-octahydrocyclopenta[a]phenanthren-17-yl] propanoate</t>
  </si>
  <si>
    <t>Halobetasol Propionate</t>
  </si>
  <si>
    <t>8-D03</t>
  </si>
  <si>
    <t>66852-54-8</t>
  </si>
  <si>
    <t xml:space="preserve">Vasoconstrictor, Anti-inflammatory </t>
  </si>
  <si>
    <t>Thought to act by the induction of phospholipase A2 inhibitory proteins, collectively called lipocortins.</t>
  </si>
  <si>
    <t>For the relief of the inflammatory and pruritic manifestations of corticosteroid-responsive dermatoses.</t>
  </si>
  <si>
    <t>C1=C(C(=C(C(=C1Cl)Cl)CC2=C(C(=CC(=C2Cl)Cl)Cl)O)O)Cl</t>
  </si>
  <si>
    <t>3,4,6-trichloro-2-[(2,3,5-trichloro-6-hydroxyphenyl)methyl]phenol</t>
  </si>
  <si>
    <t>Hexachlorophene</t>
  </si>
  <si>
    <t>8-D04</t>
  </si>
  <si>
    <t>70-30-4</t>
  </si>
  <si>
    <t xml:space="preserve">Antiseptic, bacteriostatic </t>
  </si>
  <si>
    <t>Inhibits the membrane-bound part of the electron transport chain, respiratory D-lactate dehydrogenase. It induces leakage, causes protoplast lysis, and inhibits respiration.</t>
  </si>
  <si>
    <t>Hexachlorophene products can be lethal from percutaneous (through the skin) absorption. Children may be specifically susceptible. Hexachlorophene (6.3%) was added to “baby powder” in France due to a manufacturing error. It, or possibly contaminating dioxins, caused encephalopathy and ulcerative skin lesions. 36 of 204 exposed children died within a few days of exposure. In 1969, hexachlorophene became suspected of causing cancer, and studies determined that oral ingestion of hexachlorophene led to weakness and paralysis in laboratory rats.</t>
  </si>
  <si>
    <t>C[N+]1([C@@H]2CC[C@H]1CC(C2)OC(=O)C(C3=CC=CC=C3)O)C.[Br-]</t>
  </si>
  <si>
    <t>[(1R,5S)-8,8-dimethyl-8-azoniabicyclo[3.2.1]octan-3-yl] 2-hydroxy-2-phenylacetate;bromide</t>
  </si>
  <si>
    <t>Homatropine Methylbromide</t>
  </si>
  <si>
    <t>8-D05</t>
  </si>
  <si>
    <t>80-49-9</t>
  </si>
  <si>
    <t>Anti-Ulcer, Antispasmodic</t>
  </si>
  <si>
    <t>Muscarinic acetylcholine receptor antagonist.</t>
  </si>
  <si>
    <t xml:space="preserve">Main side effects are blurred vision and sensitivity to light. 
</t>
  </si>
  <si>
    <t>C1=CC=C2C(=C1)C=NN=C2NN.Cl</t>
  </si>
  <si>
    <t>phthalazin-1-ylhydrazine;hydrochloride</t>
  </si>
  <si>
    <t>8-D06</t>
  </si>
  <si>
    <t>304-20-1</t>
  </si>
  <si>
    <t>Hydralazine increases guanosine monophosphate levels, decreasing the action of the second messenger IP3, limiting calcium release from the sarcoplasmic reticulum of smooth muscle.</t>
  </si>
  <si>
    <t>Cardiotoxic</t>
  </si>
  <si>
    <t>C1NC2=CC(=C(C=C2S(=O)(=O)N1)S(=O)(=O)N)Cl</t>
  </si>
  <si>
    <t>6-chloro-1,1-dioxo-3,4-dihydro-2H-1$l^{6},2,4-benzothiadiazine-7-sulfonamide</t>
  </si>
  <si>
    <t>Hydrochlorothiazide</t>
  </si>
  <si>
    <t>8-D07</t>
  </si>
  <si>
    <t>58-93-5</t>
  </si>
  <si>
    <t>Thiazide diuretic that inhibits water reabsorption in the nephron by inhibiting the sodium-chloride symporter (SLC12A3) in the distal convoluted tubule.</t>
  </si>
  <si>
    <t xml:space="preserve">The most common signs and symptoms observed are those caused by electrolyte depletion (hypokalemia, hypochloremia, hyponatremia) and dehydration resulting from excessive diuresis. If digitalis has also been administered, hypokalemia may accentuate cardiac arrhythmias. </t>
  </si>
  <si>
    <t>C1NC2=C(C=C(C(=C2)C(F)(F)F)S(=O)(=O)N)S(=O)(=O)N1</t>
  </si>
  <si>
    <t>1,1-dioxo-6-(trifluoromethyl)-3,4-dihydro-2H-1$l^{6},2,4-benzothiadiazine-7-sulfonamide</t>
  </si>
  <si>
    <t>Hydroflumethiazide</t>
  </si>
  <si>
    <t>8-D08</t>
  </si>
  <si>
    <t>135-09-1</t>
  </si>
  <si>
    <t>Overdoses lead to diuresis, lethargy progressing to coma, with minimal cardiorespiratory depression and with or without significant serum electrolyte changes or dehydration.</t>
  </si>
  <si>
    <t>CC1=CC2=C(C=C1C)N(C=N2)C3C(C(C(O3)CO)OP(=O)([O-])OC(C)CNC(=O)CCC4(C(C5C6(C(C(C(=N6)C(=C7C(C(C(=N7)C=C8C(C(C(=N8)C(=C4[N-]5)C)CCC(=O)N)(C)C)CCC(=O)N)(C)CC(=O)N)C)CCC(=O)N)(C)CC(=O)N)C)CC(=O)N)C)O.O.Cl.[Co+2]</t>
  </si>
  <si>
    <t>cobalt(2+);[(2R,3S,4R,5S)-5-(5,6-dimethylbenzimidazol-1-yl)-4-hydroxy-2-(hydroxymethyl)oxolan-3-yl] [(2R)-1-[3-[(1R,2R,3R,4Z,7S,9Z,12S,13S,14Z,17S,18S,19R)-2,13,18-tris(2-amino-2-oxoethyl)-7,12,17-tris(3-amino-3-oxopropyl)-3,5,8,8,13,15,18,19-octamethyl-2,7,12,17-tetrahydro-1H-corrin-21-id-3-yl]propanoylamino]propan-2-yl] phosphate;hydrate;hydrochloride</t>
  </si>
  <si>
    <t>Hydroxocobalamin·HCl</t>
  </si>
  <si>
    <t>8-D09</t>
  </si>
  <si>
    <t>58288-50-9</t>
  </si>
  <si>
    <t>Anti-anemic, Hematinic</t>
  </si>
  <si>
    <t xml:space="preserve"> Cofactor essential for two cellular reactions: (1) the mitochondrial methylmalonylcoenzyme A mutase conversion of methylmalonic acid (MMA) to succinate, which links lipid and carbohydrate metabolism, and (2) activation of methionine synthase, which is the rate limiting step in the synthesis of methionine from homocysteine and 5-methyltetrahydrofolate.
</t>
  </si>
  <si>
    <t xml:space="preserve">The US FDA at the end of 2006 approved the use of the drug as an injection for the treatment of cyanide poisoning.
</t>
  </si>
  <si>
    <t>CCN(CCCC(C)NC1=C2C=CC(=CC2=NC=C1)Cl)CCO.OS(=O)(=O)O</t>
  </si>
  <si>
    <t>2-[4-[(7-chloroquinolin-4-yl)amino]pentyl-ethylamino]ethanol;sulfuric acid</t>
  </si>
  <si>
    <t>Hydroxychloroquine Sulfate</t>
  </si>
  <si>
    <t>8-D10</t>
  </si>
  <si>
    <t>747-36-4</t>
  </si>
  <si>
    <t>Antirheumatic Agent, Antimalarial</t>
  </si>
  <si>
    <t>Exact mechanism of action is unknown but it may be based on ability of hydroxychloroquine to bind to and alter DNA. Hydroxychloroquine has also has been found to be taken up into the acidic food vacuoles of the parasite in the erythrocyte. This increases the pH of the acid vesicles, interfering with vesicle functions and possibly inhibiting phospholipid metabolism. In suppressive treatment, hydroxychloroquine inhibits the erythrocytic stage of development of plasmodia.</t>
  </si>
  <si>
    <t>Generally side effects are not common, but can include (for short-term treatment of acute malaria) abdominal cramps, diarrhea, heart problems, reduced appetite, headache, nausea and vomiting. The symptoms for prolonged treatment of lupus or arthritis include the acute symptoms, plus altered eye pigmentation, acne, anemia, bleaching of hair, blisters in mouth and eyes, blood disorders, convulsions, significant vision difficulties, diminished reflexes, emotional changes, excessive coloring of the skin, hearing loss, hives, itching, liver problems or failure, loss of hair, muscle paralysis, weakness or atrophy, nightmares, psoriasis, reading difficulties, tinnitus, skin inflammation and scaling, skin rash, vertigo, and weight loss. Hydroxychloroquine can worsen existing cases of both psoriasis and porphyria.
The most common side effects are a mild nausea and occasional stomach cramps with mild diarrhea.</t>
  </si>
  <si>
    <t>C(=O)(N)NO</t>
  </si>
  <si>
    <t>hydroxyurea</t>
  </si>
  <si>
    <t>Hydroxyurea</t>
  </si>
  <si>
    <t>8-D11</t>
  </si>
  <si>
    <t>127-07-1</t>
  </si>
  <si>
    <t>Hydroxyurea is converted to a free radical nitroxide (NO) in vivo, and transported by diffusion into cells where it quenches the tyrosyl free radical at the active site of the M2 protein subunit of ribonucleotide reductase, inactivating the enzyme.</t>
  </si>
  <si>
    <t>Drowsiness, nausea, vomiting and diarrhea, constipation, mucositis, anorexia, stomatitis, bone marrow toxicity (which may take 7–21 days to recover after the drug has been discontinued), alopecia (hair loss), skin changes, abnormal liver enzymes, creatinine and blood urea nitrogen.</t>
  </si>
  <si>
    <t>C1CN(CCN1CCOCCO)C(C2=CC=CC=C2)C3=CC=C(C=C3)Cl.Cl.Cl</t>
  </si>
  <si>
    <t>2-[2-[4-[(4-chlorophenyl)-phenylmethyl]piperazin-1-yl]ethoxy]ethanol;dihydrochloride</t>
  </si>
  <si>
    <t>8-E02</t>
  </si>
  <si>
    <t>Antihistamine (1st Generation)/Antiemetic/ Hypnotic/Mild Anxiolytic</t>
  </si>
  <si>
    <t xml:space="preserve">mACh Receptor Antagonist, H1 Receptor Antagonist. </t>
  </si>
  <si>
    <t>Cardiotoxic effects are due to blocking hERG K Channels; Risk of tachycardia.</t>
  </si>
  <si>
    <t>CCCCCCCN(CC)CCCC(C1=CC=C(C=C1)NS(=O)(=O)C)O.C(=C/C(=O)O)\C(=O)O</t>
  </si>
  <si>
    <t>(E)-but-2-enedioic acid;N-[4-[4-[ethyl(heptyl)amino]-1-hydroxybutyl]phenyl]methanesulfonamide</t>
  </si>
  <si>
    <t>Ibutilide Fumarate</t>
  </si>
  <si>
    <t>8-E03</t>
  </si>
  <si>
    <t>122647-32-9</t>
  </si>
  <si>
    <t>Class III antiarrhythmic</t>
  </si>
  <si>
    <t>Binds to and alters the activity of hERG potassium channels, delayed inward rectifier potassium (IKr) channels and L-type (dihydropyridine sensitive) calcium channels.</t>
  </si>
  <si>
    <t>Like other antiarrhythmics, ibutilide can lead to arrhythmia, especially torsades de pointes. Consequently, the drug is contraindicated in patients that are likely to develop arrhythmia; this includes patients that had polymorphic ventricular tachycardia in the past, QT prolongation, sick sinus syndrome, recent myocardial infarction, and others.</t>
  </si>
  <si>
    <t>CC(=O)C1=CC(=C(C=C1)OCCCN2CCC(CC2)C3=NOC4=C3C=CC(=C4)F)OC</t>
  </si>
  <si>
    <t>1-[4-[3-[4-(6-fluoro-1,2-benzoxazol-3-yl)piperidin-1-yl]propoxy]-3-methoxyphenyl]ethanone</t>
  </si>
  <si>
    <t>Iloperidone</t>
  </si>
  <si>
    <t>8-E04</t>
  </si>
  <si>
    <t>133454-47-4</t>
  </si>
  <si>
    <t xml:space="preserve"> Antipsychotic </t>
  </si>
  <si>
    <t>Blocks the sites of noradrenaline (α2C), dopamine (D2A and D3), and serotonin (5-HT1A and 5-HT6) receptors. In addition, pharmacogenomic studies identified single nucleotide polymorphisms associated with an enhanced response to iloperidone during acute treatment of schizophrenia.</t>
  </si>
  <si>
    <t xml:space="preserve">Examination of the safety and tolerability of iloperidone have shown that at a 5mg/day dose in healthy male volunteers, the drug was fairly well tolerated, although hypotension, dizziness, and somnolence were very common side effects ranging from mild to moderate in severity. A second study showed that co administration of food decreased the severity of these effects. This study also indicated that repeat administration of iloperidone could decrease the effects of hypotension.
</t>
  </si>
  <si>
    <t>CC(C)(C)NC(=O)[C@@H]1CN(CCN1C[C@H](C[C@@H](CC2=CC=CC=C2)C(=O)N[C@@H]3[C@@H](CC4=CC=CC=C34)O)O)CC5=CN=CC=C5</t>
  </si>
  <si>
    <t>(2S)-1-[(2S,4R)-4-benzyl-2-hydroxy-5-[[(1S,2R)-2-hydroxy-2,3-dihydro-1H-inden-1-yl]amino]-5-oxopentyl]-N-tert-butyl-4-(pyridin-3-ylmethyl)piperazine-2-carboxamide</t>
  </si>
  <si>
    <t xml:space="preserve">Indinavir </t>
  </si>
  <si>
    <t>8-E05</t>
  </si>
  <si>
    <t>150378-17-9</t>
  </si>
  <si>
    <t xml:space="preserve">HIV Protease Inhibitor. </t>
  </si>
  <si>
    <t>Risk of Atherosclerosis through hyperlipidemia and hyperglycemia.</t>
  </si>
  <si>
    <t>CCCCC1=NC2(CCCC2)C(=O)N1CC3=CC=C(C=C3)C4=CC=CC=C4C5=NNN=N5</t>
  </si>
  <si>
    <t>2-butyl-3-[[4-[2-(2H-tetrazol-5-yl)phenyl]phenyl]methyl]-1,3-diazaspiro[4.4]non-1-en-4-one</t>
  </si>
  <si>
    <t>Irbesartan</t>
  </si>
  <si>
    <t>8-E06</t>
  </si>
  <si>
    <t>138402-11-6</t>
  </si>
  <si>
    <t>Antihepertensive</t>
  </si>
  <si>
    <t xml:space="preserve"> Angiotensin II receptor antagonist.</t>
  </si>
  <si>
    <t>Hypotension and tachycardia; bradycardia might also occur from overdose.</t>
  </si>
  <si>
    <t>CCC1=C2C=C(C=CC2=NC3=C1CN4C3=CC5=C(C4=O)COC(=O)C5(CC)O)OC(=O)N6CCC(CC6)N7CCCCC7.O.O.O.Cl</t>
  </si>
  <si>
    <t>(19S)-10,19-diethyl-19-hydroxy-14,18-dioxo-17-oxa-3,13-diazapentacyclo[11.8.0.0²,¹¹.0⁴,⁹.0¹⁵,²⁰]henicosa-1(21),2(11),3,5,7,9,15(20)-heptaen-7-yl 4-(piperidin-1-yl)piperidine-1-carboxylate hydrochloride</t>
  </si>
  <si>
    <t>8-E07</t>
  </si>
  <si>
    <t>136572-09-3</t>
  </si>
  <si>
    <t>Antineoplastic; Colon cancer treatment.</t>
  </si>
  <si>
    <t>Severe diarrhea and extreme suppression of the immune system (dramatically lowered white blood cell counts in the blood, in particular the neutrophils).</t>
  </si>
  <si>
    <t>CC1=CC(=NO1)C(=O)NNCC2=CC=CC=C2</t>
  </si>
  <si>
    <t>N'-benzyl-5-methyl-1,2-oxazole-3-carbohydrazide</t>
  </si>
  <si>
    <t>Isocarboxazid</t>
  </si>
  <si>
    <t>8-E08</t>
  </si>
  <si>
    <t>59-63-2</t>
  </si>
  <si>
    <t xml:space="preserve"> Antidepressant and anxiolytic</t>
  </si>
  <si>
    <t xml:space="preserve"> Irreversible and nonselective monoamine oxidase inhibitor (MAOI).</t>
  </si>
  <si>
    <t>Signs of overdose include severe anxiety, confusion, convulsions, cool clammy skin, severe dizziness, severe drowsiness, fast and irregular pulse, fever, hallucinations, severe headache, high or low blood pressure, hyperactive reflexes, muscle stiffness, respiratory depression or failure, slowed reflexes, sweating, severe trouble in sleeping, and unusual irritability.</t>
  </si>
  <si>
    <t>C1[C@H]([C@@H]2[C@H](O1)[C@H](CO2)O[N+](=O)[O-])O[N+](=O)[O-]</t>
  </si>
  <si>
    <t>[(3S,3aS,6R,6aS)-3-nitrooxy-2,3,3a,5,6,6a-hexahydrofuro[3,2-b]furan-6-yl] nitrate</t>
  </si>
  <si>
    <t>8-E09</t>
  </si>
  <si>
    <t>87-33-2</t>
  </si>
  <si>
    <t>Vasodilator used in the treatment of angina pectoris</t>
  </si>
  <si>
    <t>Isosorbide dinitrate is converted to nitric oxide (NO), an active intermediate compound which activates the enzyme guanylate cyclase (atrial natriuretic peptide receptor A). This stimulates the synthesis of cyclic guanosine 3',5'-monophosphate (cGMP) which then activates a series of protein kinase-dependent phosphorylations in the smooth muscle cells, eventually resulting in the dephosphorylation of the myosin light chain of the smooth muscle fiber. The subsequent release of calcium ions results in the relaxation of the smooth muscle cells and vasodilation.</t>
  </si>
  <si>
    <t>Symptoms of overdose include reduced cardiac output and hypotension.</t>
  </si>
  <si>
    <t>8-E10</t>
  </si>
  <si>
    <t>4759-48-2</t>
  </si>
  <si>
    <t xml:space="preserve"> Antineoplastic, Cystic acne treatment</t>
  </si>
  <si>
    <t>The exact mechanism of action is unknown, however it is known that it alters DNA transcription.</t>
  </si>
  <si>
    <t>Isotretinoin is teratogenic. It also causes mucocutaneous side effects suck as cheilitis, dry skin, and dry eyes.</t>
  </si>
  <si>
    <t>CC1=C(C(C(=C(N1)C)C(=O)OC(C)C)C2=CC=CC3=NON=C32)C(=O)OC</t>
  </si>
  <si>
    <t>3-O-methyl 5-O-propan-2-yl 4-(2,1,3-benzoxadiazol-4-yl)-2,6-dimethyl-1,4-dihydropyridine-3,5-dicarboxylate</t>
  </si>
  <si>
    <t>Isradipine</t>
  </si>
  <si>
    <t>8-E11</t>
  </si>
  <si>
    <t>75695-93-1</t>
  </si>
  <si>
    <t xml:space="preserve">Potent and selective L-type calcium channel blocker. Has anti-atherosclerotic effects and improves endothelium-mediated NO-dependent vasodilation. Displays neuroprotective activity in a rat model of focal ischemia. 
</t>
  </si>
  <si>
    <t xml:space="preserve">Symptoms of overdose include lethargy, sinus tachycardia, and transient hypotension. </t>
  </si>
  <si>
    <t>C1[C@H]([C@H](C(C([C@H]1N)O[C@H]2C([C@H]([C@H](C(O2)CO)O)N)O)O)O[C@H]3C([C@H]([C@H](C(O3)CN)O)O)O)N.OS(=O)(=O)O</t>
  </si>
  <si>
    <t>(3R,4S,6S)-2-(aminomethyl)-6-[(1R,4S,6R)-4,6-diamino-3-[(2R,4S,5R)-4-amino-3,5-dihydroxy-6-(hydroxymethyl)oxan-2-yl]oxy-2-hydroxycyclohexyl]oxyoxane-3,4,5-triol;sulfuric acid</t>
  </si>
  <si>
    <t>8-F02</t>
  </si>
  <si>
    <t>25389-94-0</t>
  </si>
  <si>
    <t xml:space="preserve">Irreversibly binds to specific 30S-subunit proteins and 16S rRNA. Specifically Kanamycin binds to four nucleotides of 16S rRNA and a single amino acid of protein S12. This interferes with decoding site in the vicinity of nucleotide 1400 in 16S rRNA of 30S subunit. </t>
  </si>
  <si>
    <t>Serious side effects include tinnitus or loss of hearing, toxicity to kidneys, and allergic reactions to the drug.</t>
  </si>
  <si>
    <t>C1CN2C(=CC=C2C(=O)C3=CC=CC=C3)C1C(=O)O.C(C(CO)(CO)N)O</t>
  </si>
  <si>
    <t>2-amino-2-(hydroxymethyl)propane-1,3-diol;5-benzoyl-2,3-dihydro-1H-pyrrolizine-1-carboxylic acid</t>
  </si>
  <si>
    <t>Ketorolac Tromethamine</t>
  </si>
  <si>
    <t>8-F03</t>
  </si>
  <si>
    <t>74103-07-4</t>
  </si>
  <si>
    <t>Anti-inflammatory (NSAID)</t>
  </si>
  <si>
    <t xml:space="preserve">Inhibits both cylooxygenase-1 (COX-1) and cylooxygenase-2 (COX-2) which leads to the inhibition of prostaglandin synthesis leading to decreased formation of precursors of prostaglandins and thromboxanes from arachidonic acid. </t>
  </si>
  <si>
    <t>Concerns over the high incidence of reported side effects with ketorolac trometamol has led to its withdrawal (apart from the ophthalmic formulation) in several countries, while in others its permitted dosage and maximum duration of treatment have been reduced. The most serious risks associated with ketorolac are, as with other NSAIDs, gastrointestinal ulcers, bleeding and perforation; renal (kidney) events ranging from interstitial nephritis to complete kidney failure; hemorrhage, and hypersensitivity reactions.</t>
  </si>
  <si>
    <t>CC(CCC1=CC=CC=C1)NCC(C2=CC(=C(C=C2)O)C(=O)N)O.Cl</t>
  </si>
  <si>
    <t>2-hydroxy-5-[1-hydroxy-2-(4-phenylbutan-2-ylamino)ethyl]benzamide;hydrochloride</t>
  </si>
  <si>
    <t>8-F04</t>
  </si>
  <si>
    <t>32780-64-6</t>
  </si>
  <si>
    <t>A mixed alpha/beta adrenergic antagonist.</t>
  </si>
  <si>
    <t>May cause hepatic necrosis.</t>
  </si>
  <si>
    <t>CC(=O)N[C@H](COC)C(=O)NCC1=CC=CC=C1</t>
  </si>
  <si>
    <t>(2R)-2-acetamido-N-benzyl-3-methoxypropanamide</t>
  </si>
  <si>
    <t>Lacosamide</t>
  </si>
  <si>
    <t>8-F05</t>
  </si>
  <si>
    <t>175481-36-4</t>
  </si>
  <si>
    <t>Adjunctive treatment of partial-onset seizures and diabetic neuropathic pain</t>
  </si>
  <si>
    <t>Believed to act through voltage-gated sodium channels.</t>
  </si>
  <si>
    <t>DEA schedule V Controlled Substance.</t>
  </si>
  <si>
    <t>C([C@@H]1[C@@H]([C@@H]([C@H]([C@@H](O1)O[C@@H]2[C@H](O[C@@]([C@H]2O)(CO)O)CO)O)O)O)O</t>
  </si>
  <si>
    <t>(2S,3R,4S,5R,6R)-2-[(2R,3S,4S,5R)-4,5-dihydroxy-2,5-bis(hydroxymethyl)oxolan-3-yl]oxy-6-(hydroxymethyl)oxane-3,4,5-triol</t>
  </si>
  <si>
    <t>Lactulose</t>
  </si>
  <si>
    <t>8-F06</t>
  </si>
  <si>
    <t>4618-18-2</t>
  </si>
  <si>
    <t>Gastrointestinal Agent</t>
  </si>
  <si>
    <t>Has laxative and ammonia-detoxifying actions. In treating constipation lactulose metabolites draw water into the bowel, causing a cathartic effect through osmotic action.</t>
  </si>
  <si>
    <t>Common side effects are abdominal cramping, borborygmus, gas and pungent flatulence that some people find difficult to control in social situations. Excessively high dosage can cause explosive and uncontrollable diarrhea. In normal individuals, overdose is considered uncomfortable, but not life threatening. Uncommon side effects are nausea and vomiting.
In sensitive individuals, such as the elderly or people with reduced kidney function, excess dosage can result in dehydration and electrolytic disturbances such as high sodium levels.</t>
  </si>
  <si>
    <t>C1[C@H](O[C@H](S1)CO)N2C=CC(=NC2=O)N</t>
  </si>
  <si>
    <t>4-amino-1-[(2R,5S)-2-(hydroxymethyl)-1,3-oxathiolan-5-yl]pyrimidin-2-one</t>
  </si>
  <si>
    <t>Lamivudine</t>
  </si>
  <si>
    <t>8-F07</t>
  </si>
  <si>
    <t>134678-17-4</t>
  </si>
  <si>
    <t xml:space="preserve">Nucleoside Reverse Transcriptase Inhibitor; It can inhibit both types (1 and 2) of HIV reverse transcriptase and the enzyme from  hepatitis B. </t>
  </si>
  <si>
    <t>Risk of  neutropenia, anemia, and thrombocytopenia.</t>
  </si>
  <si>
    <t>CC1=C(C=CN=C1CS(=O)C2=NC3=CC=CC=C3N2)OCC(F)(F)F</t>
  </si>
  <si>
    <t>2-[[3-methyl-4-(2,2,2-trifluoroethoxy)pyridin-2-yl]methylsulfinyl]-1H-benzimidazole</t>
  </si>
  <si>
    <t>Lansoprazole</t>
  </si>
  <si>
    <t>8-F08</t>
  </si>
  <si>
    <t>103577-45-3</t>
  </si>
  <si>
    <t>Proton pump inhibitor. Inhibits the H+, K+ATPase of the coating gastric cells and dose-dependent oppresses basal and stimulated gastric acid secretion.</t>
  </si>
  <si>
    <t>Side effects:                                                                                                                                             Infrequent: dry mouth, insomnia, drowsiness, blurred vision, rash, pruritus; 
Rarely and very rarely: taste disturbance, liver dysfunction, peripheral oedema, hypersensitivity reactions (including bronchospasm, urinary, angioedema, anaphylaxis), photosensitivity, fever, sweating, depression, interstitial nephritis, blood disorders (including leukopenia, leukocytosis, pancytopenia, thrombocytopenia), arthralgia, myalgia, skin reactions including (erythroderma Stevens-Johnson syndrome, toxic epidermal necrolysis, bullous eruption) 
Severe: Gastro-intestinal disturbances (such as nausea 1.3%, abdominal pain 2.1%, diarrhea 3.8%). 
Proton-pump inhibitors may be associated with a greater risk of hip fractures, clostridium difficile-associated diarrhea.</t>
  </si>
  <si>
    <t>C1CC(=O)NC(=O)C1N2CC3=C(C2=O)C=CC=C3N</t>
  </si>
  <si>
    <t>3-(7-amino-3-oxo-1H-isoindol-2-yl)piperidine-2,6-dione</t>
  </si>
  <si>
    <t>Lenalidomide</t>
  </si>
  <si>
    <t>8-F09</t>
  </si>
  <si>
    <t>191732-72-6</t>
  </si>
  <si>
    <t>Multiple myeloma treatment</t>
  </si>
  <si>
    <t xml:space="preserve">Induces tumor cell apoptosis directly and indirectly by inhibition of bone marrow stromal cell support, by anti-angiogenic and anti-osteoclastogenic effects, and by immunomodulatory activity. </t>
  </si>
  <si>
    <t>Causes substantial dose-limiting myelosuppression resulting in neutropenia and thrombocytopenia.</t>
  </si>
  <si>
    <t>C1C(N(C2=C(N1)NC(=NC2=O)N)C=O)CNC3=CC=C(C=C3)C(=O)NC(CCC(=O)[O-])C(=O)[O-].O.O.O.O.O.[Ca+2]</t>
  </si>
  <si>
    <t>calcium;2-[[4-[(2-amino-5-formyl-4-oxo-1,6,7,8-tetrahydropteridin-6-yl)methylamino]benzoyl]amino]pentanedioate;pentahydrate</t>
  </si>
  <si>
    <t>Leucovorin Calcium Pentahydrate</t>
  </si>
  <si>
    <t>8-F10</t>
  </si>
  <si>
    <t>6035-45-6</t>
  </si>
  <si>
    <t>Helps eliminate methotexate toxicity without compromising the antitumor effect</t>
  </si>
  <si>
    <t>A derivative of folic acid, used to increase folic acid levels.</t>
  </si>
  <si>
    <t>Side effects include seizures, skin rash, hives, itching and wheezing.</t>
  </si>
  <si>
    <t>CC(C)(C)NC[C@@H](C1=CC(=C(C=C1)O)CO)O.Cl</t>
  </si>
  <si>
    <t>4-[(1R)-2-(tert-butylamino)-1-hydroxyethyl]-2-(hydroxymethyl)phenol;hydrochloride</t>
  </si>
  <si>
    <t>Levalbuterol·HCl</t>
  </si>
  <si>
    <t>8-F11</t>
  </si>
  <si>
    <t>50293-90-8</t>
  </si>
  <si>
    <t xml:space="preserve"> Bronchodilator, antiasthmatic</t>
  </si>
  <si>
    <t>Short-acting β2-adrenergic receptor agonist.</t>
  </si>
  <si>
    <t>R-enantiomer of the short-acting β2-adrenergic receptor agonist salbutamol.</t>
  </si>
  <si>
    <t>CC(C)(C)NC[C@H](COC1=CC=CC2=C1CCCC2=O)O.Cl</t>
  </si>
  <si>
    <t>5-[(2R)-3-(tert-butylamino)-2-hydroxypropoxy]-3,4-dihydro-2H-naphthalen-1-one;hydrochloride</t>
  </si>
  <si>
    <t>Levobunolol·HCl</t>
  </si>
  <si>
    <t>8-G02</t>
  </si>
  <si>
    <t>27912-14-7</t>
  </si>
  <si>
    <t xml:space="preserve">Nonselective beta-adrenoceptor antagonist. </t>
  </si>
  <si>
    <t>Bradycardia, hypotension, bronchospasm, and acute cardiac failure.</t>
  </si>
  <si>
    <t>C[N+](C)(C)C[C@@H](CC(=O)[O-])O</t>
  </si>
  <si>
    <t>(3R)-3-hydroxy-4-(trimethylazaniumyl)butanoate</t>
  </si>
  <si>
    <t>Levocarnitine</t>
  </si>
  <si>
    <t>8-G03</t>
  </si>
  <si>
    <t>541-15-1</t>
  </si>
  <si>
    <t>Gastric and pancreatic stimulant, hyperlipoproteinemia treatment</t>
  </si>
  <si>
    <t>Levocarnitine is a carrier molecule in the transport of long chain fatty acids across the inner mitochondrial membrane.</t>
  </si>
  <si>
    <t>The carnitines exert a substantial antioxidant action, thereby providing a protective effect against lipid peroxidation of phospholipid membranes and against oxidative stress induced at the myocardial and endothelial cell level.</t>
  </si>
  <si>
    <t>C1CN(CCN1CCOCC(=O)O)[C@H](C2=CC=CC=C2)C3=CC=C(C=C3)Cl.Cl.Cl</t>
  </si>
  <si>
    <t>2-[2-[4-[(R)-(4-chlorophenyl)-phenylmethyl]piperazin-1-yl]ethoxy]acetic acid;dihydrochloride</t>
  </si>
  <si>
    <t>Levocetirizine Dihydrochloride</t>
  </si>
  <si>
    <t>8-G04</t>
  </si>
  <si>
    <t>130018-87-0</t>
  </si>
  <si>
    <t xml:space="preserve"> Antihistamine</t>
  </si>
  <si>
    <t xml:space="preserve"> Histamine receptor blocker.</t>
  </si>
  <si>
    <t>Levocetirizine is called a non-sedating antihistamine as it does not enter the brain in significant amounts, and is therefore unlikely to cause drowsiness. However, some people may experience some slight sleepiness, headache, mouth dryness, lightheadedness, vision problems (mainly blurred vision), palpitations and fatigue.</t>
  </si>
  <si>
    <t>C1=C(C=C(C(=C1I)OC2=CC(=C(C(=C2)I)[O-])I)I)C[C@@H](C(=O)O)N.[Na+]</t>
  </si>
  <si>
    <t>sodium;4-[4-[(2S)-2-amino-2-carboxyethyl]-2,6-diiodophenoxy]-2,6-diiodophenolate</t>
  </si>
  <si>
    <t>Levothyroxine·Na</t>
  </si>
  <si>
    <t>8-G05</t>
  </si>
  <si>
    <t>55-03-8</t>
  </si>
  <si>
    <t xml:space="preserve">Thyroid hormone receptor agonist. </t>
  </si>
  <si>
    <t xml:space="preserve">Patients prescribed too high of a dose of levothyroxine may experience effects which mimic hyperthyroidism. Overdose can result in heart palpitations, abdominal pain, nausea, anxiousness, confusion, agitation, insomnia, weight loss, and increased appetite. </t>
  </si>
  <si>
    <t>C1(C(C(C(C(C1Cl)Cl)Cl)Cl)Cl)Cl</t>
  </si>
  <si>
    <t>1,2,3,4,5,6-hexachlorocyclohexane</t>
  </si>
  <si>
    <t>Lindane</t>
  </si>
  <si>
    <t>8-G06</t>
  </si>
  <si>
    <t>58-89-9</t>
  </si>
  <si>
    <t>Scabicide and pediculicide</t>
  </si>
  <si>
    <t xml:space="preserve">Interferes with GABA neurotransmitter function by interacting with the GABAA receptor-chloride channel complex at the picrotoxin binding site. </t>
  </si>
  <si>
    <t>Hematopoietic toxicity. Hematologic abnormalities, including aplastic anemia, have been reported anecdotally in patients who were exposed to lindane pesticide or veterinarian products. At least two patients have experienced aplastic anemia following repeated, long-term use of topical lindane for the treatment of scabies.</t>
  </si>
  <si>
    <t>C1=CC(=C(C=C1OC2=C(C=C(C=C2I)C[C@@H](C(=O)[O-])N)I)I)O.[Na+]</t>
  </si>
  <si>
    <t>sodium;(2S)-2-amino-3-[4-(4-hydroxy-3-iodophenoxy)-3,5-diiodophenyl]propanoate</t>
  </si>
  <si>
    <t>Liothyronine·Na</t>
  </si>
  <si>
    <t>8-G07</t>
  </si>
  <si>
    <t>55-06-1</t>
  </si>
  <si>
    <t>Hormone Replacement Agent</t>
  </si>
  <si>
    <t xml:space="preserve">Liothyronine acts on the body to increase the basal metabolic rate, affect protein synthesis and increase the body's sensitivity to catecholamines (such as adrenaline). </t>
  </si>
  <si>
    <t>Liothyronine may cause a number of side effects, mostly similar to symptoms of hyperthyroidism    (weight loss, tremor, headache, vomiting, diarrhea, stomach cramps, nervousness, irritability, 
insomnia, excessive sweating, fever, changes in menstrual cycle and sensitivity to heat).</t>
  </si>
  <si>
    <t>CC1=C(C(=CC=C1)C)OCC(=O)N[C@@H](CC2=CC=CC=C2)[C@H](C[C@@H](CC3=CC=CC=C3)NC(=O)[C@H](C(C)C)N4CCCNC4=O)O</t>
  </si>
  <si>
    <t>(2S)-N-[(2R,4S,5S)-5-[[2-(2,6-dimethylphenoxy)acetyl]amino]-4-hydroxy-1,6-diphenylhexan-2-yl]-3-methyl-2-(2-oxo-1,3-diazinan-1-yl)butanamide</t>
  </si>
  <si>
    <t>Lopinavir</t>
  </si>
  <si>
    <t>8-G08</t>
  </si>
  <si>
    <t>192725-17-0</t>
  </si>
  <si>
    <t>HIV protease inhibitor. Prevents cleavage of the gag-pol polyprotein and, therefore, improper viral assembly results. This subsequently results in non-infectious, immature viral particles.</t>
  </si>
  <si>
    <t>The most common adverse effects observed with lopinavir/ritonavir are diarrhea and nausea. In key clinical trials, moderate or severe diarrhea occurred in up to 27% of patients, and moderate/severe nausea in up to 16%. Other common adverse effects include abdominal pain, asthenia, headache, vomiting and, particularly in children, rash.</t>
  </si>
  <si>
    <t>8-G09</t>
  </si>
  <si>
    <t>CCOC(=O)O[C@]1(CC[C@@H]2[C@@]1(C[C@@H]([C@H]3[C@H]2CCC4=CC(=O)C=C[C@]34C)O)C)C(=O)OCCl</t>
  </si>
  <si>
    <t>chloromethyl (8S,9S,10R,11S,13S,14S,17S)-17-ethoxycarbonyloxy-11-hydroxy-10,13-dimethyl-3-oxo-7,8,9,11,12,14,15,16-octahydro-6H-cyclopenta[a]phenanthrene-17-carboxylate</t>
  </si>
  <si>
    <t>Loteprednol Etabonate</t>
  </si>
  <si>
    <t>8-G10</t>
  </si>
  <si>
    <t>82034-46-6</t>
  </si>
  <si>
    <t>Anti-inflammatory, Anti-Allergic</t>
  </si>
  <si>
    <t>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</si>
  <si>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Adverse effects include abnormal vision / blurring, burning on instillation, chemosis, discharge, dry eyes, epiphora, foreign body sensation, itching, injection, and photophobia.</t>
  </si>
  <si>
    <t>CN1CCN(CC1)C2=NC3=CC=CC=C3OC4=C2C=C(C=C4)Cl.C(CC(=O)O)C(=O)O</t>
  </si>
  <si>
    <t>butanedioic acid;8-chloro-6-(4-methylpiperazin-1-yl)benzo[b][1,4]benzoxazepine</t>
  </si>
  <si>
    <t>8-G11</t>
  </si>
  <si>
    <t>27833-64-3</t>
  </si>
  <si>
    <t xml:space="preserve">Dopamine antagonist and serotonin 5-HT2 blocker. </t>
  </si>
  <si>
    <t>The most significant side-effects of loxapine are excessive salivation and indifference to surroundings. Loxapine, if administered to individuals without schizophrenia, causes emotional quieting and insensitivity. In persons with psychosis, it may control aggressive behaviour and restlessness, and reduce the severity of hallucinations and delusions. Other Side effects include tardive dyskinesia, neuroleptic malignant syndrome, extrapyramidal side effects, tremor, gynecomastia and sedation.</t>
  </si>
  <si>
    <t>C1=CC(=CC=C1CN)S(=O)(=O)N.Cl</t>
  </si>
  <si>
    <t>4-(aminomethyl)benzenesulfonamide;hydrochloride</t>
  </si>
  <si>
    <t>8-H02</t>
  </si>
  <si>
    <t>138-37-4</t>
  </si>
  <si>
    <t>1969 (1948 for Mafenide)</t>
  </si>
  <si>
    <t>Bacteriostatic sulfonamide, Adjuvant treatment for secondary and tertiary burns.</t>
  </si>
  <si>
    <t xml:space="preserve">Works by reducing the bacterial population present in the avascular tissues of burns and permits spontaneous healing of deep partial-thickness burns. Structural analog and competitive antagonists of para-aminobenzoic acid (PABA).
</t>
  </si>
  <si>
    <t>Superinfection, pain or burning upon application, rash, pruritus, tachypnea, hyperventilation, metabolic acidosis.</t>
  </si>
  <si>
    <t>CCOC(=O)CC(C(=O)OCC)SP(=S)(OC)OC</t>
  </si>
  <si>
    <t>diethyl 2-dimethoxyphosphinothioylsulfanylbutanedioate</t>
  </si>
  <si>
    <t>Malathion</t>
  </si>
  <si>
    <t>8-H03</t>
  </si>
  <si>
    <t>121-75-5</t>
  </si>
  <si>
    <t>Lice treatment</t>
  </si>
  <si>
    <t>Acetylcholinesterase inhibitor</t>
  </si>
  <si>
    <t>Malathion is slightly toxic via the oral route. Moderate poisoning can result in chest tightness, difficulty breathing, bradycardia, tachycardia, tremor/ataxia, blurred vision, and confusion. Severe, life-threatening signs include coma, seizures, respiratory arrest, and paralysis. Malathion may also be irritating to the skin and eyes.</t>
  </si>
  <si>
    <t>C(C(C(C(C(CO)O)O)O)O)O</t>
  </si>
  <si>
    <t>(2R,3R,4R,5R)-hexane-1,2,3,4,5,6-hexol</t>
  </si>
  <si>
    <t>Mannitol</t>
  </si>
  <si>
    <t>8-H04</t>
  </si>
  <si>
    <t>69-65-8</t>
  </si>
  <si>
    <t>Osmotic diuretic, Sweetener</t>
  </si>
  <si>
    <t xml:space="preserve">It is incapable of being resorbed from the renal tubule, resulting in decreased water and Na+ reabsorption via its osmotic effect. Consequently, mannitol increases water and Na+ excretion, thereby decreasing extracellular fluid volume.
</t>
  </si>
  <si>
    <t>The common side effects include increased urination; nausea; runny nose; vomiting.</t>
  </si>
  <si>
    <t>CC1=NN=C(N1C2C[C@H]3CC[C@@H](C2)N3CC[C@@H](C4=CC=CC=C4)NC(=O)C5CCC(CC5)(F)F)C(C)C</t>
  </si>
  <si>
    <t>4,4-difluoro-N-[(1S)-3-[(1S,5R)-3-(3-methyl-5-propan-2-yl-1,2,4-triazol-4-yl)-8-azabicyclo[3.2.1]octan-8-yl]-1-phenylpropyl]cyclohexane-1-carboxamide</t>
  </si>
  <si>
    <t>Maraviroc</t>
  </si>
  <si>
    <t>8-H05</t>
  </si>
  <si>
    <t>376348-65-1</t>
  </si>
  <si>
    <t xml:space="preserve">CCR5 chemokine receptor antagonist and antiretroviral entry inhibitor. Maraviroc inhibits HIV entry by blocking interaction of viral coat protein gp120 with the receptor.
</t>
  </si>
  <si>
    <t>The trials showed no clinically relevant differences in safety between the maraviroc and placebo groups. However, researchers question the long-term safety of blocking CCR5, a receptor whose function in the healthy individual is not fully understood.</t>
  </si>
  <si>
    <t>CN(CCCl)CCCl.Cl</t>
  </si>
  <si>
    <t>2-chloro-N-(2-chloroethyl)-N-methylethanamine;hydrochloride</t>
  </si>
  <si>
    <t>Mechlorethamine·HCl</t>
  </si>
  <si>
    <t>8-H06</t>
  </si>
  <si>
    <t>55-86-7</t>
  </si>
  <si>
    <t>Antineoplastic, vesicant and necrotizing irritant destructive to mucous membranes</t>
  </si>
  <si>
    <t>Cell cycle phase-nonspecific alkylating agent.</t>
  </si>
  <si>
    <t xml:space="preserve">Causes severe gastrointestinal and bone marrow damage. </t>
  </si>
  <si>
    <t>CC1=CC(=CC=C1)CN2CCN(CC2)C(C3=CC=CC=C3)C4=CC=C(C=C4)Cl.Cl.Cl</t>
  </si>
  <si>
    <t>1-[(4-chlorophenyl)-phenylmethyl]-4-[(3-methylphenyl)methyl]piperazine;dihydrochloride</t>
  </si>
  <si>
    <t>Meclizine Dihydrochloride</t>
  </si>
  <si>
    <t>8-H07</t>
  </si>
  <si>
    <t>1104-22-9</t>
  </si>
  <si>
    <t xml:space="preserve">Antiemetic, Anti-Allergic </t>
  </si>
  <si>
    <t>Human pregnane X receptor (hPXR) agonist; stronger activator of hPXR than rat PXR. Increases hPXR target gene expression in human hepatocyte primary cultures. Also acts as a histamine H1 receptor antagonist. Confers neuroprotection in models of polyQ toxicity.</t>
  </si>
  <si>
    <t xml:space="preserve">Some common side effects such as drowsiness, dry mouth, and tiredness may occur. Meclozine has been shown to have fewer dry mouth side effects than the traditional treatment for motion sickness, transdermal scopolamine. 
Drowsiness may result as a side effect of taking meclozine. 
As with any anticholinergic agent, meclozine may cause confusion or aggravate symptoms in those with dementia in the geriatric population (older than 65 years). </t>
  </si>
  <si>
    <t>CC1=C(C(=C(C=C1)Cl)NC2=CC=CC=C2C(=O)[O-])Cl.[Na+]</t>
  </si>
  <si>
    <t>sodium;2-(2,6-dichloro-3-methylanilino)benzoate</t>
  </si>
  <si>
    <t>Meclofenamate·Na</t>
  </si>
  <si>
    <t>8-H08</t>
  </si>
  <si>
    <t>6385-02-0</t>
  </si>
  <si>
    <t>Non-steroidal anti-inflammatory agent with antipyretic and antigranulation activities.</t>
  </si>
  <si>
    <t>Cyclooxygenase Inhibitor. Inhibits prostaglandin biosynthesis.</t>
  </si>
  <si>
    <t xml:space="preserve">After a massive overdose, CNS stimulation may be manifested by irrational behavior, marked agitation and generalized seizures. Following this phase, renal toxicity (falling urine output, rising creatinine, abnormal urinary cellular elements) may be noted with possible oliguria or anuria and azotemia. </t>
  </si>
  <si>
    <t>C1CCNC(C1)C(C2=CC(=NC3=C2C=CC=C3C(F)(F)F)C(F)(F)F)O.Cl</t>
  </si>
  <si>
    <t>(R)-[2,8-bis(trifluoromethyl)quinolin-4-yl]-[(2S)-piperidin-2-yl]methanol;hydrochloride</t>
  </si>
  <si>
    <t>8-H09</t>
  </si>
  <si>
    <t> 51773-92-3</t>
  </si>
  <si>
    <t>The exact mechanism as to how mefloquine works against malaria is unknown. Blocker of gap junction channels Cx36 and Cx50.</t>
  </si>
  <si>
    <t xml:space="preserve"> Cardiotoxic. Risk of arrhythmias.</t>
  </si>
  <si>
    <t>C[N+]1(CCCC(C1)OC(=O)C(C2=CC=CC=C2)(C3=CC=CC=C3)O)C.[Br-]</t>
  </si>
  <si>
    <t>(1,1-dimethylpiperidin-1-ium-3-yl) 2-hydroxy-2,2-diphenylacetate;bromide</t>
  </si>
  <si>
    <t>Mepenzolate Bromide</t>
  </si>
  <si>
    <t>8-H10</t>
  </si>
  <si>
    <t>76-90-4</t>
  </si>
  <si>
    <t>Post-ganglionic parasympathetic inhibitor. It specifically antagonizes muscarinic receptors. This leads to decreases in gastric acid and pepsin secretion and suppression of spontaneous contractions of the colon.</t>
  </si>
  <si>
    <t xml:space="preserve">The signs and symptoms of overdosage are headache; nausea; vomiting; blurred vision; dilated pupils; hot, dry skin; dizziness; dryness of the mouth; difficulty in swallowing; and CNS stimulation. A curare-like action may occur (i.e., neuromuscular blockade leading to muscular weakness and possible paralysis). </t>
  </si>
  <si>
    <t>CC1=C(C(=CC=C1)C)NC(=O)C2CCCCN2C.Cl</t>
  </si>
  <si>
    <t>N-(2,6-dimethylphenyl)-1-methylpiperidine-2-carboxamide;hydrochloride</t>
  </si>
  <si>
    <t>8-H11</t>
  </si>
  <si>
    <t>1722-62-9</t>
  </si>
  <si>
    <t xml:space="preserve">Anesthetic </t>
  </si>
  <si>
    <t xml:space="preserve"> Reversibly blocks transient Na+ inward current, as well as the steady-state K+ outward current. Blocks tandem pore (TASK) and Kv1.5, potassium channels in model systems. 
</t>
  </si>
  <si>
    <t xml:space="preserve">Persistent paresthesias of the lips, tongue, and oral tissues have been reported with the use of Mepivacaine, with slow, incomplete, or no recovery. </t>
  </si>
  <si>
    <t>9-A02</t>
  </si>
  <si>
    <t>COC1=CC=C(C=C1)O</t>
  </si>
  <si>
    <t>4-methoxyphenol</t>
  </si>
  <si>
    <t>Mequinol</t>
  </si>
  <si>
    <t>9-A03</t>
  </si>
  <si>
    <t>150-76-5</t>
  </si>
  <si>
    <t>Depigmentation inducer</t>
  </si>
  <si>
    <t xml:space="preserve">The mechanism of depigmenting effects of mequinol remain unclear. Speculations include oxidation by tyrosinase to cytotoxic products in melanocytes, a direct/selective toxic effect on melanocytes, or inhibition of melanin formation. </t>
  </si>
  <si>
    <t xml:space="preserve">The most frequently reported side effects have included erythema (49%), burning, stinging, or tingling (26%), desquamation (14%), pruritus (12%), and skin irritation (5%). Temporary hypopigmentation of treated lesions or of the skin surrounding treated lesions in 5% and 7% of patients, respectively have been reported. Halo hypopigmentation, dry skin, rash, crusting, vesicular bullae rash, dermatitis, skin discomfort, and irritant dermatitis have been reported in greater than 1% of patients. </t>
  </si>
  <si>
    <t>C1=NC2=C(N1)C(=S)N=CN2.O</t>
  </si>
  <si>
    <t>3,7-dihydropurine-6-thione;hydrate</t>
  </si>
  <si>
    <t>9-A04</t>
  </si>
  <si>
    <t>6112-76-1</t>
  </si>
  <si>
    <t xml:space="preserve">Competes with hypoxanthine and guanine for the enzyme hypoxanthine-guanine phosphoribosyltransferase (HGPRTase) and is itself converted to thioinosinic acid (TIMP). This intracellular nucleotide inhibits several reactions involving inosinic acid (IMP), including the conversion of IMP to xanthylic acid (XMP) and the conversion of IMP to adenylic acid (AMP) via adenylosuccinate (SAMP). In addition, 6-methylthioinosinate (MTIMP) is formed by the methylation of TIMP. Both TIMP and MTIMP have been reported to inhibit glutamine-5-phosphoribosylpyrophosphate amidotransferase, the first enzyme unique to the de novo pathway for purine ribonucleotide synthesis. </t>
  </si>
  <si>
    <t>Can cause hepatic necrosis.</t>
  </si>
  <si>
    <t>C(CS(=O)(=O)[O-])S.[Na+]</t>
  </si>
  <si>
    <t>sodium;2-sulfanylethanesulfonate</t>
  </si>
  <si>
    <t>Mesna</t>
  </si>
  <si>
    <t>9-A05</t>
  </si>
  <si>
    <t>19767-45-4</t>
  </si>
  <si>
    <t>Antineoplastic adjuvant</t>
  </si>
  <si>
    <t>Believed to act as an antioxidant.</t>
  </si>
  <si>
    <t>Because Mesna is used in combination with Ifosfamide and other chemotherapeutic agents with documented toxicities, it is difficult to distinguish the adverse reactions which may be due to Mesna from those caused by the concomitantly administered cytostatic agents.</t>
  </si>
  <si>
    <t>C[C@]12CC[C@H]3[C@H]([C@@H]1CC[C@]2(C#C)O)CCC4=C3C=CC(=C4)OC</t>
  </si>
  <si>
    <t>(8R,9S,13S,14S,17R)-17-ethynyl-3-methoxy-13-methyl-7,8,9,11,12,14,15,16-octahydro-6H-cyclopenta[a]phenanthren-17-ol</t>
  </si>
  <si>
    <t>Mestranol</t>
  </si>
  <si>
    <t>9-A06</t>
  </si>
  <si>
    <t>72-33-3</t>
  </si>
  <si>
    <t>Estrogen. Diffuses into their target cells and interact with a protein receptor. Target cells include the female reproductive tract, the mammary gland, the hypothalamus, and the pituitary. Estrogens increase the hepatic synthesis of sex hormone binding globulin (SHBG), thyroid-binding globulin (TBG), and other serum proteins and suppress follicle-stimulating hormone (FSH) from the anterior pituitary. The combination of an estrogen with a progestin suppresses the hypothalamic-pituitary system, decreasing the secretion of gonadotropin-releasing hormone (GnRH).</t>
  </si>
  <si>
    <t>Cases of venous thrombosis, pulmonary embolism (sometimes fatal), and arterial thrombosis have been reported rarely.</t>
  </si>
  <si>
    <t>CC(C)NCC(C1=CC(=CC(=C1)O)O)O.CC(C)NCC(C1=CC(=CC(=C1)O)O)O.OS(=O)(=O)O</t>
  </si>
  <si>
    <t>5-[1-hydroxy-2-(propan-2-ylamino)ethyl]benzene-1,3-diol;sulfuric acid</t>
  </si>
  <si>
    <t>9-A07</t>
  </si>
  <si>
    <t>5874-97-5</t>
  </si>
  <si>
    <t xml:space="preserve"> Bronchodilator, Anti-asthmatic</t>
  </si>
  <si>
    <t>Moderately selective beta(2)-adrenergic agonist that stimulates receptors of the smooth muscle in the lungs, uterus, and vasculature supplying skeletal muscle, with minimal or no effect on alpha-adrenergic receptors.</t>
  </si>
  <si>
    <t>Symptoms of overdose include angina, hypertension or hypotension, arrhythmias, nervousness, headache, tremor, dry mouth, palpitation, nausea, dizziness, fatigue, malaise and insomnia.</t>
  </si>
  <si>
    <t>C[C@@H]([C@@H](C1=CC(=CC=C1)O)O)N.[C@@H]([C@H](C(=O)O)O)(C(=O)O)O</t>
  </si>
  <si>
    <t>3-[(1R,2S)-2-amino-1-hydroxypropyl]phenol;(2R,3R)-2,3-dihydroxybutanedioic acid</t>
  </si>
  <si>
    <t>Metaraminol Bitartrate</t>
  </si>
  <si>
    <t>9-A08</t>
  </si>
  <si>
    <t>33402-03-8</t>
  </si>
  <si>
    <t>Pure alpha-1 adrenergic receptor agonist.</t>
  </si>
  <si>
    <t>may cause sinus or ventricular tachycardia, or other arrhythmias, especially in patients with myocardial infarction.</t>
  </si>
  <si>
    <t>CC1=CC(=CC(=C1)OCC2CNC(=O)O2)C</t>
  </si>
  <si>
    <t>5-[(3,5-dimethylphenoxy)methyl]-1,3-oxazolidin-2-one</t>
  </si>
  <si>
    <t>Metaxalone</t>
  </si>
  <si>
    <t>9-A09</t>
  </si>
  <si>
    <t>1665-48-1</t>
  </si>
  <si>
    <t>Hypnotic/Sedative, Muscle Relaxant</t>
  </si>
  <si>
    <t>The mechanism of action of metaxalone in humans has not been established, but may be due to general central nervous system depression.</t>
  </si>
  <si>
    <t>Gastrointestinal side effects including nausea, vomiting, and gastrointestinal upset have been reported.
Nervous system side effects include drowsiness, dizziness, headache, and nervousness or irritability.
Hematologic side effects including leukopenia and hemolytic anemia have been reported.
Hypersensitivity side effects include hypersensitivity reaction characterized by a light rash with or without pruritus.
Hepatic side effects including elevation in cephalin flocculation tests (without concurrent changes in other liver function parameters) and jaundice have been reported.
Other side effects including a false-positive Benedict's tests (due to an unknown reducing substance) have been reported.</t>
  </si>
  <si>
    <t>CC(C[N+](C)(C)C)OC(=O)C.[Cl-]</t>
  </si>
  <si>
    <t>2-acetyloxypropyl(trimethyl)azanium;chloride</t>
  </si>
  <si>
    <t>Methacholine Chloride</t>
  </si>
  <si>
    <t>9-A10</t>
  </si>
  <si>
    <t>62-51-1</t>
  </si>
  <si>
    <t>Bronchoconstrictor used for asthma and bronchial hyperactivity diagnosis</t>
  </si>
  <si>
    <t>Muscarinic receptor agonist</t>
  </si>
  <si>
    <t>Use of methacholine, is contraindicated in patients with recent heart attack or stroke, uncontrolled hypertension, known severe airway disease, or an aortic aneurysm. It may be used with caution by nursing or pregnant mothers and patients taking certain medications for myasthenia gravis.</t>
  </si>
  <si>
    <t>CC(=O)N=C1N(N=C(S1)S(=O)(=O)N)C</t>
  </si>
  <si>
    <t>N-(3-methyl-5-sulfamoyl-1,3,4-thiadiazol-2-ylidene)acetamide</t>
  </si>
  <si>
    <t>Methazolamide</t>
  </si>
  <si>
    <t>9-A11</t>
  </si>
  <si>
    <t>554-57-4</t>
  </si>
  <si>
    <t>Potent carbonic anhydrase inhibitor.</t>
  </si>
  <si>
    <t>Electrolyte imbalance, development of an acidotic state, and central nervous system effects might be expected to occur in the case of an overdose.</t>
  </si>
  <si>
    <t>C1N2CN3CN1CN(C2)C3.C1=CC=C(C=C1)C(=O)NCC(=O)O</t>
  </si>
  <si>
    <t>1,3,5,7-tetraazatricyclo[3.3.1.1³,⁷]decane; 2-(phenylformamido)acetic acid</t>
  </si>
  <si>
    <t>Methenamine Hippurate</t>
  </si>
  <si>
    <t>9-B02</t>
  </si>
  <si>
    <t>5714-73-8</t>
  </si>
  <si>
    <t xml:space="preserve"> Antibacterial (urinary)</t>
  </si>
  <si>
    <t>Methenamine, an inactive weak base, slowly hydrolyzes in acidic urine to ammonia and the nonspecific antibacterial, formaldehyde. Formaldehyde is thought to act by denaturation of protein. Urinary formaldehyde concentrations may be bactericidal or bacteriostatic.</t>
  </si>
  <si>
    <t>Its use had temporarily been reduced in the late 1990s, due to adverse effects (notably chemically-induced hemorrhagic cystitis in overdose), but its use has now been reapproved because of the prevalence of antibiotic resistance to more commonly used drugs. This drug is particularly suitable for long-term prophylactic treatment of urinary tract infection, because bacteria do not develop resistance to formaldehyde: however, it should not be used in the presence of renal insufficiency.</t>
  </si>
  <si>
    <t>COC1=CC=CC=C1OCC(COC(=O)N)O</t>
  </si>
  <si>
    <t>[2-hydroxy-3-(2-methoxyphenoxy)propyl] carbamate</t>
  </si>
  <si>
    <t>Methocarbamol</t>
  </si>
  <si>
    <t>9-B03</t>
  </si>
  <si>
    <t>532-03-6</t>
  </si>
  <si>
    <t>Centrally acting muscle relaxant whose mode of action has not been established</t>
  </si>
  <si>
    <t xml:space="preserve">Potential side effects include: drowsiness, dizziness, upset stomach, flushing, blurred vision, and fever. Contact a doctor if these symptoms persist. Serious side-effects include the development of a severe skin rash or itching, slow heart rate, fainting, jaundice, persistent nausea/vomiting, stomach/abdominal pain, mental/mood changes, clumsiness, trouble urinating, signs of infection.
Because of potential for side effects, this drug is on the list for High Risk Medications in the elderly. </t>
  </si>
  <si>
    <t>CN(CC1=CN=C2C(=N1)C(=NC(=N2)N)N)C3=CC=C(C=C3)C(=O)NC(CCC(=O)O)C(=O)O</t>
  </si>
  <si>
    <t>(2S)-2-[[4-[(2,4-diaminopteridin-6-yl)methyl-methylamino]benzoyl]amino]pentanedioic acid</t>
  </si>
  <si>
    <t xml:space="preserve">Methotrexate </t>
  </si>
  <si>
    <t>9-B04</t>
  </si>
  <si>
    <t>Folate Antagonist</t>
  </si>
  <si>
    <t>Suppressed hematopoiesis causing most frequently leukopenia; less frequently also anemia, aplastic anemia, pancytopenia, neutropenia and/or thrombocytopenia, lymphadenopathy and lymphoproliferative disorders. Hypogammaglobulinemia has been reported rarely.</t>
  </si>
  <si>
    <t>COC1=C2C(=CC3=C1OC=C3)C=CC(=O)O2</t>
  </si>
  <si>
    <t>9-methoxyfuro[3,2-g]chromen-7-one</t>
  </si>
  <si>
    <t>Methoxsalen (Xanthotoxin)</t>
  </si>
  <si>
    <t>9-B05</t>
  </si>
  <si>
    <t>298-81-7</t>
  </si>
  <si>
    <t>Antineoplastic, Photosensitizer, Pigmenting Agent</t>
  </si>
  <si>
    <t xml:space="preserve">After activation it binds preferentially to the guanine and cytosine moieties of DNA, leading to cross-linking of DNA, thus inhibiting DNA synthesis and function. Potent suicide inhibitor of cytochrome P450.  
</t>
  </si>
  <si>
    <t>Patients with high blood pressure or a history of liver problems are at risk for inflammation and irreparable damage to both liver and skin. The eyes must be protected from UVA radiation. Side effects include nausea, headaches, dizziness, and in rare cases insomnia.</t>
  </si>
  <si>
    <t>C[N+]1([C@@H]2CC(C[C@H]1[C@H]3[C@@H]2O3)OC(=O)[C@H](CO)C4=CC=CC=C4)C.[Br-]</t>
  </si>
  <si>
    <t>(1S,5S,7R)-1,5-dihydrogenio-7-{[(2S)-3-hydroxy-2-phenylpropanoyl]oxy}-9,9-dimethyl-3-oxa-9-azatricyclo[3.3.1.0²,⁴]nonan-9-ium bromide</t>
  </si>
  <si>
    <t>9-B06</t>
  </si>
  <si>
    <t>155-41-9</t>
  </si>
  <si>
    <t>Antispasmodic</t>
  </si>
  <si>
    <t>Symptoms of a methscopolamine overdose include headache, nausea, vomiting, dry mouth, difficulty swallowing, blurred vision, dilated pupils, hot, dry skin, dizziness; drowsiness, confusion, anxiety, seizures, weak pulse, and an irregular heartbeat. In addition, a curare-like action may occur, i.e., neuromuscular blockade leading to muscular weakness and possible paralysis.</t>
  </si>
  <si>
    <t>CC1(CC(=O)N(C1=O)C)C2=CC=CC=C2</t>
  </si>
  <si>
    <t>1,3-dimethyl-3-phenylpyrrolidine-2,5-dione</t>
  </si>
  <si>
    <t>Methsuximide</t>
  </si>
  <si>
    <t>9-B07</t>
  </si>
  <si>
    <t>77-41-8</t>
  </si>
  <si>
    <t>Binds to T-type voltage sensitive calcium channels.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t>
  </si>
  <si>
    <t>Acute overdoses may produce nausea, vomiting, and CNS depression including coma with respiratory depression.</t>
  </si>
  <si>
    <t>CN1C(NC2=CC(=C(C=C2S1(=O)=O)S(=O)(=O)N)Cl)CCl</t>
  </si>
  <si>
    <t>6-chloro-3-(chloromethyl)-2-methyl-1,1-dioxo-3,4-dihydro-1$l^{6},2,4-benzothiadiazine-7-sulfonamide</t>
  </si>
  <si>
    <t>Methyclothiazide</t>
  </si>
  <si>
    <t>9-B08</t>
  </si>
  <si>
    <t>135-07-9</t>
  </si>
  <si>
    <t>Inhibits active chloride reabsorption at the early distal tubule via the Na-Cl cotransporter, resulting in an increase in the excretion of sodium, chloride, and water. Also inhibits sodium ion transport across the renal tubular epithelium through binding to the thiazide sensitive sodium-chloride transporter. This results in an increase in potassium excretion via the sodium-potassium exchange mechanism.</t>
  </si>
  <si>
    <t>Among the more serious adverse effects are hypokalemia, hyperglycemia, hyperuricemia, hypotension, and hypersensitivity reactions.</t>
  </si>
  <si>
    <t>COC(=O)CCC(=O)CN.Cl</t>
  </si>
  <si>
    <t>methyl 5-amino-4-oxopentanoate;hydrochloride</t>
  </si>
  <si>
    <t>9-B09</t>
  </si>
  <si>
    <t>79416-27-6</t>
  </si>
  <si>
    <t>Prodrug that is metabolised to Protoporphyrin IX (a photosensitizer) used in photodynamic therapy.</t>
  </si>
  <si>
    <t>The severity of local phototoxic reactions such as erythema, pain and burning sensation may increase in case of prolonged application time or very high light intensity.</t>
  </si>
  <si>
    <t>CC[C@@H](CO)NC(=O)[C@H]1CN([C@@H]2CC3=CNC4=CC=CC(=C34)C2=C1)C.C(=C\C(=O)O)\C(=O)O</t>
  </si>
  <si>
    <t>(6aR,9R)-N-[(2S)-1-hydroxybutan-2-yl]-7-methyl-6,6a,8,9-tetrahydro-4H-indolo[4,3-fg]quinoline-9-carboxamide;(Z)-but-2-enedioic acid</t>
  </si>
  <si>
    <t>Methylergonovine Maleate</t>
  </si>
  <si>
    <t>9-B10</t>
  </si>
  <si>
    <t>57432-61-8</t>
  </si>
  <si>
    <t>Oxytocic (used for prevention and control of excessive bleeding following vaginal childbirth)</t>
  </si>
  <si>
    <t>Dopamine D1 receptor antagonist</t>
  </si>
  <si>
    <t>Side effects: Cholinergic effects such as nausea, vomiting, and diarrhea; Cramping 
Dizziness, Pulmonary hypertension, Coronary artery vasoconstriction, 
Severe systemic hypertension (especially in patients with preeclampsia), Convulsions.</t>
  </si>
  <si>
    <t>CC1NC2=CC(=C(C=C2C(=O)N1C3=CC=CC=C3C)S(=O)(=O)N)Cl</t>
  </si>
  <si>
    <t>7-chloro-2-methyl-3-(2-methylphenyl)-4-oxo-1,2-dihydroquinazoline-6-sulfonamide</t>
  </si>
  <si>
    <t>Metolazone</t>
  </si>
  <si>
    <t>9-B11</t>
  </si>
  <si>
    <t>17560-51-9</t>
  </si>
  <si>
    <t>Antihypertensive, diuretic, congestive heart failure treatment</t>
  </si>
  <si>
    <t>Thiazide-like diuretic. Acts primarily to inhibit sodium reabsorption at the cortical diluting site and to a lesser extent in the proximal convoluted tubule.</t>
  </si>
  <si>
    <t xml:space="preserve">Serious, though rare, risk of  aplastic anemia and agranulocytosis. </t>
  </si>
  <si>
    <t>CC(C)(C1=CN=CC=C1)C(=O)C2=CN=CC=C2</t>
  </si>
  <si>
    <t>2-methyl-1,2-dipyridin-3-ylpropan-1-one</t>
  </si>
  <si>
    <t>Metyrapone</t>
  </si>
  <si>
    <t>9-C02</t>
  </si>
  <si>
    <t>54-36-4</t>
  </si>
  <si>
    <t>Used in the diagnosis of adrenal insufficiency and occasionally in the treatment of Cushing's syndrome</t>
  </si>
  <si>
    <t xml:space="preserve"> Inhibitor of the enzyme steroid 11-beta-monooxygenase.This, in turn, reduces cortisol and corticosterone production. Also, inhibits cytochrome P-450-mediated prostaglandin ω/ω-1 hydroxylase activity.</t>
  </si>
  <si>
    <t>Symptoms of overdose include cardiac arrhythmias, hypotension, dehydration, anxiety, confusion, weakness, impairment of consciousness, nausea, vomiting, epigastric pain, and diarrhea.</t>
  </si>
  <si>
    <t>9-C03</t>
  </si>
  <si>
    <t>CC1=C(C(=CC=C1)C)OCC(C)N.Cl</t>
  </si>
  <si>
    <t>1-(2,6-dimethylphenoxy)propan-2-amine;hydrochloride</t>
  </si>
  <si>
    <t>Mexiletine·HCl</t>
  </si>
  <si>
    <t>9-C04</t>
  </si>
  <si>
    <t xml:space="preserve">Antiarrhythmic </t>
  </si>
  <si>
    <t xml:space="preserve">Inhibits the inward sodium current required for the initiation and conduction of impulses, thus reducing the rate of rise of the action potential, Phase 0. It achieves this reduced sodium current by inhibiting sodium channels. </t>
  </si>
  <si>
    <t xml:space="preserve">Risk of causing torsades de pointes and prolonged QT intervals. </t>
  </si>
  <si>
    <t>CCCCCOC1=CC=C(C=C1)C2=CC(=NO2)C3=CC=C(C=C3)C(=O)N[C@H]4C[C@H]([C@H](NC(=O)[C@@H]5[C@H]([C@H](CN5C(=O)[C@@H](NC(=O)[C@@H](NC(=O)[C@@H]6C[C@H](CN6C(=O)[C@@H](NC4=O)[C@@H](C)O)O)[C@@H]([C@H](C7=CC(=C(C=C7)O)OS(=O)(=O)O)O)O)[C@@H](CC(=O)N)O)C)O)O)O</t>
  </si>
  <si>
    <t>{5-[(1S,2S)-2-[(3S,6S,9S,11R,18S,20R,21R,24S,25S,26S)-3-[(1R)-2-carbamoyl-1-hydroxyethyl]-11,20,21,25-tetrahydroxy-15-[(1R)-1-hydroxyethyl]-26-methyl-2,5,8,14,17,23-hexaoxo-18-(4-{5-[4-(pentyloxy)phenyl]-1,2-oxazol-3-yl}benzamido)-1,4,7,13,16,22-hexaazatricyclo[22.3.0.0⁹,¹³]heptacosan-6-yl]-1,2-dihydroxyethyl]-2-hydroxyphenyl}oxidanesulfonic acid</t>
  </si>
  <si>
    <t xml:space="preserve">Micafungin </t>
  </si>
  <si>
    <t>9-C05</t>
  </si>
  <si>
    <t>Inhibits the synthesis of beta-1,3-D-glucan, an essential component of fungal cell walls which is not present in mammalian cells. It does this by inhibiting beta-1,3-D-glucan synthase.</t>
  </si>
  <si>
    <t>Hepatotoxic. Inhibits BSEP (bile salt export pump).</t>
  </si>
  <si>
    <t>9-C06</t>
  </si>
  <si>
    <t xml:space="preserve">The pharmacological mode of action of miconazole is unknown. In-vitro studies suggest that imidazoles impair the synthesis of ergosterol, which is a vital component of the fungi cell membranes.  </t>
  </si>
  <si>
    <t>In-vitro miconazole inhibited the ability of neutrophils to reach the site of infection promptly (chemotaxis) and it demonstrates marked immunosuppressive properties. Causes aggregation of erythrocytes, anaemia, thrombocytosis. Human granulocyte progenitor cells.</t>
  </si>
  <si>
    <t>9-C07</t>
  </si>
  <si>
    <t>COC1=CC(=C(C=C1)OC)C(CNC(=O)CN)O.Cl</t>
  </si>
  <si>
    <t>2-amino-N-[2-(2,5-dimethoxyphenyl)-2-hydroxyethyl]acetamide;hydrochloride</t>
  </si>
  <si>
    <t>Midodrine·HCl</t>
  </si>
  <si>
    <t>9-C08</t>
  </si>
  <si>
    <t>3092-17-9</t>
  </si>
  <si>
    <t xml:space="preserve"> Vasopressor/antihypotensive</t>
  </si>
  <si>
    <t>Forms an active metabolite, desglymidodrine, that is an alpha1-agonist, and exerts its actions via activation of the alpha-adrenergic receptors of the arteriolar and venous vasculature, producing an increase in vascular tone and elevation of blood pressure. Desglymidodrine does not stimulate cardiac beta-adrenergic receptors.</t>
  </si>
  <si>
    <t>Headache; feeling of pressure/fullness in the head, vasodilation/flushing face, confusion/thinking abnormality, dry mouth; nervousness/anxiety and rash.</t>
  </si>
  <si>
    <t>C1[C@@H]([C@H]([C@@H]([C@H](N1CCO)CO)O)O)O</t>
  </si>
  <si>
    <t>(2R,3R,4R,5S)-1-(2-hydroxyethyl)-2-(hydroxymethyl)piperidine-3,4,5-triol</t>
  </si>
  <si>
    <t>Miglitol</t>
  </si>
  <si>
    <t>9-C09</t>
  </si>
  <si>
    <t>72432-03-2</t>
  </si>
  <si>
    <t xml:space="preserve"> Anti-diabetic </t>
  </si>
  <si>
    <t xml:space="preserve">In contrast to sulfonylureas, miglitol does not enhance insulin secretion. The antihyperglycemic action of miglitol results from a reversible inhibition of membrane-bound intestinal α-glucoside hydrolase enzymes. Membrane-bound intestinal α-glucosidases hydrolyze oligosaccharides and disaccharides to glucose and other monosaccharides in the brush border of the small intestine. </t>
  </si>
  <si>
    <t xml:space="preserve">Hepatotoxicity is a life-threatening side effect. Other adverse effects are low iron and rash. Common side effects are abdominal pain, diarrhea, and flatulence. </t>
  </si>
  <si>
    <t>CCN(CC)C(=O)C1(CC1CN)C2=CC=CC=C2.Cl</t>
  </si>
  <si>
    <t>2-(aminomethyl)-N,N-diethyl-1-phenylcyclopropane-1-carboxamide;hydrochloride</t>
  </si>
  <si>
    <t>Milnacipran·HCl</t>
  </si>
  <si>
    <t>9-C10</t>
  </si>
  <si>
    <t> 101152-94-7</t>
  </si>
  <si>
    <t>Fibromyalgia treatment</t>
  </si>
  <si>
    <t xml:space="preserve">Serotonin– norepinephrine reuptake inhibitor (SNRI). </t>
  </si>
  <si>
    <t xml:space="preserve">Risk of acute cardiac dysfunction. </t>
  </si>
  <si>
    <t>CN1CCN2C(C1)C3=CC=CC=C3CC4=C2N=CC=C4</t>
  </si>
  <si>
    <t>5-methyl-2,5,19-triazatetracyclo[13.4.0.0²,⁷.0⁸,¹³]nonadeca-1(15),8(13),9,11,16,18-hexaene</t>
  </si>
  <si>
    <t>Mirtazapine</t>
  </si>
  <si>
    <t>9-C11</t>
  </si>
  <si>
    <t xml:space="preserve">Antagonist/inverse agonist of 5-HT2, 5-HT3, α2-adrenergic and H1 receptors. </t>
  </si>
  <si>
    <t xml:space="preserve">Hematopoietic toxicity. Risk of agranulocytosis. </t>
  </si>
  <si>
    <t>C1=CC=C(C(=C1)C(C2=CC=C(C=C2)Cl)C(Cl)Cl)Cl</t>
  </si>
  <si>
    <t>1-chloro-2-[2,2-dichloro-1-(4-chlorophenyl)ethyl]benzene</t>
  </si>
  <si>
    <t>Mitotane</t>
  </si>
  <si>
    <t>9-D02</t>
  </si>
  <si>
    <t>53-19-0</t>
  </si>
  <si>
    <t>Derivative of the insecticide dichlorodiphenyldichloroethane that specifically inhibits cells of the adrenal cortex and their production of hormones. Its biochemical mechanism of action is unknown, although data are available to suggest that the drug modifies the peripheral metabolism of steroids as well as directly suppressing the adrenal cortex.</t>
  </si>
  <si>
    <t>Causes CNS damage, but no bone marrow depression.</t>
  </si>
  <si>
    <t>9-D03</t>
  </si>
  <si>
    <t>CCOC(=O)[C@H](CCC1=CC=CC=C1)N[C@@H](C)C(=O)N2CC3=CC(=C(C=C3C[C@H]2C(=O)O)OC)OC.Cl</t>
  </si>
  <si>
    <t>(3S)-2-[(2S)-2-[[(2S)-1-ethoxy-1-oxo-4-phenylbutan-2-yl]amino]propanoyl]-6,7-dimethoxy-3,4-dihydro-1H-isoquinoline-3-carboxylic acid;hydrochloride</t>
  </si>
  <si>
    <t>Moexipril·HCl</t>
  </si>
  <si>
    <t>9-D04</t>
  </si>
  <si>
    <t>82586-52-5</t>
  </si>
  <si>
    <t xml:space="preserve">The side effects most often reported include digestive tract disorders, depression, headache, dizziness, vertigo, sleeping difficulties, chest pains, and palpitations. There can be pronounced first dose hypotension. Anaphylatic reactions can occur, and angiodema can occur at any time during therapy (but usually with first dose). </t>
  </si>
  <si>
    <t>C[C@@H]1C[C@H]2[C@@H]3CCC4=CC(=O)C=C[C@@]4([C@]3([C@H](C[C@@]2([C@]1(C(=O)CCl)OC(=O)C5=CC=CO5)C)O)Cl)C</t>
  </si>
  <si>
    <t>[(8S,9R,10S,11S,13S,14S,16R,17R)-9-chloro-17-(2-chloroacetyl)-11-hydroxy-10,13,16-trimethyl-3-oxo-6,7,8,11,12,14,15,16-octahydrocyclopenta[a]phenanthren-17-yl] furan-2-carboxylate</t>
  </si>
  <si>
    <t>Mometasone Furoate</t>
  </si>
  <si>
    <t>9-D05</t>
  </si>
  <si>
    <t>83919-23-7</t>
  </si>
  <si>
    <t>Anti-inflammatory, antiallergic</t>
  </si>
  <si>
    <t xml:space="preserve">Crosses cell membranes and binds with high affinity to specific cytoplasmic receptors. Inflammation is decreased by diminishing the release of leukocytic acid hydrolases, prevention of macrophage accumulation at inflamed sites, interference with leukocyte adhesion to the capillary wall, reduction of capillary membrane permeability, reduction of complement components, inhibition of histamine and kinin release, and interference with the formation of scar tissue. The antiinflammatory actions of corticosteroids are thought to involve phospholipase A2 inhibitory proteins, lipocortins, which control the biosynthesis of potent mediators of inflammation such as prostaglandins and leukotrienes. </t>
  </si>
  <si>
    <t xml:space="preserve">The potential for acute toxic effects following overdose with the mometasone inhaler is low. However, habitual overuse of the product can cause symptoms of steroid overload, including menstrual irregularities, acne, obesity, and muscle weakness. </t>
  </si>
  <si>
    <t>C[C@H]([C@H]1[C@@H](O1)C[C@H]2CO[C@H]([C@@H]([C@@H]2O)O)C/C(=C/C(=O)OCCCCCCCCC(=O)O)/C)[C@H](C)O</t>
  </si>
  <si>
    <t>9-[(E)-4-[(2S,3R,4R,5S)-3,4-dihydroxy-5-[[(2S,3S)-3-[(2S,3S)-3-hydroxybutan-2-yl]oxiran-2-yl]methyl]oxan-2-yl]-3-methylbut-2-enoyl]oxynonanoic acid</t>
  </si>
  <si>
    <t>Mupirocin</t>
  </si>
  <si>
    <t>9-D06</t>
  </si>
  <si>
    <t>12650-69-0</t>
  </si>
  <si>
    <t>Antibiotic, Bacteriostatic</t>
  </si>
  <si>
    <t>Strongly inhibits protein and RNA synthesis in Staphylococcus aureus while DNA and cell wall formation are impacted to a lesser degree. The inhibition of RNA synthesis was shown to be a protective mechanism in response to a lack of isoleucine. In vivo studies in E.coli demonstrated inhibition of isoleucine t-RNA synthetase (IleRS).</t>
  </si>
  <si>
    <t>Adverse reactions: CNS: headache (with intranasal use); rhinitis, nasal stinging or burning, pharyngitis (all with intranasal use); GI: mouth and lip sores; Skin: pruritus (with intranasal use); dry skin, rash, redness, stinging or pain, secondary wound infection.
Other: taste disorders (with intranasal use).</t>
  </si>
  <si>
    <t>CC(C)(C)NCC(COC1=CC=CC2=C1CC(C(C2)O)O)O</t>
  </si>
  <si>
    <t>(2R,3S)-5-[3-(tert-butylamino)-2-hydroxypropoxy]-1,2,3,4-tetrahydronaphthalene-2,3-diol</t>
  </si>
  <si>
    <t>Nadolol</t>
  </si>
  <si>
    <t>9-D07</t>
  </si>
  <si>
    <t>42200-33-9</t>
  </si>
  <si>
    <t>Non-selective beta-1 and beta-2 receptor blocker.</t>
  </si>
  <si>
    <t xml:space="preserve">Among the more serious adverse effects are bronchospasm, bradycardia, precipitation of heart failure, cardiac arrhythmia, masking of signs of hypoglycemia in diabetics, fatigue, and lethargy. GI disturbances, rashes, and other allergic reactions may also occur. </t>
  </si>
  <si>
    <t>CCOC1=C(C2=CC=CC=C2C=C1)C(=N[C@H]3[C@@H]4N(C3=O)[C@H](C(S4)(C)C)C(=O)O)[O-].[Na+]</t>
  </si>
  <si>
    <t>sodium;N-[(2S,5R,6R)-2-carboxy-3,3-dimethyl-7-oxo-4-thia-1-azabicyclo[3.2.0]heptan-6-yl]-2-ethoxynaphthalene-1-carboximidate</t>
  </si>
  <si>
    <t>Nafcillin·Na</t>
  </si>
  <si>
    <t>9-D08</t>
  </si>
  <si>
    <t>985-16-0</t>
  </si>
  <si>
    <t>Semi-synthetic antibiotic related to penicillin. Inhibits the biosynthesis of the bacterial cell wall.</t>
  </si>
  <si>
    <t xml:space="preserve">As with all penicillins, serious life-threatening allergic reactions can occur. 
Milder side-effects include: Nausea and vomiting, Diarrhea (often due to suppression of normal gastrointestinal bacteria, which, on occasion, leads to a more serious super-infection with an organism like Clostridium difficile), Abdominal pain,  Yeast infections (thrush - affecting the mouth and tongue or vagina), Agranulocytosis, Neutropenia. </t>
  </si>
  <si>
    <t>CN(C/C=C/C1=CC=CC=C1)CC2=CC=CC3=CC=CC=C32.Cl</t>
  </si>
  <si>
    <t>(E)-N-methyl-N-(naphthalen-1-ylmethyl)-3-phenylprop-2-en-1-amine;hydrochloride</t>
  </si>
  <si>
    <t>Naftifine·HCl</t>
  </si>
  <si>
    <t>9-D09</t>
  </si>
  <si>
    <t>65473-14-5</t>
  </si>
  <si>
    <t xml:space="preserve"> Antifungal (topical treatment of tinea pedis, tinea cruris, and tinea corporis)</t>
  </si>
  <si>
    <t>Precise mechanism of action unknown, but it may involve selectively blocking sterol biosynthesis via inhibition of the squalene 2,3-epoxidase enzyme.</t>
  </si>
  <si>
    <t>The main adverse reactions are dermatologic in nature and include burning/stinging (up to 6%), dryness (3%), erythema (up to 2%), itching (up to 2%), local irritation (2%), rash (0.5%), and skin tenderness (0.5%). Pruritus has been reported in greater than or equal to 1% of patients treated with the 2% cream formulation.</t>
  </si>
  <si>
    <t>CNS(=O)(=O)CCC1=CC2=C(C=C1)NC=C2C3CCN(CC3)C.Cl</t>
  </si>
  <si>
    <t>N-methyl-2-[3-(1-methylpiperidin-4-yl)-1H-indol-5-yl]ethanesulfonamide;hydrochloride</t>
  </si>
  <si>
    <t>Naratriptan·HCl</t>
  </si>
  <si>
    <t>9-D10</t>
  </si>
  <si>
    <t>143388-64-1</t>
  </si>
  <si>
    <t>Antimigrane</t>
  </si>
  <si>
    <t xml:space="preserve">Selective 5-HT1 receptor subtype agonist.  Action is attributed to binding to serotonin 5-HT1B and 5-HT1D receptors in cranial blood vessels (causing their constriction) and subsequent inhibition of pro-inflammatory neuropeptide release. Evidence is accumulating that these drugs are effective because they act on serotonin receptors in nerve endings as well as the blood vessels. This leads to a decrease in the release of several peptides, including CGRP and substance P.
</t>
  </si>
  <si>
    <t xml:space="preserve">Side effects include: dizziness, drowsiness, tingling of the hands or feet, unusual tiredness, nausea, dry mouth and unsteadiness. </t>
  </si>
  <si>
    <t>C[C@@H]1C/C=C/C=C/C=C/C=C/[C@@H](C[C@H]2[C@@H]([C@H](C[C@](O2)(C[C@H](C[C@@H]3[C@H](O3)/C=C/C(=O)O1)O)O)O)C(=O)O)O[C@H]4[C@H]([C@H]([C@@H]([C@H](O4)C)O)N)O</t>
  </si>
  <si>
    <t>(1R,3S,5R,7R,8E,12R,14E,16E,18E,20E,22R,24S,25R,26S)-22-{[(2R,3S,4S,5S,6R)-4-amino-3,5-dihydroxy-6-methyloxan-2-yl]oxy}-1,3,26-trihydroxy-12-methyl-10-oxo-6,11,28-trioxatricyclo[22.3.1.0⁵,⁷]octacosa-8,14,16,18,20-pentaene-25-carboxylic acid</t>
  </si>
  <si>
    <t>Natamycin</t>
  </si>
  <si>
    <t>9-D11</t>
  </si>
  <si>
    <t>7681-93-8</t>
  </si>
  <si>
    <t xml:space="preserve">Antifungal   </t>
  </si>
  <si>
    <t>Agent in food industry (E235).</t>
  </si>
  <si>
    <t>Natamycin does not have acute toxicity. The metabolites of natamycin also lack toxicity. 
There is no evidence that natamycin, at either pharmacological levels or levels encountered as a food additive, can harm normal intestinal flora, but definitive research may not be available.
The European Food Safety Authority (EFSA) has concluded that the use of natamycin as a food additive has no relevant risk for the development of resistant fungi.</t>
  </si>
  <si>
    <t>C1CC2=C(C=CC(=C2)F)OC1C(CNCC(C3CCC4=C(O3)C=CC(=C4)F)O)O.Cl</t>
  </si>
  <si>
    <t>(1S)-1-[(2S)-6-fluoro-3,4-dihydro-2H-chromen-2-yl]-2-[[(2S)-2-[(2R)-6-fluoro-3,4-dihydro-2H-chromen-2-yl]-2-hydroxyethyl]amino]ethanol;hydrochloride</t>
  </si>
  <si>
    <t>Nebivolol·HCl</t>
  </si>
  <si>
    <t>9-E02</t>
  </si>
  <si>
    <t>152520-56-4</t>
  </si>
  <si>
    <t xml:space="preserve"> Selective β1 receptor blocker with nitric oxide-potentiating vasodilatory effect. </t>
  </si>
  <si>
    <t>Headaches, Parasthesia and Dizziness are main side effects.</t>
  </si>
  <si>
    <t>COC1=NC(=NC2=C1N=CN2[C@H]3[C@H]([C@@H]([C@H](O3)CO)O)O)N</t>
  </si>
  <si>
    <t>(2R,3S,4S,5R)-2-(2-amino-6-methoxypurin-9-yl)-5-(hydroxymethyl)oxolane-3,4-diol</t>
  </si>
  <si>
    <t>Nelarabine</t>
  </si>
  <si>
    <t>9-E03</t>
  </si>
  <si>
    <t>121032-29-9</t>
  </si>
  <si>
    <t>Treatment for T-cell acute lymphoblastic leukemia and T-cell lymphoblastic lymphoma. Purine nucleoside analog gets converted to its corresponding arabinosylguanine nucleotide triphosphate (araGTP). As a result, inhibit of DNA synthesis and cytotoxicity is observed.</t>
  </si>
  <si>
    <t xml:space="preserve">Hematologic side effects include anemia (99%), thrombocytopenia (86%), neutropenia (81%); Gastrointestinal: nausea (41%), diarrhea (22%), vomiting (22%), constipation (21%); General side effects include fatigue (50%) and pyrexia (23%).  </t>
  </si>
  <si>
    <t>C1=CC=C(C=C1)C(=O)C2=C(C(=CC=C2)CC(=O)N)N</t>
  </si>
  <si>
    <t>2-(2-amino-3-benzoylphenyl)acetamide</t>
  </si>
  <si>
    <t>Nepafenac</t>
  </si>
  <si>
    <t>9-E04</t>
  </si>
  <si>
    <t>78281-72-8</t>
  </si>
  <si>
    <t xml:space="preserve"> Non-steroidal anti-inflammatory drug (NSAID)</t>
  </si>
  <si>
    <t xml:space="preserve">Used to treat pain and inflammation associated with cataract surgery. Decreases inflammation by blocking prostaglandin H synthase, an enzyme required for prostaglandin production.
</t>
  </si>
  <si>
    <t>Side effects may include decreased visual acuity, a feeling that something is in the eye, increased eye pressure or a sticky sensation, as well as other effects.</t>
  </si>
  <si>
    <t>CC1=C2C(=NC=C1)N(C3=C(C=CC=N3)C(=O)N2)C4CC4</t>
  </si>
  <si>
    <t>11-cyclopropyl-4-methyl-5H-dipyrido[2,3-e:2',3'-f][1,4]diazepin-6-one</t>
  </si>
  <si>
    <t>Nevirapine</t>
  </si>
  <si>
    <t>9-E05</t>
  </si>
  <si>
    <t>129618-40-2</t>
  </si>
  <si>
    <t xml:space="preserve">Non-nucleoside reverse transcriptase inhibitor (NNRTI) used to treat HIV-1 infection and AIDS. Both nucleoside and non-nucleoside RTIs inhibit the same target, the reverse transcriptase enzyme, an essential viral enzyme which transcribes viral RNA into DNA. Unlike nucleoside RTIs, which bind at the enzyme's active site, NNRTIs bind allosterically at a distinct site away from the active site termed the NNRTI pocket. Nevirapine is an inducer of cytochrome P450 isoenzymes CYP3A4 and CYP2B6.
</t>
  </si>
  <si>
    <t>Hepatotoxic (Mitochondrial Toxicity). The most common adverse effect of nevirapine is the development of mild or moderate rash (13%).Severe or life-threatening skin reactions have been observed in 1.5% of patients, including Stevens-Johnson syndrome, toxic epidermal necrolysis and hypersensitivity. Nevirapine may cause severe or life-threatening liver toxicity, usually emerging in the first six weeks of treatment.</t>
  </si>
  <si>
    <t>C1=CC(=CN=C1)C(=O)O</t>
  </si>
  <si>
    <t>pyridine-3-carboxylic acid</t>
  </si>
  <si>
    <t>9-E06</t>
  </si>
  <si>
    <t>59-67-6</t>
  </si>
  <si>
    <t>Lipid-modifying agent</t>
  </si>
  <si>
    <t>Reverses atherosclerosis by reducing total cholesterol, triglycerides, VLDL, and LDL. In addition to its effects as NAD and NADP, niacin may have additional effects by receptor activation. The receptor for niacin is a G protein-coupled receptor called HM74A.It couples to the Gi alpha subunit.</t>
  </si>
  <si>
    <t xml:space="preserve">Hepatocellular toxicants [Elevated ALT (alanine transaminase) levels]. </t>
  </si>
  <si>
    <t>CN1CCCC1C2=CN=CC=C2</t>
  </si>
  <si>
    <t>3-[(2S)-1-methylpyrrolidin-2-yl]pyridine</t>
  </si>
  <si>
    <t>Nicotine</t>
  </si>
  <si>
    <t>9-E07</t>
  </si>
  <si>
    <t>54-11-5</t>
  </si>
  <si>
    <t>Anti-craving Agent</t>
  </si>
  <si>
    <t>Acetylcholine receptors agonist</t>
  </si>
  <si>
    <t>Adverse reactions
CNS: headache, dizziness, drowsiness, poor concentration, nervousness, weakness, paresthesia, insomnia, abnormal dreams
CV: chest pain, hypertension, tachycardia, atrial fibrillation
EENT: sinusitis; pharyngitis (with gum); mouth and throat irritation (with inhaler); nasopharyngeal irritation, rhinitis, sneezing, watering eyes, eye irritation (with nasal spray)
GI: nausea, vomiting, diarrhea, constipation, abdominal pain, dry mouth, dyspepsia; increased salivation, sore mouth (with gum)
GU: dysmenorrhea
Musculoskeletal: joint pain, back pain, myalgia; jaw ache (with gum)
Respiratory: increased cough (with nasal spray or inhaler), bronchospasm 
Skin: burning at patch site, erythema, pruritus, cutaneous hypersensitivity, rash, sweating (all with transdermal patch)
Other: abnormal taste, increased appetite (with gum), allergy, hiccups.</t>
  </si>
  <si>
    <t>CC1=C(C=C(C=C1)C(=O)NC2=CC(=CC(=C2)N3C=C(N=C3)C)C(F)(F)F)NC4=NC=CC(=N4)C5=CN=CC=C5</t>
  </si>
  <si>
    <t>4-methyl-N-[3-(4-methylimidazol-1-yl)-5-(trifluoromethyl)phenyl]-3-[(4-pyridin-3-ylpyrimidin-2-yl)amino]benzamide</t>
  </si>
  <si>
    <t>Nilotinib</t>
  </si>
  <si>
    <t>9-E08</t>
  </si>
  <si>
    <t>641571-10-0</t>
  </si>
  <si>
    <t>Tyrosine kinase inhibitor targeting BCR-ABL, KIT, LCK, EPHA3, EPHA8, DDR1, DDR2, PDGFRB, MAPK11 and ZAK kinases.</t>
  </si>
  <si>
    <t>The drug carries a black box warning for possible heart complications.</t>
  </si>
  <si>
    <t>CC1(C(=O)N(C(=O)N1)C2=CC(=C(C=C2)[N+](=O)[O-])C(F)(F)F)C</t>
  </si>
  <si>
    <t>5,5-dimethyl-3-[4-nitro-3-(trifluoromethyl)phenyl]imidazolidine-2,4-dione</t>
  </si>
  <si>
    <t>Nilutamide</t>
  </si>
  <si>
    <t>9-E09</t>
  </si>
  <si>
    <t>63612-50-0</t>
  </si>
  <si>
    <t xml:space="preserve">Antineoplastic, hormonal agent </t>
  </si>
  <si>
    <t xml:space="preserve">Nonsteroidal anti-androgen used mainly for prostate cancer with affinity for androgen receptors (but not for progestogen, estrogen, or glucocorticoid receptors). Competes with androgen for the binding of androgen receptors, consequently blocking the action of androgens of adrenal and testicular origin that stimulate the growth of normal and malignant prostatic tissue. This blockade of androgen receptors may result in growth arrest or transient tumor regression through inhibition of androgen-dependent DNA and protein synthesis. Prostate cancer is mostly androgen-dependent and can be treated with surgical or chemical castration. </t>
  </si>
  <si>
    <t xml:space="preserve">Adverse reactions include impaired adaptation to dark (57%); chromatopsia (9%); abnormal vision; Headache (14%); dizziness (7%); Hot flushes (67%); chest pain (7%); Anorexia (11%); abdominal pain, nausea (10%); Testicular atrophy (16%); decreased libido (11%); UTI (8%). </t>
  </si>
  <si>
    <t>CC(=O)OC1=CC=CC=C1C(=O)NC2=NC=C(S2)[N+](=O)[O-]</t>
  </si>
  <si>
    <t>[2-[(5-nitro-1,3-thiazol-2-yl)carbamoyl]phenyl] acetate</t>
  </si>
  <si>
    <t>Nitazoxanide</t>
  </si>
  <si>
    <t>9-E10</t>
  </si>
  <si>
    <t>55981-09-4</t>
  </si>
  <si>
    <t>Antiparasitic, anti-protozoal agent</t>
  </si>
  <si>
    <t>Antiprotozoal activity of nitazoxanide is believed to be due to interference with the pyruvate:ferredoxin oxidoreductase (PFOR) enzyme-dependent electron transfer reaction which is essential to anaerobic energy metabolism. Studies have shown that the PFOR enzyme from Giardia lamblia directly reduces nitazoxanide by transfer of electrons in the absence of ferredoxin. The DNA-derived PFOR protein sequence of Cryptosporidium parvum appears to be similar to that of Giardia lamblia. Interference with the PFOR enzyme-dependent electron transfer reaction may not be the only pathway by which nitazoxanide exhibits antiprotozoal activity.</t>
  </si>
  <si>
    <t>Side effects are mostly gastrointestinal, and include abdominal pain (6%), vomiting (1%), headache (3%), nausea (3%) and diarrhea (4%).</t>
  </si>
  <si>
    <t>C1CC(=O)C(C(=O)C1)C(=O)C2=C(C=C(C=C2)C(F)(F)F)[N+](=O)[O-]</t>
  </si>
  <si>
    <t>2-[2-nitro-4-(trifluoromethyl)benzoyl]cyclohexane-1,3-dione</t>
  </si>
  <si>
    <t>Nitisinone</t>
  </si>
  <si>
    <t>9-E11</t>
  </si>
  <si>
    <t>104206-65-7</t>
  </si>
  <si>
    <t>hereditary tyrosinemia type 1 treatment</t>
  </si>
  <si>
    <t>Reversible inhibitor of 4-hydroxyphenylpyruvate dioxygenase.</t>
  </si>
  <si>
    <t>Nitisinone has several negative side effects, these include but are not limited to; bloated abdomen, dark urine, abdominal pain, feeling of tiredness or weakness, headache, light colored stools, loss of apetite, weight loss, vomiting, and yellow colored eyes or skin.</t>
  </si>
  <si>
    <t>C1C(=O)NC(=O)N1N=CC2=CC=C(O2)[N+](=O)[O-]</t>
  </si>
  <si>
    <t>1-[(E)-(5-nitrofuran-2-yl)methylideneamino]imidazolidine-2,4-dione</t>
  </si>
  <si>
    <t>Nitrofurantoin</t>
  </si>
  <si>
    <t>9-F02</t>
  </si>
  <si>
    <t>67-20-9</t>
  </si>
  <si>
    <t>Antibiotic (usede in urinary tract infections)</t>
  </si>
  <si>
    <t xml:space="preserve">Nitrofurantoin is activated by bacterial flavoproteins (nitrofuran reductase) to active reduced reactive intermediates that are thought to modulate and damage ribosomal proteins or other macromolecules, especially DNA, causing inhibition of DNA, RNA, protein, and cell wall synthesis. The overall effect is inhibition of bacterial growth or cell death. </t>
  </si>
  <si>
    <t xml:space="preserve">Hepatotoxic (Mixed Mode Toxicant [Elevated ALT (alanine transaminase) and ALP (alkaline phosphatase) levels]. Hemolytic anemia is a risk in patients with G6PD deficiency. </t>
  </si>
  <si>
    <t>CN/C(=C\[N+](=O)[O-])/NCCSCC1=CSC(=N1)CN(C)C</t>
  </si>
  <si>
    <t>(E)-1-N'-[2-[[2-[(dimethylamino)methyl]-1,3-thiazol-4-yl]methylsulfanyl]ethyl]-1-N-methyl-2-nitroethene-1,1-diamine</t>
  </si>
  <si>
    <t>Nizatidine</t>
  </si>
  <si>
    <t>9-F03</t>
  </si>
  <si>
    <t>76963-41-2</t>
  </si>
  <si>
    <t>Anti-Ulcer agent</t>
  </si>
  <si>
    <t>Histamine H2 receptor antagonist with low toxicity that inhibits gastric acid secretion. The drug is used for the treatment of duodenal ulcers.</t>
  </si>
  <si>
    <t>Hepatotoxic (Elevated ALT (alanine transaminase) and AST (aspartate transaminase)  levels).</t>
  </si>
  <si>
    <t>CNCCC=C1C2=CC=CC=C2CCC3=CC=CC=C31.Cl</t>
  </si>
  <si>
    <t>3-(5,6-dihydrodibenzo[2,1-b:2',1'-f][7]annulen-11-ylidene)-N-methylpropan-1-amine;hydrochloride</t>
  </si>
  <si>
    <t>Nortriptyline·HCl</t>
  </si>
  <si>
    <t>9-F04</t>
  </si>
  <si>
    <t>894-71-3</t>
  </si>
  <si>
    <t>Second-generation tricyclic antidepressant. It is believed that nortriptyline, N-demethylated active metabolite of amitriptyline, either inhibits the reuptake of the neurotransmitter serotonin at the neuronal membrane or acts at beta-adrenergic receptors. Tricyclic antidepressants do not inhibit monoamine oxidase nor do they affect dopamine reuptake.</t>
  </si>
  <si>
    <t>The most common side effects include dry mouth, sedation, constipation, and increased appetite. An occasional side effect is a rapid or irregular heartbeat. 
However, the incidence of side effects with nortriptyline is lower than with the first-generation tricyclics (e.g., imipramine (Tofranil), amitriptyline (Elavil)).
A study with men has found that treatment with nortriptyline is associated with higher risk of suicidal ideation compared to escitalopram.</t>
  </si>
  <si>
    <t>C1=CC(=C(C=C1NN=C2C=CC(=O)C(=C2)C(=O)O)C(=O)[O-])[O-].[Na+].[Na+]</t>
  </si>
  <si>
    <t>disodium;5-[2-(3-carboxy-4-oxocyclohexa-2,5-dien-1-ylidene)hydrazinyl]-2-oxidobenzoate</t>
  </si>
  <si>
    <t>Olsalazine·Na</t>
  </si>
  <si>
    <t>9-F05</t>
  </si>
  <si>
    <t xml:space="preserve"> 6054-98-4</t>
  </si>
  <si>
    <t>Anti-inflammatory used in the treatment of Inflammatory Bowel Disease and Ulcerative Colitis</t>
  </si>
  <si>
    <t>Olsalazine is converted to mesalamine which is thought to be the therapeutically active agent in the treatment of ulcerative colitis. The mechanism of action of mesalamine (and sulfasalazine) is unknown, but appears to be topical rather than systemic. Mucosal production of arachidonic acid (AA) metabolites, both through the cyclooxygenase pathways, i.e., prostanoids, and through the lipoxygenase pathways, i.e., leukotrienes (LTs) and hydroxyelcosatetraenoic acids (HETEs) is increased in patients with chronic inflammatory bowel disease, and it is possible that mesalamine diminishes inflammation by blocking cyclooxygenase and inhibiting prostaglandin (PG) production in the colon.</t>
  </si>
  <si>
    <t>During clinical trials, olsalazine was discontinued due to side effects in 10.4% of patients compared to 6.7% of patients receiving placebo. The side effects leading to treatment withdrawal included diarrhea/loose stools (5.9%), abdominal pain (1.1%), and rash/itching (1.1%). Side effects leading to olsalazine withdrawal in less than 1% of patients included nausea, headache, heartburn, rectal bleeding, insomnia, dizziness, anorexia, lightheadedness, and depression.</t>
  </si>
  <si>
    <t>CCCCCCCCCCC[C@@H](C[C@H]1[C@@H](C(=O)O1)CCCCCC)OC(=O)[C@H](CC(C)C)NC=O</t>
  </si>
  <si>
    <t>[(2S)-1-[(2S,3S)-3-hexyl-4-oxooxetan-2-yl]tridecan-2-yl] (2S)-2-formamido-4-methylpentanoate</t>
  </si>
  <si>
    <t>9-F06</t>
  </si>
  <si>
    <t>96829-58-2</t>
  </si>
  <si>
    <t>Anti-Obesity Agent</t>
  </si>
  <si>
    <t xml:space="preserve">Cell permeable, irreversible inhibitor of gastric and pancreatic lipases. Shows only minimal activity against amylase, trypsin, chymotrypsin, or phospholipase A2 (PLA2). Partially inhibits the hydrolysis of triglycerides and lowers the absorption of dietary fat and promotes weight loss. Exhibits antitumor activity by inhibition of the thioesterase domain of fatty acid synthase (FAS) both in vitro and in vivo. 
</t>
  </si>
  <si>
    <t>Orlistat is notorious for its gastrointestinal side effects (sometimes referred to as treatment effects), which can include steatorrhea (oily, loose stools). These decrease with time, however, and are the most frequently reported adverse effects of the drug.</t>
  </si>
  <si>
    <t>C1=CC=C(C=C1)C2=C(OC(=N2)CCC(=O)O)C3=CC=CC=C3</t>
  </si>
  <si>
    <t>3-(4,5-diphenyl-1,3-oxazol-2-yl)propanoic acid</t>
  </si>
  <si>
    <t>Oxaprozin</t>
  </si>
  <si>
    <t>9-F07</t>
  </si>
  <si>
    <t>21256-18-8</t>
  </si>
  <si>
    <t xml:space="preserve">Inhibits cylooxygenase in platelets which leads to the blockage of prostaglandin synthesis. Antipyretic effects may be due to action on the hypothalamus, resulting in an increased peripheral blood flow, vasodilation, and subsequent heat dissipation. Oxaprozin is a non-selective NSAID, with a cell assay system showing lower COX-2 selectivity implying higher COX-1 selectivity. </t>
  </si>
  <si>
    <t>It may cause an increased risk of serious and sometimes fatal heart and blood vessel problems (eg, heart attack, stroke). May cause an increased risk of serious and sometimes fatal stomach ulcers and bleeding. Elderly patients may be at greater risk.</t>
  </si>
  <si>
    <t>9-F08</t>
  </si>
  <si>
    <t>CN1C(=C2C(=NC=N2)N(C1=O)C)[O-].C[N+](C)(C)CCO</t>
  </si>
  <si>
    <t>1,3-dimethyl-2-oxopurin-6-olate;2-hydroxyethyl(trimethyl)azanium</t>
  </si>
  <si>
    <t>Oxtriphylline</t>
  </si>
  <si>
    <t>9-F09</t>
  </si>
  <si>
    <t>4499-40-5</t>
  </si>
  <si>
    <t xml:space="preserve"> Expectorant, Bronchodilator</t>
  </si>
  <si>
    <t>Oxtriphylline competitively inhibits type III and type IV phosphodiesterase (PDE), the enzyme responsible for breaking down cyclic AMP in smooth muscle cells, possibly resulting in bronchodilation. Oxtriphylline also binds to the adenosine A2B receptor and blocks adenosine mediated bronchoconstriction.</t>
  </si>
  <si>
    <t>Symptoms of toxicity include abdominal pain (continuing or severe), confusion or change in behavior, convulsions (seizures), dark or bloody vomit, diarrhea, dizziness or lightheadedness, fast and/or irregular heartbeat, nervousness or restlessness (continuing), and trembling (continuing).</t>
  </si>
  <si>
    <t>CCN(CC)CC#CCOC(=O)C(C1CCCCC1)(C2=CC=CC=C2)O.Cl</t>
  </si>
  <si>
    <t>4-(diethylamino)but-2-ynyl 2-cyclohexyl-2-hydroxy-2-phenylacetate;hydrochloride</t>
  </si>
  <si>
    <t>Oxybutynin Chloride</t>
  </si>
  <si>
    <t>9-F10</t>
  </si>
  <si>
    <t>1508-65-2</t>
  </si>
  <si>
    <t>Antispasmodic (relieves urinary and bladder difficulties, including frequent urination and inability to control urination)</t>
  </si>
  <si>
    <t>Inhibits the muscarinic action of acetylcholine on smooth muscle. No blocking effects occur at skeletal neuromuscular junctions or autonomic ganglia (antinicotinic effects). By inhibiting particularily the M1 and M2 receptors of the bladder, detrusor activity is markedly decreased.</t>
  </si>
  <si>
    <t>Common adverse effects associated with oxybutynin and other anticholinergics include: dry mouth, difficulty in urination, constipation, blurred vision, drowsiness and dizziness. Anticholinergics have also been known to induce delirium.</t>
  </si>
  <si>
    <t>C[C@@]1([C@H]2[C@@H]([C@H]3[C@@H](C(=O)C(=C([C@]3(C(=O)C2=C(C4=C1C=CC=C4O)O)O)O)C(=O)N)N(C)C)O)O.Cl</t>
  </si>
  <si>
    <t>(4S,4aR,5S,5aR,6S,12aR)-4-(dimethylamino)-1,5,6,10,11,12a-hexahydroxy-6-methyl-3,12-dioxo-4,4a,5,5a-tetrahydrotetracene-2-carboxamide;hydrochloride</t>
  </si>
  <si>
    <t>Oxytetracycline·HCl</t>
  </si>
  <si>
    <t>9-F11</t>
  </si>
  <si>
    <t>2058-46-0</t>
  </si>
  <si>
    <t>Inhibits cell growth by inhibiting translation. Binds to the 30S ribosomal subunit and prevents the amino-acyl tRNA from binding to the A site of the ribosome.</t>
  </si>
  <si>
    <t>Side effects are mainly gastrointestinal and photosensitive allergic reactions common to the tetracycline antibiotics group.
Can also damage calcium rich organs such as teeth and bones although this is very rare, sometimes causes nasal cavities to erode, quite common, the BNF suggests that because of this Tetracyclines should not be used to treat pregnant or lactating women and children under 12 except in certain conditions where it has been approved by a specialist because there are no obvious substitutes. Candidiasis (Thrush) is not uncommon following treatment with broad spectrum antibiotics.</t>
  </si>
  <si>
    <t>CC1=C(C(=O)N2CCCC(C2=N1)O)CCN3CCC(CC3)C4=NOC5=C4C=CC(=C5)F</t>
  </si>
  <si>
    <t>3-[2-[4-(6-fluoro-1,2-benzoxazol-3-yl)piperidin-1-yl]ethyl]-9-hydroxy-2-methyl-6,7,8,9-tetrahydropyrido[1,2-a]pyrimidin-4-one</t>
  </si>
  <si>
    <t>Paliperidone</t>
  </si>
  <si>
    <t>9-G02</t>
  </si>
  <si>
    <t>144598-75-4</t>
  </si>
  <si>
    <t>Atypical Antipsychotic/schizophrenia Treatment</t>
  </si>
  <si>
    <t>D2, 5-HT2A, H1,  α1 and α2  Receptor Antagonist. Risk of serious arrhythmias.</t>
  </si>
  <si>
    <t>The most common side effects of paliperidone are restlessness and extrapyramidal disorder, including involuntary movements, tremors and muscle stiffness. 
Neuroleptic malignant syndrome is a rare, but potentially lethal reaction to the medication. Heart rhythm changes—potentially serious—may make paliperidone risky for people with some heart conditions.</t>
  </si>
  <si>
    <t>C1C[C@@H]2CN(C(=O)C3=C2C(=CC=C3)C1)[C@@H]4CN5CCC4CC5.Cl</t>
  </si>
  <si>
    <t>(3aS)-2-[(3S)-1-azabicyclo[2.2.2]octan-3-yl]-3a,4,5,6-tetrahydro-3H-benzo[de]isoquinolin-1-one;hydrochloride</t>
  </si>
  <si>
    <t>Palonosetron·HCl</t>
  </si>
  <si>
    <t>9-G03</t>
  </si>
  <si>
    <t>135729-62-3</t>
  </si>
  <si>
    <t>Antiemetics</t>
  </si>
  <si>
    <t>Selective serotonin 5-HT3 receptor antagonist.</t>
  </si>
  <si>
    <t>There are few side effects related to the use of the drug; the most common are constipation or diarrhea, headache, and dizziness. Unlike antihistamines with antiemetic properties such as cyclizine, 5-HT3 antagonists do not produce sedation, nor do they cause extrapyramidal effects, as phenothiazines (such as prochlorperazine) sometimes do.
All 5-HT3 antagonists have been associated with asymptomatic electrocardiogram changes, such as prolongation of the PT and QTc intervals and certain arrhythmias. The clinical significance of these side effects is unknown.</t>
  </si>
  <si>
    <t>C1[C@H]([C@@H]([C@H]([C@@H]([C@H]1N)O[C@@H]2[C@@H]([C@H]([C@@H]([C@H](O2)CO)O)O)N)O[C@H]3[C@@H]([C@@H]([C@H](O3)CO)O[C@@H]4[C@@H]([C@H]([C@@H]([C@@H](O4)CN)O)O)N)O)O)N.OS(=O)(=O)O</t>
  </si>
  <si>
    <t>(2S,3S,4R,5R,6R)-5-amino-2-(aminomethyl)-6-[(2R,3S,4R,5S)-5-[(1R,2R,3S,5R,6S)-3,5-diamino-2-[(2S,3R,4R,5S,6R)-3-amino-4,5-dihydroxy-6-(hydroxymethyl)oxan-2-yl]oxy-6-hydroxycyclohexyl]oxy-4-hydroxy-2-(hydroxymethyl)oxolan-3-yl]oxyoxane-3,4-diol;sulfuric acid</t>
  </si>
  <si>
    <t>Paromomycin Sulfate</t>
  </si>
  <si>
    <t>9-G04</t>
  </si>
  <si>
    <t>1263-89-4</t>
  </si>
  <si>
    <t>Antibiotic; also visceral leishmaniasis treatment</t>
  </si>
  <si>
    <t>Inhibits protein synthesis by binding to 16S ribosomal RNA.</t>
  </si>
  <si>
    <t xml:space="preserve">Gastrointestinal side effects of paromomycin have commonly included nausea, vomiting, diarrhea, and abdominal discomfort. Nervous system side effects have rarely included ototoxicity and sensorineural damage, usually in patients who also had hepatic disease. Rarely, patients may also experience headache or vertigo. </t>
  </si>
  <si>
    <t>CC1=C(C=C(C=C1)NC2=NC=CC(=N2)N(C)C3=CC4=NN(C(=C4C=C3)C)C)S(=O)(=O)N.Cl</t>
  </si>
  <si>
    <t>5-[[4-[(2,3-dimethylindazol-6-yl)-methylamino]pyrimidin-2-yl]amino]-2-methylbenzenesulfonamide;hydrochloride</t>
  </si>
  <si>
    <t>Pazopanib·HCl</t>
  </si>
  <si>
    <t>9-G05</t>
  </si>
  <si>
    <t> 635702-64-6</t>
  </si>
  <si>
    <t>Potent and selective multi-targeted receptor tyrosine kinase inhibitor of VEGFR-1, VEGFR-2, VEGFR-3, PDGFR-a/β, and c-kit that blocks tumor growth and inhibits angiogenesis.</t>
  </si>
  <si>
    <t>Hepatic side effects including increased ALT (53%), increased AST (53%), and increased total bilirubin (36%) have been reported. Gastrointestinal side effects including diarrhea (52%), nausea (26%), anorexia (22%), vomiting (21%), abdominal pain (11%), and pancreatitis (less than 1%) have been reported. Cardiovascular side effects include hypertension (40%), myocardial infarction/ischemia (2%), QT prolongation (1%), torsades de pointes (less than 1%) and cardiac dysfunction.  General side effects including fatigue (19%) and asthenia (14%) were observed. Hematologic side effects include leucopenia (37%), neutropenia (34%), thrombocytopenia (32%) and lymphocytopenia (31%). General side effects including fatigue (19%) and asthenia (14%) have also been reported.</t>
  </si>
  <si>
    <t>C1=CC(=CC=C1CCC2=CNC3=C2C(=O)N=C(N3)N)C(=O)N[C@@H](CCC(=O)[O-])C(=O)[O-].[Na+].[Na+]</t>
  </si>
  <si>
    <t>disodium;(2S)-2-[[4-[2-(2-amino-4-oxo-1,7-dihydropyrrolo[2,3-d]pyrimidin-5-yl)ethyl]benzoyl]amino]pentanedioate</t>
  </si>
  <si>
    <t>Pemetrexed Disodium</t>
  </si>
  <si>
    <t>9-G06</t>
  </si>
  <si>
    <t>150399-23-8</t>
  </si>
  <si>
    <t xml:space="preserve"> Folate antimetabolite. It works by inhibiting three enzymes used in purine and pyrimidine synthesis—thymidylate synthase (TS), dihydrofolate reductase (DHFR), and glycinamide ribonucleotide formyltransferase (GARFT). By inhibiting the formation of precursor purine and pyrimidine nucleotides, pemetrexed prevents the formation of DNA and RNA, which are required for the growth and survival of both normal cells and cancer cells.
</t>
  </si>
  <si>
    <t>The drug has been associated with low blood cell counts, mental fatigue and sleepiness, 
nausea and vomiting, diarrhea, oral mucositis (mouth, throat, or lip sores), loss of appetite, skin rash, constipation.</t>
  </si>
  <si>
    <t>CC1=CC=CN2C1=NC=C(C2=O)C3=NN=N[N-]3.[K+]</t>
  </si>
  <si>
    <t>potassium;9-methyl-3-(1,2,3-triaza-4-azanidacyclopenta-2,5-dien-5-yl)pyrido[1,2-a]pyrimidin-4-one</t>
  </si>
  <si>
    <t>Pemirolast Potassium</t>
  </si>
  <si>
    <t>9-G07</t>
  </si>
  <si>
    <t>100299-08-9</t>
  </si>
  <si>
    <t>Pemirolast binds to the histamine H1 receptor. This blocks the action of endogenous histamine, which subsequently leads to temporary relief of the negative symptoms brought on by histamine. Pemirolast has also been observed to inhibit antigen-stimulated calcium ion influx into mast cells through the blockage of calcium channels. Pemirolast inhibits the chemotaxis of eosinophils into ocular tissue, and prevents inflammatory mediator release from human eosinophils.</t>
  </si>
  <si>
    <t>Respiratory side effects include rhinitis and cold or flu symptoms in 10% to 25% of patients. Less common side effects that have occurred in less than 5% of patients have included bronchitis, cough, sinusitis, sneezing, and nasal congestion.
Nervous system side effects include headache (10% to 25% of patients).
Ocular side effects have included burning, dry eye, foreign body sensation, and ocular discomfort in less than 5% of patients.</t>
  </si>
  <si>
    <t>CC(C)([C@H](C(=O)O)N)S</t>
  </si>
  <si>
    <t>(2S)-2-amino-3-methyl-3-sulfanylbutanoic acid</t>
  </si>
  <si>
    <t>Penicillamine (D-Penicillamine)</t>
  </si>
  <si>
    <t>9-G08</t>
  </si>
  <si>
    <t>52-67-5</t>
  </si>
  <si>
    <t xml:space="preserve"> Immunosuppressant, chelator</t>
  </si>
  <si>
    <t xml:space="preserve">Chelating agent recommended for the removal of excess copper in patients with Wilson's disease. </t>
  </si>
  <si>
    <t>Adverse effects include: Membranous glomerulonephritis, Aplastic anemia, Antibody-mediated myasthenic syndrome, which may persist even after its withdrawal, Drug-induced systemic lupus erythematosus, Elastosis perforans serpiginosa, Toxic myopathies.</t>
  </si>
  <si>
    <t>CC1([C@@H](N2[C@H](S1)[C@@H](C2=O)NC(=O)CC3=CC=CC=C3)C(=O)[O-])C.[K+]</t>
  </si>
  <si>
    <t>potassium;(2S,5R,6R)-3,3-dimethyl-7-oxo-6-[(2-phenylacetyl)amino]-4-thia-1-azabicyclo[3.2.0]heptane-2-carboxylate</t>
  </si>
  <si>
    <t>9-G09</t>
  </si>
  <si>
    <t>113-98-4</t>
  </si>
  <si>
    <t xml:space="preserve">β-Lactamase inhibitor. </t>
  </si>
  <si>
    <t>Hematopoietic toxicity. Risk of haemolytic anaemia, leucopenia, thrombocytopenia.</t>
  </si>
  <si>
    <t>C1=CC(=CC=C1C(=N)N)OCCCCCOC2=CC=C(C=C2)C(=N)N.C(CS(=O)(=O)O)O.C(CS(=O)(=O)O)O</t>
  </si>
  <si>
    <t>4-[5-(4-carbamimidoylphenoxy)pentoxy]benzenecarboximidamide;2-hydroxyethanesulfonic acid</t>
  </si>
  <si>
    <t>Pentamidine Isethionate</t>
  </si>
  <si>
    <t>9-G10</t>
  </si>
  <si>
    <t>140-64-7</t>
  </si>
  <si>
    <t xml:space="preserve">Trypanocidal, Antiprotozoal, Antifungal </t>
  </si>
  <si>
    <t xml:space="preserve">Brain NOS Inhibitor, NMDA glutamate receptor antagonist. </t>
  </si>
  <si>
    <t xml:space="preserve">Pentamidine can cause allergic and toxic side effects, most commonly having effects on the pancreas. 
Kidney: 25 percent develop signs of nephrotoxicity ranging from mild, asymptomatic azotemia (increased serum creatinine and urea) to irreversible renal failure. 
Cardiovascular: Hypotension, which may be severe, severe or fatal arrhythmias and heart failure are quite frequent. Risk of causing torsades de pointes.
Pancreas: Hypoglycemia that requires symptomatic treatment is frequently seen. 
 Skin: Severe local reactions after extravasculation of intravenous solutions or following intramuscular injection treatment have been seen.  
Blood: Pentamidine frequently causes leukopenia and less often thrombopenia, which may cause symptomatic bleeding. Some cases of anemia, possibly related to folic acid deficiency, have been described. </t>
  </si>
  <si>
    <t>C1[C@@H]([C@H](O[C@@H]1N2C=NC3=C2NC=NC[C@H]3O)CO)O</t>
  </si>
  <si>
    <t>(8R)-3-[(2S,4S,5R)-4-hydroxy-5-(hydroxymethyl)oxolan-2-yl]-7,8-dihydro-4H-imidazo[4,5-d][1,3]diazepin-8-ol</t>
  </si>
  <si>
    <t>Pentostatin</t>
  </si>
  <si>
    <t>9-G11</t>
  </si>
  <si>
    <t>53910-25-1</t>
  </si>
  <si>
    <t xml:space="preserve">Adenosine deaminase inhibitor. </t>
  </si>
  <si>
    <t xml:space="preserve">Hematopoietic toxicity. Causes myelosuppression with leukopenia, anemia and thrombocytopenia being the most common effects. </t>
  </si>
  <si>
    <t>CCC[C@@H](C(=O)OCC)N[C@@H](C)C(=O)N1[C@H]2CCCC[C@H]2C[C@H]1C(=O)O.CC(C)(C)N</t>
  </si>
  <si>
    <t>(2S,3aS,7aS)-1-[(2S)-2-[[(2S)-1-ethoxy-1-oxopentan-2-yl]amino]propanoyl]-2,3,3a,4,5,6,7,7a-octahydroindole-2-carboxylic acid;2-methylpropan-2-amine</t>
  </si>
  <si>
    <t>Perindopril Erbumine</t>
  </si>
  <si>
    <t>9-H02</t>
  </si>
  <si>
    <t>107133-36-8</t>
  </si>
  <si>
    <t xml:space="preserve"> Long-acting ACE inhibitor.</t>
  </si>
  <si>
    <t xml:space="preserve">The most likely symptom of overdose is severe hypotension. The most common adverse effects observed in controlled clinical trials include cough, digestive symptoms, fatigue, headache, and dizziness. </t>
  </si>
  <si>
    <t>CC1(C(C1C(=O)OCC2=CC(=CC=C2)OC3=CC=CC=C3)C=C(Cl)Cl)C</t>
  </si>
  <si>
    <t>(3-phenoxyphenyl)methyl 3-(2,2-dichloroethenyl)-2,2-dimethylcyclopropane-1-carboxylate</t>
  </si>
  <si>
    <t>Permethrin</t>
  </si>
  <si>
    <t>9-H03</t>
  </si>
  <si>
    <t>52645-53-1</t>
  </si>
  <si>
    <t>Insecticide, Anti-scabies treatment</t>
  </si>
  <si>
    <t>Pyrethroid insecticide commonly used in the treatment of lice infestations and scabies. Acts on the nerve cell membrane to disrupt the sodium channel current by which the polarization of the membrane is regulated. Delayed repolarization and paralysis of the pests are the consequences of this disturbance.</t>
  </si>
  <si>
    <t xml:space="preserve">Permethrin acts as a neurotoxin, slowing down the nervous system through binding to sodium channels. This action is negatively correlated to temperature, thus, in general, showing more acute effects on cold-blooded animals (insects, fish, frogs...) over warm-blooded animals (mammals and birds).
Permethrin is extremely toxic to fish and aquatic life in general. 
Permethrin is also highly toxic to cats, and flea and tick-repellent formulas intended and labeled for (the more resistant) dogs may contain permethrin and cause feline permethrin toxicosis in cats.
Very high doses will have tangible neurotoxic effects on mammals and birds, including human beings. 
Permethrin is listed as a "restricted use" substance by the United States Environmental Protection Agency due to its high toxicity to aquatic organisms.
</t>
  </si>
  <si>
    <t>C1CN(CCN1CCCN2C3=CC=CC=C3SC4=C2C=C(C=C4)Cl)CCO</t>
  </si>
  <si>
    <t>2-[4-[3-(2-chlorophenothiazin-10-yl)propyl]piperazin-1-yl]ethanol</t>
  </si>
  <si>
    <t>Perphenazine</t>
  </si>
  <si>
    <t>9-H04</t>
  </si>
  <si>
    <t>58-39-9</t>
  </si>
  <si>
    <t xml:space="preserve">Binds to the dopamine D1 and dopamine D2 receptors and inhibits their activity. The mechanism of the anti-emetic effect is due predominantly to blockage of the dopamine D2 neurotransmitter receptors in the chemoreceptor trigger zone and vomiting centre. Perphenazine also binds the alpha andrenergic receptor. </t>
  </si>
  <si>
    <t>As a member of the phenothiazine type of antipsychotics, perphenazine shares in general all allergic and toxic side-effects of chlorpromazine.  Perphenazine causes early and late extrapyramidal side effects more often than placebo, and at a similar rate to other medium-potency antipsychotics and the atypical antipsychotic risperidone.
When used for its strong antiemetic or antivertignosic effects in cases with associated brain injuries, it may obscure the clinical course and interferes with the diagnosis. High doses of perphenazine can cause temporary dyskinesia. As with other typical antipsychotics, permanent or lasting tardive dyskinesia is a risk.</t>
  </si>
  <si>
    <t>C1=CC=C(C=C1)CCNN.OS(=O)(=O)O</t>
  </si>
  <si>
    <t>2-phenylethylhydrazine;sulfuric acid</t>
  </si>
  <si>
    <t>Phenelzine Sulfate</t>
  </si>
  <si>
    <t>9-H05</t>
  </si>
  <si>
    <t>156-51-4</t>
  </si>
  <si>
    <t>Antidepressant, anxiolytic</t>
  </si>
  <si>
    <t xml:space="preserve">Non-selective and irreversible monoamine oxidase inhibitor (MAOI). </t>
  </si>
  <si>
    <t>Common side effects of phenelzine may include dizziness, blurry vision, dry mouth, headache, lethargy, sedation, somnolence, insomnia, anorexia, weight gain or loss, nausea and vomiting, diarrhea, constipation, urinary retention, mydriasis, muscle tremors, hyperthermia, sweating, hypertension or hypotension, orthostatic hypotension, paresthesia, hepatitis, and sexual dysfunction (consisting of loss of libido and anorgasmia). Rare side effects usually only seen in susceptible individuals may include hypomania or mania, psychosis, and acute liver failure, the latter of which is usually only seen in people with pre-existing liver damage, old age, alcohol consumption, or viral infection.</t>
  </si>
  <si>
    <t>CNC[C@@H](C1=CC(=CC=C1)O)O</t>
  </si>
  <si>
    <t>3-[(1R)-1-hydroxy-2-(methylamino)ethyl]phenol</t>
  </si>
  <si>
    <t xml:space="preserve">Phenylephrine </t>
  </si>
  <si>
    <t>9-H06</t>
  </si>
  <si>
    <t>59-42-7</t>
  </si>
  <si>
    <t xml:space="preserve"> Decongestant</t>
  </si>
  <si>
    <t>Selective α1-adrenergic receptor agonist.</t>
  </si>
  <si>
    <t>The primary side effect of phenylephrine is hypertension. Prostatic hyperplasia can also be symptomatically worsened by use, and chronic use can lead to rebound hyperemia. Patients with a history of epilepsy and on anticonvulsant medication should not take this substance. The drug interaction might produce seizures. Some patients have been shown to have an upset stomach, severe abdominal cramping, and vomiting issues connected to taking this drug.
Extended use may cause rhinitis medicamentosa, a condition of rebound nasal congestion.</t>
  </si>
  <si>
    <t>CC1=C(C(=O)C2=CC=CC=C2C1=O)C/C=C(\C)/CCC[C@H](C)CCC[C@H](C)CCCC(C)C</t>
  </si>
  <si>
    <t>2-methyl-3-[(E,7R,11R)-3,7,11,15-tetramethylhexadec-2-enyl]naphthalene-1,4-dione</t>
  </si>
  <si>
    <t>Phytonadione</t>
  </si>
  <si>
    <t>9-H07</t>
  </si>
  <si>
    <t>84-80-0</t>
  </si>
  <si>
    <t>Antifibrinolytic, Vitamin (Vitamin K1)</t>
  </si>
  <si>
    <t xml:space="preserve">Essential cofactor for the gamma-carboxylase enzymes which catalyze the posttranslational gamma-carboxylation of glutamic acid residues in inactive hepatic precursors of coagulation factors II (prothrombin), VII, IX and X. </t>
  </si>
  <si>
    <t>For the treatment of haemorrhagic conditions in infants, antidote for coumarin anticoagulants in hypoprothrombinaemia.</t>
  </si>
  <si>
    <t>CC[C@H]1/C=C(/C[C@H](C[C@@H]([C@@H]2[C@H](C[C@H]([C@@](O2)(C(=O)C(=O)N3CCCCC3C(=O)O[C@@H]([C@@H]([C@H](CC1=O)O)C)/C(=C/[C@@H]4CC[C@@H]([C@@H](C4)OC)Cl)/C)O)C)OC)OC)C)\C</t>
  </si>
  <si>
    <t>(1R,9S,12S,13R,14S,17R,18Z,21S,23S,24R,25S,27R)-12-[(1E)-1-[(1R,3R,4S)-4-chloro-3-methoxycyclohexyl]prop-1-en-2-yl]-17-ethyl-24-hydrogenio-1,14-dihydroxy-23,25-dimethoxy-13,19,21,27-tetramethyl-11,28-dioxa-4-azatricyclo[22.3.1.0⁴,⁹]octacos-18-ene-2,3,10,16-tetrone</t>
  </si>
  <si>
    <t>Pimecrolimus</t>
  </si>
  <si>
    <t>9-H08</t>
  </si>
  <si>
    <t>137071-32-0</t>
  </si>
  <si>
    <t>Immunosuppressant, Immunomodulator</t>
  </si>
  <si>
    <t>Binds with high affinity to macrophilin-12 (FKBP-12) and inhibits the calcium-dependent phosphatase, calcineurin. As a consequence, it inhibits T cell activation by blocking the transcription of early cytokines.</t>
  </si>
  <si>
    <t xml:space="preserve"> Black box warning regarding the potential increased risk of lymph node or skin malignancy, as for the similar drug tacrolimus.</t>
  </si>
  <si>
    <t>C1C(C1)C2=NC3=CC=CC=C3C(=C2/C=C/[C@@H](O)C[C@@H](O)CC(=O)[O-])C4=CC=C(C=C4)F.C1C(C1)C2=NC3=CC=CC=C3C(=C2/C=C/[C@@H](O)C[C@@H](O)CC(=O)[O-])C4=CC=C(C=C4)F.[Ca+2]</t>
  </si>
  <si>
    <t>calcium;(E,3R,5S)-7-[2-cyclopropyl-4-(4-fluorophenyl)quinolin-3-yl]-3,5-dihydroxyhept-6-enoate</t>
  </si>
  <si>
    <t>Pitavastatin Calcium</t>
  </si>
  <si>
    <t>9-H09</t>
  </si>
  <si>
    <t>147526-32-7</t>
  </si>
  <si>
    <t>Cholesterol reducing agent</t>
  </si>
  <si>
    <t>Statin. HMG-CoA reductase inhibitor.</t>
  </si>
  <si>
    <t>Common statin-related side-effects (headaches, stomach upset, abnormal liver function tests and muscle cramps) were similar to other statins. However, pitavastatin seems to lead to less muscle side effects than other statins, since coenzyme Q10 is not significantly reduced.</t>
  </si>
  <si>
    <t>9-H10</t>
  </si>
  <si>
    <t>COC1=CC(=CC(=C1OC)OC)[C@H]2[C@@H]3[C@H](COC3=O)[C@H](C4=CC5=C(C=C24)OCO5)O</t>
  </si>
  <si>
    <t>(5R,5aR,8aR,9R)-5-hydroxy-9-(3,4,5-trimethoxyphenyl)-5a,6,8a,9-tetrahydro-5H-[2]benzofuro[5,6-f][1,3]benzodioxol-8-one</t>
  </si>
  <si>
    <t>9-H11</t>
  </si>
  <si>
    <t>518-28-5</t>
  </si>
  <si>
    <t xml:space="preserve">Potent inhibitor of microtubule assembly. Antineoplastic glucoside. Antitumor agent. DNA topoisomerase II inhibitor. 
</t>
  </si>
  <si>
    <t>Gastrointestinal side effects include vomiting. Local side effects: burning, pain, inflammation, erosion, itching, and bleeding. Reports of burning and pain were greater and more severe in women than in men. 
Genitourinary side effects include pain with intercourse, foreskin irretraction, and hematuria. Nervous system side effects: headache, insomnia, and dizziness.</t>
  </si>
  <si>
    <t>CC[C@@H]([C@H](C)O)N1C(=O)N(C=N1)C2=CC=C(C=C2)N3CCN(CC3)C4=CC=C(C=C4)OC[C@H]5C[C@](OC5)(CN6C=NC=N6)C7=C(C=C(C=C7)F)F</t>
  </si>
  <si>
    <t>4-[4-[4-[4-[[(3R,5R)-5-(2,4-difluorophenyl)-5-(1,2,4-triazol-1-ylmethyl)oxolan-3-yl]methoxy]phenyl]piperazin-1-yl]phenyl]-2-[(2S,3S)-2-hydroxypentan-3-yl]-1,2,4-triazol-3-one</t>
  </si>
  <si>
    <t>Posaconazole</t>
  </si>
  <si>
    <t>10-A02</t>
  </si>
  <si>
    <t>171228-49-2</t>
  </si>
  <si>
    <t>Inhibits cytochrome P-450 dependent sterol 14α-demethylase by binding to the heme cofactor located on the enzyme. This leads to the inhibition of the synthesis of ergosterol, a key component of the fungal cell membrane, and accumulation of methylated sterol precursors. This results in inhibition of fungal cell growth and ultimately, cell death.</t>
  </si>
  <si>
    <t xml:space="preserve">No related adverse events were noted. </t>
  </si>
  <si>
    <t>CN\1C=CC=C/C1=C\[NH+]=O.[Cl-]</t>
  </si>
  <si>
    <t>[(E)-(1-methylpyridin-2-ylidene)methyl]-oxoazanium;chloride</t>
  </si>
  <si>
    <t>Pralidoxime Chloride</t>
  </si>
  <si>
    <t>10-A03</t>
  </si>
  <si>
    <t>51-15-0</t>
  </si>
  <si>
    <t>Antidote to organophosphate pesticides</t>
  </si>
  <si>
    <t>Reactivates the acetylcholinesterase by cleaving the phosphate-ester bond formed between the organophosphate and acetylcholinesterase.</t>
  </si>
  <si>
    <t>Pralidoxime has been well tolerated in most cases; however, it should be considered that the desperate condition of the organophosphate-poisoned patient generally masks the minor signs and symptoms noted in normal subjects who have not been exposed to anticholinesterase poisons. Many of the signs and symptoms of organophosphate poisoning are similar to the side effects of pralidoxime. It may be difficult to ascertain which effects are due to the drug and which are toxic symptoms produced by atropine or the organophosphate compounds.</t>
  </si>
  <si>
    <t>CC(=O)OC1=CC2=C(S1)CCN(C2)C(C3=CC=CC=C3F)C(=O)C4CC4</t>
  </si>
  <si>
    <t>[5-[2-cyclopropyl-1-(2-fluorophenyl)-2-oxoethyl]-6,7-dihydro-4H-thieno[3,2-c]pyridin-2-yl] acetate</t>
  </si>
  <si>
    <t>Prasugrel</t>
  </si>
  <si>
    <t>10-A04</t>
  </si>
  <si>
    <t>150322-43-3</t>
  </si>
  <si>
    <t xml:space="preserve">Antithrombotic </t>
  </si>
  <si>
    <t xml:space="preserve">Inhibits ADP receptors by irreversibly acting on the P2Y12 receptor on platelets. The active metabolite of prasugrel prevents binding of adenosine diphosphate (ADP) to its platelet receptor, impairing the ADP-mediated activation of the glycoprotein GPIIb/IIIa complex. </t>
  </si>
  <si>
    <t>Adverse Effects: Cardiovascular (Hypertension (8%), hypotension (4%), atrial fibrillation (3%), bradycardia (3%), noncardiac chest pain (3%), peripheral edema (3%); CNS (Headache (6%), dizziness (4%), fatigue (4%), fever (3%), extremity pain (3%); Dermatologic (Rash (3%); Endocrine &amp; metabolic (Hypercholesterolemia/hyperlipidemia (7%); Gastrointestinal (Nausea (5%), diarrhea (2%), gastrointestinal hemorrhage (2%); Hematologic (Leukopenia (3%), anemia (2%); Neuromuscular &amp; skeletal (Back pain (5%); Respiratory (Epistaxis (6%), dyspnea (5%), cough (4%).</t>
  </si>
  <si>
    <t>CC[C@H](C)C(=O)O[C@H]1C[C@@H](C=C2[C@H]1[C@H]([C@H](C=C2)C)CC[C@H](C[C@H](CC(=O)[O-])O)O)O.[Na+]</t>
  </si>
  <si>
    <t>sodium;(3R,5R)-7-[(1S,2S,6S,8S,8aR)-6-hydroxy-2-methyl-8-[(2S)-2-methylbutanoyl]oxy-1,2,6,7,8,8a-hexahydronaphthalen-1-yl]-3,5-dihydroxyheptanoate</t>
  </si>
  <si>
    <t>10-A05</t>
  </si>
  <si>
    <t>81131-70-6</t>
  </si>
  <si>
    <t>Statin/Inhibitor of 3-hydroxy-3methylglutaryl-coenzyme A reductase (HMG-CoA reductase).</t>
  </si>
  <si>
    <t>10-A06</t>
  </si>
  <si>
    <t>CCCNC(C)C(=O)NC1=CC=CC=C1C.Cl</t>
  </si>
  <si>
    <t>N-(2-methylphenyl)-2-(propylamino)propanamide;hydrochloride</t>
  </si>
  <si>
    <t>Prilocaine·HCl</t>
  </si>
  <si>
    <t>10-A07</t>
  </si>
  <si>
    <t>1786-81-8</t>
  </si>
  <si>
    <t>Local Anesthetic</t>
  </si>
  <si>
    <t xml:space="preserve">Acts on sodium channels on the neuronal cell membrane, limiting the spread of seizure activity and reducing seizure propagation. </t>
  </si>
  <si>
    <t>As it has low cardiac toxicity, it is commoly used for intravenous regional anaesthesia (IVRA).
In some patients, a metabolite of prilocaine may cause the unusual side effect of methaemoglobinaemia, which may be treated with methylene blue.</t>
  </si>
  <si>
    <t>CCC1(C(=O)NCNC1=O)C2=CC=CC=C2</t>
  </si>
  <si>
    <t>5-ethyl-5-phenyl-1,3-diazinane-4,6-dione</t>
  </si>
  <si>
    <t>Primidone</t>
  </si>
  <si>
    <t>10-A08</t>
  </si>
  <si>
    <t>125-33-7</t>
  </si>
  <si>
    <t>GABA receptor agonist.</t>
  </si>
  <si>
    <t>Primidone can cause drowsiness, listlessness, ataxia, visual disturbances, nystagmus, headache, and dizziness. These side effects are the most common, occurring in more than 1% of users. Transient nausea and vomiting are also common side effects.</t>
  </si>
  <si>
    <t>CCCN(CCC)S(=O)(=O)C1=CC=C(C=C1)C(=O)O</t>
  </si>
  <si>
    <t>4-(dipropylsulfamoyl)benzoic acid</t>
  </si>
  <si>
    <t>Probenecid</t>
  </si>
  <si>
    <t>10-A09</t>
  </si>
  <si>
    <t>57-66-9</t>
  </si>
  <si>
    <t>Uricosuric agent</t>
  </si>
  <si>
    <t xml:space="preserve">Inhibitor of several ABC-transporters of the subfamily ABCC or MRP (multidrug resistant associated protein). 
</t>
  </si>
  <si>
    <t xml:space="preserve">Used as an adjunct to antibacterial therapy. </t>
  </si>
  <si>
    <t>10-A10</t>
  </si>
  <si>
    <t>CCCOC1=C(C=C(C=C1)C(=O)OCCN(CC)CC)N.Cl</t>
  </si>
  <si>
    <t>2-(diethylamino)ethyl 3-amino-4-propoxybenzoate;hydrochloride</t>
  </si>
  <si>
    <t>Proparacaine·HCl</t>
  </si>
  <si>
    <t>10-A11</t>
  </si>
  <si>
    <t>Topical anesthetic</t>
  </si>
  <si>
    <t>Believed to act as an antagonist on voltage-gated sodium channels to affect the permeability of neuronal membranes</t>
  </si>
  <si>
    <t>Prolonged use of this or any other topical ocular anesthetic may produce permanent corneal opacification with accompanying visual loss.</t>
  </si>
  <si>
    <t>CCCC1=CC(=O)NC(=S)N1</t>
  </si>
  <si>
    <t>6-propyl-2-sulfanylidene-1H-pyrimidin-4-one</t>
  </si>
  <si>
    <t>Propylthiouracil</t>
  </si>
  <si>
    <t>10-B02</t>
  </si>
  <si>
    <t>51-52-5</t>
  </si>
  <si>
    <t>Antithyroid treatment</t>
  </si>
  <si>
    <t>Thyroperoxidase inhibitor.</t>
  </si>
  <si>
    <t xml:space="preserve"> Risk of thrombocytopenia and agranulocytosis.</t>
  </si>
  <si>
    <t>CNCCCC1C2=CC=CC=C2C=CC3=CC=CC=C13.Cl</t>
  </si>
  <si>
    <t>3-(11H-dibenzo[1,2-a:1',2'-e][7]annulen-11-yl)-N-methylpropan-1-amine;hydrochloride</t>
  </si>
  <si>
    <t>Protriptyline·HCl</t>
  </si>
  <si>
    <t>10-B03</t>
  </si>
  <si>
    <t>1225-55-4</t>
  </si>
  <si>
    <t>Acts by decreasing the reuptake of norepinephrine and serotonin (5-HT).</t>
  </si>
  <si>
    <t>The most frequent of these are dry mouth, constipation, urinary retention, increased heart rate, sedation, irritability, dizziness, decreased coordination, anxiety, blood disorders, confusion, decreased libido, dizziness, flushing, headache, impotence, insomnia, low blood pressure, nightmares, rapid or irregular heartbeat, rash, seizures, sensitivity to sunlight, stomach and intestinal problems. Other more complicated side effects include; chest pain or heavy feeling, pain spreading to the arm or shoulder, nausea, sweating, general ill feeling; sudden numbness or weakness, especially on one side of the body; sudden headache, confusion, problems with vision, speech, or balance; hallucinations, or seizure (convulsions); easy bruising or bleeding, unusual weakness; restless muscle movements in your eyes, tongue, jaw, or neck; urinating less than usual or not at all; extreme thirst with headache, nausea, vomiting, and weakness; or feeling light-headed or fainting.</t>
  </si>
  <si>
    <t>C1=CN=C(C=N1)C(=O)N</t>
  </si>
  <si>
    <t>pyrazine-2-carboxamide</t>
  </si>
  <si>
    <t>Pyrazinamide</t>
  </si>
  <si>
    <t>10-B04</t>
  </si>
  <si>
    <t>98-96-4</t>
  </si>
  <si>
    <t>Antituberculosis agent</t>
  </si>
  <si>
    <t xml:space="preserve">Pyrazinoic acid (POA), the active metabolite of pyrazinamide, disrupts membrane energetics and inhibits membrane transport function at acid pH in Mycobacterium tuberculosis. </t>
  </si>
  <si>
    <t>Hepatotoxic</t>
  </si>
  <si>
    <t>C[N+]1=CC=CC(=C1)OC(=O)N(C)C.[Br-]</t>
  </si>
  <si>
    <t>(1-methylpyridin-1-ium-3-yl) N,N-dimethylcarbamate;bromide</t>
  </si>
  <si>
    <t>Pyridostigmine Bromide</t>
  </si>
  <si>
    <t>10-B05</t>
  </si>
  <si>
    <t>101-26-8</t>
  </si>
  <si>
    <t>Cholinesterase Inhibitor, Antimyasthenic</t>
  </si>
  <si>
    <t xml:space="preserve">Inhibits acetylcholinesterase in the synaptic cleft.  </t>
  </si>
  <si>
    <t>Common side effects include Sweating, Diarrhoea, Nausea, Vomiting, Abdominal cramps, 
Increased salivation, Tearin, Increased bronchial secretions, Constricted pupils,  
Facial flushing due to vasodilation and Erectile dysfunction.</t>
  </si>
  <si>
    <t>CCC1=C(C(=NC(=N1)N)N)C2=CC=C(C=C2)Cl</t>
  </si>
  <si>
    <t>5-(4-chlorophenyl)-6-ethylpyrimidine-2,4-diamine</t>
  </si>
  <si>
    <t>Pyrimethamine</t>
  </si>
  <si>
    <t>10-B06</t>
  </si>
  <si>
    <t>58-14-0</t>
  </si>
  <si>
    <t>Antiprotozoal, Antimalarial</t>
  </si>
  <si>
    <t>Dihydrofolate reductase inhibitor</t>
  </si>
  <si>
    <t>Causes hepatic necrosis</t>
  </si>
  <si>
    <t>COC1=CC2=C(C=CN=C2C=C1)C(C3CC4CCN3CC4C=C)O.O.Cl</t>
  </si>
  <si>
    <t>(S)-[(2R,4S,5R)-5-ethenyl-1-azabicyclo[2.2.2]octan-2-yl]-(6-methoxyquinolin-4-yl)methanol;hydrate;hydrochloride</t>
  </si>
  <si>
    <t>10-B07</t>
  </si>
  <si>
    <t>6151-40-2</t>
  </si>
  <si>
    <t xml:space="preserve">Antiarrhythmic  </t>
  </si>
  <si>
    <t>Na+/K+ ATPase Pump Antagonist</t>
  </si>
  <si>
    <t>Risk of thrombocytopenia.</t>
  </si>
  <si>
    <t>CC1=C(C=CN=C1CS(=O)C2=NC3=CC=CC=C3[N-]2)OCCCOC.[Na+]</t>
  </si>
  <si>
    <t>sodium;2-[[4-(3-methoxypropoxy)-3-methylpyridin-2-yl]methylsulfinyl]benzimidazol-1-ide</t>
  </si>
  <si>
    <t>10-B08</t>
  </si>
  <si>
    <t>117976-90-6</t>
  </si>
  <si>
    <t xml:space="preserve">Life-threatening effects are proteinuria, hematuria, pancytopenia, thrombocytopenia, neutropenia, and leukocytosis. Other adverse effects include abdominal swelling, anorexia, irritable colon, esophageal candidiasis, epistaxis, urticaria, alopecia, hypoglycemia, increased hepatic enzymes, weight gain, tinnitus, angina, tachycardia, bradycardia, palpitations, peripheral edema, urinary tract infection, increased creatinine, testicular pain, glycosuria, and fever. Common side effects include headache, dizziness, asthenia, diarrhea, abdominal pain, vomiting, nausea, constipation, flatulence, acid regurgitation, upper respiratory infections, cough, rash, and back pain. </t>
  </si>
  <si>
    <t>CC1=NN=C(O1)C(=O)NC(C)(C)C2=NC(=C(C(=O)N2C)[O-])C(=O)NCC3=CC=C(C=C3)F.[K+]</t>
  </si>
  <si>
    <t>potassium;4-[(4-fluorophenyl)methylcarbamoyl]-1-methyl-2-[2-[(5-methyl-1,3,4-oxadiazole-2-carbonyl)amino]propan-2-yl]-6-oxopyrimidin-5-olate</t>
  </si>
  <si>
    <t>Raltegravir potassium</t>
  </si>
  <si>
    <t>10-B09</t>
  </si>
  <si>
    <t>Human immunodeficiency virus (HIV) integrase inhibitor.</t>
  </si>
  <si>
    <t>CCC(=O)NCC[C@@H]1CCC2=C1C3=C(C=C2)OCC3</t>
  </si>
  <si>
    <t>N-[2-[(8S)-2,6,7,8-tetrahydro-1H-cyclopenta[e][1]benzofuran-8-yl]ethyl]propanamide</t>
  </si>
  <si>
    <t>Ramelteon</t>
  </si>
  <si>
    <t>10-B10</t>
  </si>
  <si>
    <t>196597-26-9</t>
  </si>
  <si>
    <t>Sedative, hypnotic</t>
  </si>
  <si>
    <t>Melatonin receptor agonist with both high affinity for melatonin MT1 and MT2 receptors, and lower selectivity for the MT3 receptor. Melatonin production is concurrent with nocturnal sleep, meaning that an increase in melatonin levels is related to the onset of self-reported sleepiness and an increase in sleep propensity.</t>
  </si>
  <si>
    <t>Side effects include dizziness, somnolence, fatigue, headache, insomnia, depression, nausea, diarrhea, dysgeusia, vomiting, myalgia, arthralgia, decreased blood cortisol, influenza, and upper respiratory infection.</t>
  </si>
  <si>
    <t>CS(=O)(=O)O.C#CCN[C@@H]1CCC2=CC=CC=C12</t>
  </si>
  <si>
    <t>methanesulfonic acid;(1R)-N-prop-2-ynyl-2,3-dihydro-1H-inden-1-amine</t>
  </si>
  <si>
    <t>Rasagiline Mesylate</t>
  </si>
  <si>
    <t>10-B11</t>
  </si>
  <si>
    <t>161735-79-1</t>
  </si>
  <si>
    <t>Antiparkinson Agent</t>
  </si>
  <si>
    <t xml:space="preserve">Irreversible inhibitor of monoamine oxidase </t>
  </si>
  <si>
    <t xml:space="preserve">May cause drowsiness, hallucinations, depression, headache, malaise, paresthesia, vertigo, syncope, angina, orthostatic hypotension, diarrhea, dry mouth, dyspepsia, impotence, decreased libido, conjunctivitis, fever, flu syndrome, neck pain, allergic reaction, alopecia, arthralgia, arthritis, dyskinesia, and rhinitis. A life-threatening side effect is hypertensive crisis (after ingestion of tyramine products). </t>
  </si>
  <si>
    <t>CNC(=O)C1=CN(N=C1)C2=NC3=C(C(=N2)N)N=CN3[C@H]4[C@@H]([C@@H]([C@H](O4)CO)O)O</t>
  </si>
  <si>
    <t>1-[6-amino-9-[(2R,3R,4S,5R)-3,4-dihydroxy-5-(hydroxymethyl)oxolan-2-yl]purin-2-yl]-N-methylpyrazole-4-carboxamide</t>
  </si>
  <si>
    <t>Regadenoson</t>
  </si>
  <si>
    <t>10-C02</t>
  </si>
  <si>
    <t>313348-27-5</t>
  </si>
  <si>
    <t>Diagnostic stress agent</t>
  </si>
  <si>
    <t xml:space="preserve"> A2A adenosine receptor agonist that is a coronary vasodilator.</t>
  </si>
  <si>
    <t>Side effects include dyspnea (28%), headache (26%), dizziness (8%), tachycardia (22%), flushing (16%), premature ventricular contractions (14%), chest discomfort (13%), angina or ST segment depression (12%).</t>
  </si>
  <si>
    <t>CCOC1=C(C=CC(=C1)CC(=O)N[C@@H](CC(C)C)C2=CC=CC=C2N3CCCCC3)C(=O)O</t>
  </si>
  <si>
    <t>2-ethoxy-4-[2-[[(1S)-3-methyl-1-(2-piperidin-1-ylphenyl)butyl]amino]-2-oxoethyl]benzoic acid</t>
  </si>
  <si>
    <t>Repaglinide</t>
  </si>
  <si>
    <t>10-C03</t>
  </si>
  <si>
    <t>135062-02-1</t>
  </si>
  <si>
    <t>Antihyperglycemic</t>
  </si>
  <si>
    <t xml:space="preserve">Stimulates the release of insulin from the pancreas by closing ATP-dependent potassium channels in the membrane of the β- cells. This depolarizes the β-cells, opening the cells' calcium channels, and the resulting calcium influx induces insulin secretion.
</t>
  </si>
  <si>
    <t xml:space="preserve">Hypoglycemia is a life-threatening effect. Other adverse effects include paresthesia, nausea, vomiting, diarrhea, constipation, dyspepsia, rash, allergic reactions, back pain, arthralgia, upper respiratory infection, sinusitis, rhinitis, and bronchitis. Headache and weakness are common side effects. </t>
  </si>
  <si>
    <t>CO[C@H]1[C@@H](C[C@@H]2CN3CCC4=C([C@H]3C[C@@H]2[C@@H]1C(=O)OC)NC5=C4C=CC(=C5)OC)OC(=O)C6=CC(=C(C(=C6)OC)OC)OC</t>
  </si>
  <si>
    <t>methyl (1R,15S,17R,18R,19S,20S)-6,18-dimethoxy-17-(3,4,5-trimethoxybenzoyl)oxy-1,3,11,12,14,15,16,17,18,19,20,21-dodecahydroyohimban-19-carboxylate</t>
  </si>
  <si>
    <t>Reserpine</t>
  </si>
  <si>
    <t>10-C04</t>
  </si>
  <si>
    <t>50-55-5</t>
  </si>
  <si>
    <t xml:space="preserve"> Antipsychotic, antihypertensive</t>
  </si>
  <si>
    <t>Inhibits ATP/Mg2+ pump responsible for the sequestering of neurotransmitters into storage vesicles located in the presynaptic neuron. The neurotransmitters that are not sequestered in the storage vesicle are readily metabolized by monoamine oxidase (MAO) causing a reduction in catecholamines.</t>
  </si>
  <si>
    <t xml:space="preserve">Among the more serious adverse effects are mental depression, extrapyramidal effects, impotence, aggravation of peptic ulcer, and paradoxical excitement. </t>
  </si>
  <si>
    <t>C[C@H]1/C=C/C=C(\C(=O)NC2=C3C(=NC4(N3)CCN(CC4)CC(C)C)C5=C6C(=C(C(=C5C2=O)O)C)O[C@@](C6=O)(O/C=C/[C@@H]([C@H]([C@H]([C@@H]([C@@H]([C@@H]([C@H]1O)C)O)C)OC(=O)C)C)OC)C)/C</t>
  </si>
  <si>
    <t>(7S,9E,11S,12R,13S,14R,15R,16R,17S,18S,19E,21Z)-2,15,17-trihydroxy-11-methoxy-3,7,12,14,16,18,22-heptamethyl-1'-(2-methylpropyl)-6,23,32-trioxo-8,33-dioxa-24,27,29-triazaspiro[pentacyclo[23.6.1.1⁴,⁷.0⁵,³¹.0²⁶,³⁰]tritriacontane-28,4'-piperidin]-1,3,5(31),9,19,21,25,29-octaen-13-yl acetate</t>
  </si>
  <si>
    <t>Rifabutin</t>
  </si>
  <si>
    <t>10-C05</t>
  </si>
  <si>
    <t>72559-06-9</t>
  </si>
  <si>
    <t>Antibacterial, Antibiotic, Antitubercular</t>
  </si>
  <si>
    <t>Acts via the inhibition of DNA-dependent RNA polymerase in gram-positive and some gram-negative bacteria, leading to a suppression of RNA synthesis and cell death.</t>
  </si>
  <si>
    <t>Hematologic side effects have included neutropenia (25%), leukopenia (17%), anemia (6%), thrombocytopenia (5%), eosinophilia (1%), and hemolysis (less than 1%). Other reactions are rash (11%), nausea (6%), vomiting (3%), dyspepsia (3%), diarrhea (3%), eructation (3%), anorexia (2%) and flatulence.</t>
  </si>
  <si>
    <t>C[C@H]1/C=C/C=C(/C(=O)NC\2=C(C3=C(C(=C4C(=C3C(=O)/C2=C/NN5CCN(CC5)C6CCCC6)C(=O)[C@](O4)(O/C=C/[C@@H]([C@H]([C@H]([C@@H]([C@@H]([C@@H]([C@H]1O)C)O)C)OC(=O)C)C)OC)C)C)O)O)\C</t>
  </si>
  <si>
    <t>(7S,9E,11S,12R,13S,14R,15R,16R,17S,18S,19E,21Z)-26-[(E)-N-(4-cyclopentylpiperazin-1-yl)carboximidoyl]-2,15,17,27,29-pentahydroxy-11-methoxy-3,7,12,14,16,18,22-heptamethyl-6,23-dioxo-8,30-dioxa-24-azatetracyclo[23.3.1.1⁴,⁷.0⁵,²⁸]triaconta-1,3,5(28),9,19,21,25(29),26-octaen-13-yl acetate</t>
  </si>
  <si>
    <t>Rifapentine</t>
  </si>
  <si>
    <t>10-C06</t>
  </si>
  <si>
    <t>61379-65-5</t>
  </si>
  <si>
    <t>Antibiotic, Antitubercular</t>
  </si>
  <si>
    <t>Inhibits DNA-dependent RNA polymerase in susceptible strains of M. tuberculosis. Rifapentine acts via the inhibition of DNA-dependent RNA polymerase, leading to a suppression of RNA synthesis and cell death.</t>
  </si>
  <si>
    <t xml:space="preserve">Life-threatening effects include pancreatitis, hematuria, proteinuria, thrombocytopenia, leukopenia, neutropenia, lymphopenia, and leukocytosis. Other adverse effects include rash, pruritus, urticaria, acne, visual disturbances, gout, arthrosis, edema, aggressive reaction, bilirubinemia, hepatitis, increased AST/ALT, pyuria, urinary casts, headache, fatigue, anxiety, dizziness, anemia, purpura, and hematoma. Common side effects include nausea, vomiting, anorexia, diarrhea, and heartburn. </t>
  </si>
  <si>
    <t>C[C@H]1/C=C\C=C(/C(=O)NC2=C(C3=C(C4=C(C(=C3O)C)O[C@@](C4=O)(OC=C[C@@H]([C@H]([C@H]([C@@H]([C@@H]([C@@H]([C@H]1O)C)O)C)OC(=O)C)C)OC)C)C5=C2N6C=CC(=CC6=N5)C)O)\C</t>
  </si>
  <si>
    <t>(7S,9E,11S,12R,13S,14R,15R,16R,17S,18S,19E)-2,15,17,36-tetrahydroxy-11-methoxy-3,7,12,14,16,18,22,30-octamethyl-6,23-dioxo-8,37-dioxa-24,27,33-triazahexacyclo[23.10.1.1⁴,⁷.0⁵,³⁵.0²⁶,³⁴.0²⁷,³²]heptatriaconta-1(36),2,4,9,19,21,25,28,30,32,34-undecaen-13-yl acetate</t>
  </si>
  <si>
    <t>Rifaximin</t>
  </si>
  <si>
    <t>10-C07</t>
  </si>
  <si>
    <t>80621-81-4</t>
  </si>
  <si>
    <t>Anti-Infective, Gastrointestinal Agent</t>
  </si>
  <si>
    <t>Acts by inhibiting RNA synthesis in susceptible bacteria by binding to the beta-subunit of bacterial deoxyribonucleic acid (DNA)-dependent ribonucleic acid (RNA) polymerase enzyme. This results in the blockage of the translocation step that normally follows the formation of the first phosphodiester bond, which occurs in the transcription process.</t>
  </si>
  <si>
    <t>Adverse effects of this drug include abnormal dreams, dizziness, insomnia, and vomiting. Common side effects include abdominal pain, constipation, defecation urgency, flatulence, nausea, rectal tenesmus, headache, and pyrexia.</t>
  </si>
  <si>
    <t>CC(C)C1=NC(=CS1)CN(C)C(=O)N[C@@H](C(C)C)C(=O)N[C@@H](CC2=CC=CC=C2)C[C@@H]([C@H](CC3=CC=CC=C3)NC(=O)OCC4=CN=CS4)O</t>
  </si>
  <si>
    <t>1,3-thiazol-5-ylmethyl N-[(2S,3S,5S)-3-hydroxy-5-[[(2S)-3-methyl-2-[[methyl-[(2-propan-2-yl-1,3-thiazol-4-yl)methyl]carbamoyl]amino]butanoyl]amino]-1,6-diphenylhexan-2-yl]carbamate</t>
  </si>
  <si>
    <t>Ritonavir</t>
  </si>
  <si>
    <t>10-C08</t>
  </si>
  <si>
    <t>155213-67-5</t>
  </si>
  <si>
    <t xml:space="preserve">HIV Protease Inhibitor </t>
  </si>
  <si>
    <t>CN(C)CCC1=CNC2=C1C=C(C=C2)CN3C=NC=N3.C1=CC=C(C=C1)C(=O)O</t>
  </si>
  <si>
    <t>benzoic acid;N,N-dimethyl-2-[5-(1,2,4-triazol-1-ylmethyl)-1H-indol-3-yl]ethanamine</t>
  </si>
  <si>
    <t>Rizatriptan Benzoate</t>
  </si>
  <si>
    <t>10-C09</t>
  </si>
  <si>
    <t>145202-66-0</t>
  </si>
  <si>
    <t xml:space="preserve">Side effects: Severe: coronary artery vasospasm, transient myocardial ischemia, myocardial infarction, ventricular tachycardia, ventricular fibrillation, hypertensive crisis, Atypical sensations: paresthesia, Ear, nose, and throat: tinnitus, sinusitis, allergic rhinitis, upper respiratory tract inflammation, Gastrointestinal: diarrhea, Muscular: myalgia, Respiratory: dyspnea, Skin: sweating, Miscellaneous: hypersensitivity.
</t>
  </si>
  <si>
    <t>CCCN(CCC)CCC1=C2CC(=O)NC2=CC=C1.Cl</t>
  </si>
  <si>
    <t>4-[2-(dipropylamino)ethyl]-1,3-dihydroindol-2-one;hydrochloride</t>
  </si>
  <si>
    <t>Ropinirole·HCl</t>
  </si>
  <si>
    <t>10-C10</t>
  </si>
  <si>
    <t> 91374-20-8</t>
  </si>
  <si>
    <t xml:space="preserve">Non-ergoline dopamine agonist. Binds the dopamine receptors D3 and D2. </t>
  </si>
  <si>
    <t>Ropinirole can cause nausea, dizziness, hallucinations, orthostatic hypotension, and sudden sleep attacks during the daytime. Rarer and more unusual side effects specific to D3-preferring agonists such as ropinirole and pramipexole can include hypersexuality and compulsive gambling, even in patients without a prior history of these behaviours.</t>
  </si>
  <si>
    <t>CCCN1CCCC[C@H]1C(=O)NC2=C(C=CC=C2C)C.O.Cl</t>
  </si>
  <si>
    <t>(2S)-N-(2,6-dimethylphenyl)-1-propylpiperidine-2-carboxamide;hydrate;hydrochloride</t>
  </si>
  <si>
    <t>Ropivacaine·HCl Monohydrate</t>
  </si>
  <si>
    <t>10-C11</t>
  </si>
  <si>
    <t>132112-35-7</t>
  </si>
  <si>
    <t xml:space="preserve">Local anaesthetic </t>
  </si>
  <si>
    <t>Blocks the sodium-channel and decrease chances of depolarization and consequent action potentials.</t>
  </si>
  <si>
    <t>Adverse drug reactions (ADRs) are rare when it is administered correctly. 
Systemic exposure to excessive quantities of ropivacaine mainly result in central nervous system (CNS) and cardiovascular effects – CNS effects usually occur at lower blood plasma concentrations and additional cardiovascular effects present at higher concentrations, though cardiovascular collapse may also occur with low concentrations. CNS effects may include CNS excitation (nervousness, tingling around the mouth, tinnitus, tremor, dizziness, blurred vision, seizures followed by depression (drowsiness, loss of consciousness), respiratory depression and apnea). Cardiovascular effects include hypotension, bradycardia, arrhythmias, and/or cardiac arrest – some of which may be due to hypoxemia secondary to respiratory depression.</t>
  </si>
  <si>
    <t>CC(C1=NC(=NC(=C1/C=C/C(O)CC(O)CC(=O)[O-])C2=CC=C(C=C2)F)N(S(=O)(=O)C)C)C.CC(C1=NC(=NC(=C1/C=C/C(O)CC(O)CC(=O)[O-])C2=CC=C(C=C2)F)N(S(=O)(=O)C)C)C.[Ca+2]</t>
  </si>
  <si>
    <t>calcium;(E)-7-[4-(4-fluorophenyl)-2-[methyl(methylsulfonyl)amino]-6-propan-2-ylpyrimidin-5-yl]-3,5-dihydroxyhept-6-enoate</t>
  </si>
  <si>
    <t>Rosuvastatin Calcium</t>
  </si>
  <si>
    <t>10-D02</t>
  </si>
  <si>
    <t> 147098-20-2</t>
  </si>
  <si>
    <t xml:space="preserve">Competitive inhibitor of HMG-CoA reductase. HMG-CoA reductase catalyzes the conversion of HMG-CoA to mevalonate, an early rate-limiting step in cholesterol biosynthesis. </t>
  </si>
  <si>
    <t xml:space="preserve">Generally well-tolerated. Side effects may include myalgia, constipation, asthenia, abdominal pain, and nausea. Other possible side effects include myotoxicity (myopathy, myositis, rhabdomyolysis) and hepatotoxicity. To avoid toxicity in Asian patients, lower doses should be considered. Pharmacokinetic studies show an approximately two-fold increase in peak plasma concentration and AUC in Asian patients (Philippino, Chinese, Japanese, Korean, Vietnamese, or Asian-Indian descent) compared to Caucasians patients. </t>
  </si>
  <si>
    <t>C1=CC(=C(C(=C1)F)CN2C=C(N=N2)C(=O)N)F</t>
  </si>
  <si>
    <t>1-[(2,6-difluorophenyl)methyl]triazole-4-carboxamide</t>
  </si>
  <si>
    <t>Rufinamide</t>
  </si>
  <si>
    <t>10-D03</t>
  </si>
  <si>
    <t>106308-44-5</t>
  </si>
  <si>
    <t xml:space="preserve"> Mechanism of action unknown. Presumed to involve stabilization of the sodium channel inactive state, effectively keeping these ion channels closed. </t>
  </si>
  <si>
    <t xml:space="preserve">Main side effects include headache (27%), dizziness (19%), fatigue (16%), nausea (12%),  and somnolence (11%). </t>
  </si>
  <si>
    <t>CC(C)(C)NC(=O)[C@@H]1C[C@@H]2CCCC[C@@H]2CN1C[C@H]([C@H](CC3=CC=CC=C3)NC(=O)[C@H](CC(=O)N)NC(=O)C4=NC5=CC=CC=C5C=C4)O.CS(=O)(=O)O</t>
  </si>
  <si>
    <t>(2S)-N-[(2S,3R)-4-[(3S,4aS,8aS)-3-(tert-butylcarbamoyl)-3,4,4a,5,6,7,8,8a-octahydro-1H-isoquinolin-2-yl]-3-hydroxy-1-phenylbutan-2-yl]-2-(quinoline-2-carbonylamino)butanediamide;methanesulfonic acid</t>
  </si>
  <si>
    <t>Saquinavir Mesylate</t>
  </si>
  <si>
    <t>10-D04</t>
  </si>
  <si>
    <t>149845-06-7</t>
  </si>
  <si>
    <t xml:space="preserve"> Antiretroviral, anti-HIV agent </t>
  </si>
  <si>
    <t>Inhibits the HIV viral proteinase enzyme which prevents cleavage of the gag-pol polyprotein, resulting in noninfectious, immature viral particles.</t>
  </si>
  <si>
    <t>The most frequent adverse events with saquinavir in either formulation are mild gastrointestinal symptoms, including diarrhea, nausea, loose stools &amp; abdominal discomfort. Invirase is better tolerated than Fortovase.</t>
  </si>
  <si>
    <t>C[C@H](CC1=CC=CC=C1)N(C)CC#C.Cl</t>
  </si>
  <si>
    <t>(2R)-N-methyl-1-phenyl-N-prop-2-ynylpropan-2-amine;hydrochloride</t>
  </si>
  <si>
    <t>Selegiline·HCl</t>
  </si>
  <si>
    <t>10-D05</t>
  </si>
  <si>
    <t>14611-52-0</t>
  </si>
  <si>
    <t>Selective, irreversible inhibitor of Type B monoamine oxidase.</t>
  </si>
  <si>
    <t>Due to the primary metabolites of L-amphetamine and L-methamphetamine, selegiline shares many side effects seen with these sympathomimetic stimulants. Minor side effects such as dizziness, dry mouth, difficulty falling or staying asleep, muscle pain, rash, nausea and constipation have been seen. More serious side effects such as severe headache, tachycardia, arrhythmia, hallucinations, chorea, or difficulty breathing should be investigated by health professionals immediately.</t>
  </si>
  <si>
    <t>CN[C@H]1CC[C@H](C2=CC=CC=C12)C3=CC(=C(C=C3)Cl)Cl.Cl</t>
  </si>
  <si>
    <t>(1S,4S)-4-(3,4-dichlorophenyl)-N-methyl-1,2,3,4-tetrahydronaphthalen-1-amine;hydrochloride</t>
  </si>
  <si>
    <t>Sertraline·HCl</t>
  </si>
  <si>
    <t>10-D06</t>
  </si>
  <si>
    <t>79559-97-0</t>
  </si>
  <si>
    <t>Selectively inhibits the reuptake of serotonin at the presynaptic membrane. This results in an increased synaptic concentration of serotonin in the CNS, which leads to numerous functional changes associated with enhanced serotonergic neurotransmission.</t>
  </si>
  <si>
    <t>Among the common adverse effects associated with sertraline and listed in the prescribing information, those with the greatest difference from placebo are nausea (25% vs. 11% for placebo), ejaculation failure (14% vs. 1% for placebo), insomnia (21% vs. 11% for placebo), diarrhea (20% vs. 10% for placebo), dry mouth (14% vs. 8% for placebo), somnolence (13% vs. 7% for placebo), dizziness (12% vs. 7% for placebo), tremor (8% vs. 2% for placebo) and decreased libido (6% vs. 1% for placebo). Those that most often resulted in interruption of the treatment were nausea (3%), diarrhea (2%) and insomnia (2%). Sertraline appears to be associated with microscopic colitis, a rare condition of unknown etiology.</t>
  </si>
  <si>
    <t>C1=CN=C(N=C1)[N-]S(=O)(=O)C2=CC=C(C=C2)N.[Ag+]</t>
  </si>
  <si>
    <t>silver;(4-aminophenyl)sulfonyl-pyrimidin-2-ylazanide</t>
  </si>
  <si>
    <t>Silver Sulfadiazine</t>
  </si>
  <si>
    <t>10-D07</t>
  </si>
  <si>
    <t>22199-08-2</t>
  </si>
  <si>
    <t>Antibacterial, anti-infective</t>
  </si>
  <si>
    <t>Acts only on the cell membrane and cell wall to produce its bactericidal effect. A specific mechanism of action has not been determined, but silver sulfadiazine's effectiveness may possibly be from a synergistic interaction, or the action of each component. Silver is a biocide, which binds to a broad range of targets. Silver ions bind to nucleophilic amino acids, as well as sulfhydryl, amino, imidazole, phosphate, and carboxyl groups in proteins, causing protein denaturation and enzyme inhibition. Silver binds to surface membranes and proteins, causing proton leaks in the membrane, leading to cell death. Sulfadiazine is a competitive inhibitor of bacterial para-aminobenzoic acid (PABA), a substrate of the enzyme dihydropteroate synthetase. The inhibited reaction is necessary in these organisms for the synthesis of folic acid.</t>
  </si>
  <si>
    <t>An aseptic exudate (a clear fluid) may form on the wound's surface. Burning and painful sensations are not uncommon but only temporary.
About 0.1 to 1% of patients show hypersensitivity reactions like rashes or erythema multiforme. 
Incorporation of the silver ions can lead to local argyria (discoloration of the skin), especially if the treated area is exposed to ultraviolet. Generalised argyria with silver accumulation in kidneys, liver and retina has only been found in association with excessive long-term use, or repeated use on severe and heavily inflamed burns. Possible consequences of generalised argyria include interstitial nephritis and anemia.</t>
  </si>
  <si>
    <t>C1CN2C(=NN=C2C(F)(F)F)CN1C(=O)CC(CC3=CC(=C(C=C3F)F)F)N.O.OP(=O)(O)O</t>
  </si>
  <si>
    <t>(3R)-3-amino-1-[3-(trifluoromethyl)-6,8-dihydro-5H-[1,2,4]triazolo[4,3-a]pyrazin-7-yl]-4-(2,4,5-trifluorophenyl)butan-1-one;phosphoric acid;hydrate</t>
  </si>
  <si>
    <t>Sitagliptin Phosphate</t>
  </si>
  <si>
    <t>10-D08</t>
  </si>
  <si>
    <t>654671-77-9</t>
  </si>
  <si>
    <t xml:space="preserve">Hypoglycemic (anti-diabetic drug) </t>
  </si>
  <si>
    <t xml:space="preserve">Highly selective dipeptidyl peptidase-4 (DPP-4) inhibitor. Used either alone or in combination with metformin or a thiazolidinedione for control of type 2 diabetes mellitus. Competitively inhibits DPP-4, which results in an increased amount of active incretins (GLP-1 and GIP), reduced amount of release of glucagon (diminishes its release) and increased release of insulin.4. </t>
  </si>
  <si>
    <t>In clinical trials, adverse effects were as common with sitagliptin (whether used alone or with metformin or pioglitazone) as they were with placebo, except for extremely rare nausea and common cold-like symptoms. There is no significant difference in the occurrence of hypoglycemia between placebo and sitagliptin.
There have been several postmarketing reports of pancreatitis (some fatal) in people treated with sitagliptin, and the U.S. package insert carries a warning to this effect, although the causal link between sitagliptin and pancreatitis has not yet been fully substantiated.</t>
  </si>
  <si>
    <t>CC1=CC=C(C=C1)S(=O)(=O)O.CNC(=O)C1=NC=CC(=C1)OC2=CC=C(C=C2)NC(=O)NC3=CC(=C(C=C3)Cl)C(F)(F)F</t>
  </si>
  <si>
    <t>4-[4-[[4-chloro-3-(trifluoromethyl)phenyl]carbamoylamino]phenoxy]-N-methylpyridine-2-carboxamide;4-methylbenzenesulfonic acid</t>
  </si>
  <si>
    <t>10-D09</t>
  </si>
  <si>
    <t>475207-59-1</t>
  </si>
  <si>
    <t xml:space="preserve">Antineoplastic  </t>
  </si>
  <si>
    <t xml:space="preserve">Tyrosine protein kinases inhibitor. </t>
  </si>
  <si>
    <t>Risk of erythrocytosis.</t>
  </si>
  <si>
    <t>CC1=CN(C(=O)NC1=O)[C@H]2C=C[C@H](O2)CO</t>
  </si>
  <si>
    <t>1-[(2R,5S)-5-(hydroxymethyl)-2,5-dihydrofuran-2-yl]-5-methylpyrimidine-2,4-dione</t>
  </si>
  <si>
    <t>Stavudine</t>
  </si>
  <si>
    <t>10-D10</t>
  </si>
  <si>
    <t>3056-17-5</t>
  </si>
  <si>
    <t>Hepatoxicity (Mitochondrial Toxicity/Steatohepatitis)</t>
  </si>
  <si>
    <t>CN(C(=O)N[C@@H]1[C@H]([C@@H]([C@H](O[C@@H]1O)CO)O)O)N=O</t>
  </si>
  <si>
    <t>1-methyl-1-nitroso-3-[(2S,3R,4R,5S,6R)-2,4,5-trihydroxy-6-(hydroxymethyl)oxan-3-yl]urea</t>
  </si>
  <si>
    <t>Streptozocin</t>
  </si>
  <si>
    <t>10-D11</t>
  </si>
  <si>
    <t>18883-66-4</t>
  </si>
  <si>
    <t>Antineoplastic antibiotic. known to inhibit DNA synthesis, interfere with biochemical reactions of NAD and NADH. Streptozotocin is similar enough to glucose to be transported into the cell by the glucose transport protein GLUT2, but is not recognized by the other glucose transporters. This explains its relative toxicity to beta cells, since these cells have relatively high levels of GLUT2.          Its activity appears to occur as a result of formation of methylcarbonium ions, which alkylate or bind with many intracellular molecular structures including nucleic acids. Its cytotoxic action is probably due to cross-linking of strands of DNA, resulting in inhibition of DNA synthesis.</t>
  </si>
  <si>
    <t>Symptoms of overdose include nausea and vomiting, anorexia, myelosuppression; and nephrotoxicity.</t>
  </si>
  <si>
    <t>C1=CC(=CC=C1CSC(CN2C=CN=C2)C3=C(C=C(C=C3)Cl)Cl)Cl.[N+](=O)(O)[O-]</t>
  </si>
  <si>
    <t>1-[2-[(4-chlorophenyl)methylsulfanyl]-2-(2,4-dichlorophenyl)ethyl]imidazole;nitric acid</t>
  </si>
  <si>
    <t>Sulconazole Nitrate</t>
  </si>
  <si>
    <t>10-E02</t>
  </si>
  <si>
    <t>61318-91-0</t>
  </si>
  <si>
    <t>Substituted imidazole derivative which inhibits metabolic reactions necessary for the synthesis of ergosterol, an essential membrane component. The end result is usually fungistatic; however, sulconazole may act as a fungicide in Candida albicans and parapsilosis during certain growth phases.</t>
  </si>
  <si>
    <t>Dermatologic side effects have rarely included mild to moderate skin reactions. These have included pruritus, erythema, burning, irritation, and stinging. Phototoxic reactions have also been reported.</t>
  </si>
  <si>
    <t>CC(=O)[N-]S(=O)(=O)C1=CC=C(C=C1)N.[Na+]</t>
  </si>
  <si>
    <t>sodium;acetyl-(4-aminophenyl)sulfonylazanide</t>
  </si>
  <si>
    <t>Sulfacetamide·Na</t>
  </si>
  <si>
    <t>10-E03</t>
  </si>
  <si>
    <t>127-56-0</t>
  </si>
  <si>
    <t xml:space="preserve">Anti-infective </t>
  </si>
  <si>
    <t>Mimics bacterial para-aminobenzoic acid (PABA), an essential component for bacterial growth (according to the Woods-Fildes theory). The inhibited reaction is necessary in these organisms for the synthesis of folic acid.</t>
  </si>
  <si>
    <t>The most common side effects of sulfacetamide/sulfur combination products are local irritation and contact dermatitis. Sulfacetamide should not be used by individuals who have a sensitivity to sulfur or sulfa.</t>
  </si>
  <si>
    <t>CC1=CC(=NO1)NS(=O)(=O)C2=CC=C(C=C2)N</t>
  </si>
  <si>
    <t>4-amino-N-(5-methyl-1,2-oxazol-3-yl)benzenesulfonamide</t>
  </si>
  <si>
    <t>Sulfamethoxazole</t>
  </si>
  <si>
    <t>10-E04</t>
  </si>
  <si>
    <t>723-46-6</t>
  </si>
  <si>
    <t xml:space="preserve">Sulfonamide bacteriostatic antibiotic; Structural analog and competitive antagonists of para-aminobenzoic acid (PABA). Tetrahydrofolate synthesis inhibitor on dihydropteroate synthetase level.   </t>
  </si>
  <si>
    <t>Risk of neutropenia and thrombocytopenia.</t>
  </si>
  <si>
    <t>C1=CC(=CC=C1N)S(=O)(=O)N</t>
  </si>
  <si>
    <t>4-aminobenzenesulfonamide</t>
  </si>
  <si>
    <t>Sulfanilamide</t>
  </si>
  <si>
    <t>10-E05</t>
  </si>
  <si>
    <t>63-74-1</t>
  </si>
  <si>
    <t xml:space="preserve">Antibacterial </t>
  </si>
  <si>
    <t>Competitive inhibitor of bacterial enzyme dihydropteroate synthetase. This enzyme normally uses para-aminobenzoic acid (PABA) for synthesizing the necessary folic acid. The inhibited reaction is normally necessary in these organisms for the synthesis of folic acid. Without it, bacteria cannot replicate.</t>
  </si>
  <si>
    <t>Side effects include itching, burning, skin rash, redness, swelling, or other sign of irritation not present before use of this medicine and long-term use of sulfonamides may cause cancer of the thyroid gland.</t>
  </si>
  <si>
    <t>CCN(CC)CCNC(=O)C1=C(NC(=C1C)/C=C\2/C3=C(C=CC(=C3)F)NC2=O)C.C([C@@H](C(=O)O)O)C(=O)O</t>
  </si>
  <si>
    <t>N-[2-(diethylamino)ethyl]-5-[(Z)-(5-fluoro-2-oxo-1H-indol-3-ylidene)methyl]-2,4-dimethyl-1H-pyrrole-3-carboxamide;(2S)-2-hydroxybutanedioic acid</t>
  </si>
  <si>
    <t>10-E06</t>
  </si>
  <si>
    <t>341031-54-7</t>
  </si>
  <si>
    <t xml:space="preserve">Multi-Targeted Receptor Tyrosine Kinase (RTK) Inhibitor, which targets VEGF-R1, VEGF-R2, VEGF-R3, PDGF-Rα, PDGF-Rβ, KIT, FLT3, CSF-1R, and RET. </t>
  </si>
  <si>
    <t>Common neutropenia (up to 77%), lymphocytopenia (up to 68%), thrombocytopenia (up to 68%), anemia (up to 79%) and leukopenia (up to 78%). Fatal hemorrhage has also been reported.</t>
  </si>
  <si>
    <t>C[C@@H]1C[C@@H]([C@@H]2[C@H](C[C@H]([C@@](O2)(C(=O)C(=O)N3CCCC[C@H]3C(=O)O[C@@H]([C@@H]([C@H](CC(=O)[C@@H](/C=C(/C1)\C)CC=C)O)C)/C(=C/[C@@H]4CC[C@H]([C@@H](C4)OC)O)/C)O)C)OC)OC</t>
  </si>
  <si>
    <t>(1R,9S,12S,13R,14S,17R,18E,21S,23S,24R,25S,27R)-24-hydrogenio-1,14-dihydroxy-12-[(1E)-1-[(1R,3R,4R)-4-hydroxy-3-methoxycyclohexyl]prop-1-en-2-yl]-23,25-dimethoxy-13,19,21,27-tetramethyl-17-(prop-2-en-1-yl)-11,28-dioxa-4-azatricyclo[22.3.1.0⁴,⁹]octacos-18-ene-2,3,10,16-tetrone</t>
  </si>
  <si>
    <t>Tacrolimus (Fk506)</t>
  </si>
  <si>
    <t>10-E07</t>
  </si>
  <si>
    <t>104987-11-3</t>
  </si>
  <si>
    <t>Immunosuppressant mainly used after allogeneic organ transplant</t>
  </si>
  <si>
    <t>Drug prevents the dephosphorylation of NF-AT via reducing peptidyl-prolyl isomerase activity. As a result Tacrolimus inhibits both T-lymphocyte signal transduction and IL-2 transcription.</t>
  </si>
  <si>
    <t>Serious risk of cardiac damage and hypertension.</t>
  </si>
  <si>
    <t>CN1CC(=O)N2[C@@H](C1=O)CC3=C([C@H]2C4=CC5=C(C=C4)OCO5)NC6=CC=CC=C36</t>
  </si>
  <si>
    <t>(2R,8R)-2-(2H-1,3-benzodioxol-5-yl)-6-methyl-3,6,17-triazatetracyclo[8.7.0.0³,⁸.0¹¹,¹⁶]heptadeca-1(10),11,13,15-tetraene-4,7-dione</t>
  </si>
  <si>
    <t>Tadalafil</t>
  </si>
  <si>
    <t>10-E08</t>
  </si>
  <si>
    <t>171596-29-5</t>
  </si>
  <si>
    <t xml:space="preserve"> Erectile dysfunction and  pulmonary arterial hypertension treatment</t>
  </si>
  <si>
    <t>PDE5 inhibitor. The inhibition of phosphodiesterase type 5 (PDE5) enhances erectile function by increasing the amount of cGMP.</t>
  </si>
  <si>
    <t>Most common side effects are headache, indigestion, back pain, muscle aches, flushing, and stuffy or runny nose.</t>
  </si>
  <si>
    <t>CCOC(=O)C1=CN=C(C=C1)C#CC2=CC3=C(C=C2)SCCC3(C)C</t>
  </si>
  <si>
    <t>ethyl 6-[2-(4,4-dimethyl-2,3-dihydrothiochromen-6-yl)ethynyl]pyridine-3-carboxylate</t>
  </si>
  <si>
    <t>Tazarotene</t>
  </si>
  <si>
    <t>10-E09</t>
  </si>
  <si>
    <t>118292-40-3</t>
  </si>
  <si>
    <t>Keratolytic Agents, Dermatologic Agent</t>
  </si>
  <si>
    <t>Binds to all three members of the retinoic acid receptor (RAR) family: RARa, RARb, and RARg, but shows relative selectivity for RARb, and RARg and may modify gene expression. It also has affinity for RXR receptors.</t>
  </si>
  <si>
    <t>Excessive topical use may lead to marked redness, peeling, or discomfort. Oral ingestion of the drug may affect liver function causing hypertriglyceridemia. Other symptoms may include conjunctival irritation, hair loss, headache, edema, fatigue, dermatitis, nausea, and visual disturbances. Oral administration of this material to rats and rabbits at doses of 0.20 mg/kg/day (rabbits) and 0.25 mg/kg/day (rats) resulted in developmental toxicity. Similar teratogenic effects have been reported for other retinoid compounds.</t>
  </si>
  <si>
    <t>CC1=CN(C(=O)NC1=O)[C@H]2C[C@H]([C@@H](O2)CO)O</t>
  </si>
  <si>
    <t>1-[(2R,4R,5S)-4-hydroxy-5-(hydroxymethyl)oxolan-2-yl]-5-methylpyrimidine-2,4-dione</t>
  </si>
  <si>
    <t xml:space="preserve">Telbivudine </t>
  </si>
  <si>
    <t>10-E10</t>
  </si>
  <si>
    <t> 3424-98-4</t>
  </si>
  <si>
    <t>Inhibits HBV DNA polymerase (reverse transcriptase) by competing with the natural substrate, thymidine 5'–triphosphate. This leads to the chain termination of DNA synthesis, thereby inhibiting viral replication. Incorporation of telbivudine 5'–triphosphate into viral DNA also causes DNA chain termination, resulting in inhibition of HBV replication. Telbivudine inhibits anticompliment or second-strand DNA.</t>
  </si>
  <si>
    <t>Adverse effects of this drug include weakness, taste change, hearing loss, photophobia, abdominal pain, hepatomegaly, lactic acidosis, myalgia, arthralgia, muscle cramps, and cough. Common side effects include fever, headache, malaise, dizziness, insomnia, nausea, vomiting, diarrhea, anorexia, and rash.</t>
  </si>
  <si>
    <t>CC[C@@H]1[C@@]2([C@@H]([C@@H](C(=O)[C@@H](C[C@]([C@@H]([C@H](C(=O)[C@H](C(=O)O1)C)C)OC3[C@@H]([C@H](C[C@H](O3)C)N(C)C)O)(C)OC)C)C)N(C(=O)O2)CCCCN4C=C(N=C4)C5=CN=CC=C5)C</t>
  </si>
  <si>
    <t>(1R,2S,4R,6S,7R,8R,10R,13R,14S)-7-[(3R,4S,6R)-4-(dimethylamino)-3-hydroxy-6-methyloxan-2-yl]oxy-13-ethyl-6-methoxy-2,4,6,8,10,14-hexamethyl-17-[4-(4-pyridin-3-ylimidazol-1-yl)butyl]-12,15-dioxa-17-azabicyclo[12.3.0]heptadecane-3,9,11,16-tetrone</t>
  </si>
  <si>
    <t>Telithromycin</t>
  </si>
  <si>
    <t>10-E11</t>
  </si>
  <si>
    <t>191114-48-4</t>
  </si>
  <si>
    <t>Acts by binding to domains II and V of 23S rRNA of the 50S ribosomal subunit. By binding at domain II, telithromycin retains activity against gram-positive cocci (e.g. Streptococcus pneumoniae) in the presence of resistance mediated by methylases (erm genes) that alter the binding site at domain V. Telithromycin may also inhibit the assembly of nascent ribosomal units.</t>
  </si>
  <si>
    <t>Adverse reactions include: headache, dizziness, fatigue, loss of consciousness; prolonged QT interval with increased risk of ventricular arrhythmias and torsades de pointes; visual disturbances, poor visual accommodation; nausea, vomiting, diarrhea, loose stools, light-colored stools, dysgeusia, anorexia, pseudomembranous colitis (possibly caused by Clostridium difficile);
abnormal hepatic function, fulminant hepatitis, hepatic necrosis, hepatic failure; pruritus.</t>
  </si>
  <si>
    <t>10-F02</t>
  </si>
  <si>
    <t>CC1CCC2CC(C(=CC=CC=CC(CC(C(=O)C(C(C(=CC(C(=O)CC(OC(=O)C3CCCCN3C(=O)C(=O)C1(O2)O)C(C)CC4CCC(C(C4)OC)OC(=O)C(C)(CO)CO)C)C)O)OC)C)C)C)OC</t>
  </si>
  <si>
    <t>4-{2-[(16E,24E,26E,28E)-1,18-dihydroxy-19,30-dimethoxy-15,17,21,23,29,35-hexamethyl-2,3,10,14,20-pentaoxo-11,36-dioxa-4-azatricyclo[30.3.1.0⁴,⁹]hexatriaconta-16,24,26,28-tetraen-12-yl]propyl}-2-methoxycyclohexyl 3-hydroxy-2-(hydroxymethyl)-2-methylpropanoate</t>
  </si>
  <si>
    <t>Temsirolimus</t>
  </si>
  <si>
    <t>10-F03</t>
  </si>
  <si>
    <t>162635-04-3</t>
  </si>
  <si>
    <t>Antineoplastic, Protein Kinase Inhibitor</t>
  </si>
  <si>
    <t>Inhibitor of mTOR (mammalian target of rapamycin). Temsirolimus binds to an intracellular protein (FKBP-12), and the protein-drug complex inhibits the activity of mTOR that controls cell division. Inhibition of mTOR activity results in a G1 growth arrest in treated tumor cells.</t>
  </si>
  <si>
    <t xml:space="preserve">Adverse effects of this drug include seizures, hypertension, hypertriglyceridemia, hyperlipidemia, hyperglycemia, nausea, vomiting, diarrhea, constipation, pruritus, and metabolic acidosis. Life-threatening side effects include thrombophlebitis, bowel perforation, albuminuria, hematuria, proteinuria, renal failure, anemia, leukopenia, thrombocytopenia, interstitial lung disease, and lymphoma. Common side effects include headache and rash. </t>
  </si>
  <si>
    <t>COC1=CC(=CC(=C1O)OC)[C@H]2[C@@H]3[C@H](COC3=O)[C@@H](C4=CC5=C(C=C24)OCO5)O[C@H]6[C@@H]([C@H]([C@H]7[C@H](O6)CO[C@H](O7)C8=CC=CS8)O)O</t>
  </si>
  <si>
    <t>(5S,5aR,8aR,9R)-5-[[(2R,4aR,6R,7R,8R,8aS)-7,8-dihydroxy-2-thiophen-2-yl-4,4a,6,7,8,8a-hexahydropyrano[3,2-d][1,3]dioxin-6-yl]oxy]-9-(4-hydroxy-3,5-dimethoxyphenyl)-5a,6,8a,9-tetrahydro-5H-[2]benzofuro[6,5-f][1,3]benzodioxol-8-one</t>
  </si>
  <si>
    <t>Teniposide</t>
  </si>
  <si>
    <t>10-F04</t>
  </si>
  <si>
    <t>29767-20-2</t>
  </si>
  <si>
    <t xml:space="preserve">Inhibits DNA synthesis by forming a complex with topoisomerase II and DNA. This complex induces breaks in double stranded DNA and prevents repair by topoisomerase II binding. Accumulated breaks in DNA prevent cells from entering into the mitotic phase of the cell cycle, and lead to apoptosis. Teniposide acts primarily in the G2 and S phases of the cycle. 
</t>
  </si>
  <si>
    <t>Teniposide, when used with other chemotherapeutic agents, results in severe myelosuppression. Other common side effects include gastrointestinal toxicity, hypersensitivity reactions, and alopecia.</t>
  </si>
  <si>
    <t>C[C@H](CN1C=NC2=C1N=CN=C2N)OCP(=O)(O)O</t>
  </si>
  <si>
    <t>[(2R)-1-(6-aminopurin-9-yl)propan-2-yl]oxymethylphosphonic acid</t>
  </si>
  <si>
    <t>10-F05</t>
  </si>
  <si>
    <t>Inhibits the activity of HIV reverse transcriptase by competing with the natural substrate deoxyadenosine 5’-triphosphate and, after incorporation into DNA, by DNA chain termination.</t>
  </si>
  <si>
    <t xml:space="preserve">The most common side effects associated with tenofovir include nausea, vomiting, diarrhea, and asthenia. Less frequent side effects include hepatotoxicity, abdominal pain, and flatulence. Tenofovir has also been implicated in causing renal toxicity, particularly at elevated concentrations.
</t>
  </si>
  <si>
    <t>CC(C)(C)NCC(C1=CC(=CC(=C1)O)O)O.CC(C)(C)NCC(C1=CC(=CC(=C1)O)O)O.OS(=O)(=O)O</t>
  </si>
  <si>
    <t>5-[2-(tert-butylamino)-1-hydroxyethyl]benzene-1,3-diol;sulfuric acid</t>
  </si>
  <si>
    <t>Terbutaline Hemisulfate</t>
  </si>
  <si>
    <t>10-F06</t>
  </si>
  <si>
    <t>23031-32-5</t>
  </si>
  <si>
    <t xml:space="preserve"> Bronchodilator, tocolytic</t>
  </si>
  <si>
    <t xml:space="preserve"> β2-adrenergic receptor agonist.
</t>
  </si>
  <si>
    <t>Side effects:                                                                                                                                                               In adults - tachycardia, nervousness, tremors, headache, hyperglycemia, hypokalemia, and rarely, pulmonary edema.
In Fetus - tachycardia and hypoglycemia.</t>
  </si>
  <si>
    <t>CC(C)N1CCN(CC1)C2=CC=C(C=C2)OC[C@H]3CO[C@](O3)(CN4C=NC=N4)C5=C(C=C(C=C5)Cl)Cl</t>
  </si>
  <si>
    <t>1-[4-[[(2R,4S)-2-(2,4-dichlorophenyl)-2-(1,2,4-triazol-1-ylmethyl)-1,3-dioxolan-4-yl]methoxy]phenyl]-4-propan-2-ylpiperazine</t>
  </si>
  <si>
    <t>Terconazole</t>
  </si>
  <si>
    <t>10-F07</t>
  </si>
  <si>
    <t>67915-31-5</t>
  </si>
  <si>
    <t>Inhibits cytochrome P450 14-alpha-demethylase in susceptible fungi, which leads to the accumulation of lanosterol and other methylated sterols and a decrease in ergosterol concentration. Depletion of ergosterol in the membrane disrupts the structure and function of the fungal cell leading to a decrease or inhibition of fungal growth.</t>
  </si>
  <si>
    <t>For the treatment of candidiasis (a yeast-like fungal infection) of the vulva and vagina.</t>
  </si>
  <si>
    <t>10-F08</t>
  </si>
  <si>
    <t>CC(C)CC1CN2CCC3=CC(=C(C=C3C2CC1=O)OC)OC</t>
  </si>
  <si>
    <t>9,10-dimethoxy-3-(2-methylpropyl)-1,3,4,6,7,11b-hexahydrobenzo[a]quinolizin-2-one</t>
  </si>
  <si>
    <t>Tetrabenazine</t>
  </si>
  <si>
    <t>10-F09</t>
  </si>
  <si>
    <t>58-46-8</t>
  </si>
  <si>
    <t xml:space="preserve"> Hyperkinetic movement disorder treatment</t>
  </si>
  <si>
    <t xml:space="preserve">VMAT inhibitor. Promotes the early metabolic degradation of dopamine. </t>
  </si>
  <si>
    <t>Because tetrabenazine is closely related to antipsychotics, many of its side effects are similar. Some of these include: Akathisia (aka "restless pacing" – an inability to keep still, with intense anxiety when forced to do so); Depression - the most common side effect, reported in roughly 15% of those who take the medication; Dizziness, drowsiness, insomnia, fatigue, nervousness and anxiety; Parkinsonism; Unlike many antipsychotics, tetrabenazine is not known to cause tardive dyskinesia.</t>
  </si>
  <si>
    <t>C1CC(C2=CC=CC=C2C1)C3=NCCN3.Cl</t>
  </si>
  <si>
    <t>2-(1,2,3,4-tetrahydronaphthalen-1-yl)-4,5-dihydro-1H-imidazole;hydrochloride</t>
  </si>
  <si>
    <t>Tetrahydrozoline·HCl</t>
  </si>
  <si>
    <t>10-F10</t>
  </si>
  <si>
    <t>522-48-5</t>
  </si>
  <si>
    <t>Ophthalmology medicine</t>
  </si>
  <si>
    <t>Alpha-adrenergic agonist</t>
  </si>
  <si>
    <t xml:space="preserve">When used, “only as directed,” tetrahydrozoline is an effective medication which shrinks blood vessels thus alleviating reddened “bloodshot” eyes. If taken internally, however, this drug acts like a potent high blood pressure medicine. Symptoms reported in both children and adults who have swallowed some of these eye care products either by accident or via malicious activity include marked drowsiness, low blood pressure, slowed heart rate, and possibly even coma and impaired breathing. Quantities as low as ½ to 1½ teaspoonfuls (approximately 1/6 to ½ of a half ounce bottle) have caused pronounced reactions in small children. Toxic effects following tetrahydrozoline ingestion can be serious and at times require close observation and treatment in an intensive care setting. </t>
  </si>
  <si>
    <t>CN1C2=C(C(=O)N(C1=O)C)NC=N2</t>
  </si>
  <si>
    <t>1,3-dimethyl-7H-purine-2,6-dione</t>
  </si>
  <si>
    <t>Theophylline</t>
  </si>
  <si>
    <t>10-F11</t>
  </si>
  <si>
    <t>58-55-9</t>
  </si>
  <si>
    <t>Vasodilator, Bronchodilator</t>
  </si>
  <si>
    <t xml:space="preserve">Competitive Nonselective Phospho-diesterase Inhibitor and Nonselective Adenosine Receptor Antagonist. </t>
  </si>
  <si>
    <t>Among the most serious adverse effects are hypersensitivity, GI bleeding, palpitations, and seizures.</t>
  </si>
  <si>
    <t>C1=NC2=C(N1)C(=S)N=C(N2)N</t>
  </si>
  <si>
    <t>2-amino-3,7-dihydropurine-6-thione</t>
  </si>
  <si>
    <t>10-G02</t>
  </si>
  <si>
    <t>154-42-7</t>
  </si>
  <si>
    <t xml:space="preserve">Competes with hypoxanthine and guanine for the enzyme hypoxanthine-guanine phosphoribosyltransferase (HGPRTase) and is itself converted to 6-thioguanilyic acid (TGMP), which reaches high intracellular concentrations at therapeutic doses. TGMP interferes with the synthesis of guanine nucleotides by its inhibition of purine biosynthesis by pseudofeedback inhibition of glutamine-5-phosphoribosylpyrophosphate amidotransferase, the first enzyme unique to the de novo pathway of purine ribonucleotide synthesis. TGMP also inhibits the conversion of inosinic acid (IMP) to xanthylic acid (XMP) by competition for the enzyme IMP dehydrogenase. </t>
  </si>
  <si>
    <t xml:space="preserve">The most frequent adverse reaction is myelosuppression; Hyperuricemia frequently occurs; Less frequent adverse reactions include nausea, vomiting, anorexia, and stomatitis. </t>
  </si>
  <si>
    <t>C1CN1P(=S)(N2CC2)N3CC3</t>
  </si>
  <si>
    <t>tris(aziridin-1-yl)-sulfanylidene-$l^{5}-phosphane</t>
  </si>
  <si>
    <t>10-G03</t>
  </si>
  <si>
    <t>52-24-4</t>
  </si>
  <si>
    <t xml:space="preserve">Alkylating agent </t>
  </si>
  <si>
    <t>Severe myelotoxicity leading to leukopenia, thrombocytopenia, and anemia.</t>
  </si>
  <si>
    <t>10-G04</t>
  </si>
  <si>
    <t>CC1=C(SC=C1)C(=CCCN2CCC[C@H](C2)C(=O)O)C3=C(C=CS3)C.Cl</t>
  </si>
  <si>
    <t>(3R)-1-[4,4-bis(3-methylthiophen-2-yl)but-3-enyl]piperidine-3-carboxylic acid;hydrochloride</t>
  </si>
  <si>
    <t>Tiagabine·HCl</t>
  </si>
  <si>
    <t>10-G05</t>
  </si>
  <si>
    <t> 145821-59-6</t>
  </si>
  <si>
    <t xml:space="preserve">Anticonvulsive </t>
  </si>
  <si>
    <t>Selective GABA reuptake inhibitor.</t>
  </si>
  <si>
    <t>Adverse effects include dizziness, anxiety, somnolence, ataxia, amnesia, unsteady gait, depression, vasodilation, nausea, vomiting, diarrhea, pruritus, rash, pharyngitis, and coughing. Abrupt discontinuation of this drug can cause sudden onset of seizures. Simultaneous use of the herb ginkgo may decrease anticonvulsant effectiveness.</t>
  </si>
  <si>
    <t>CC(C)(C)NCC(=O)NC1=C(C2=C(C[C@H]3C[C@H]4[C@@H](C(=O)C(=C([C@]4(C(=O)C3=C2O)O)O)C(=O)N)N(C)C)C(=C1)N(C)C)O</t>
  </si>
  <si>
    <t>(4S,4aS,5aR,12aR)-9-[[2-(tert-butylamino)acetyl]amino]-4,7-bis(dimethylamino)-1,10,11,12a-tetrahydroxy-3,12-dioxo-4a,5,5a,6-tetrahydro-4H-tetracene-2-carboxamide</t>
  </si>
  <si>
    <t>Tigecycline</t>
  </si>
  <si>
    <t>10-G06</t>
  </si>
  <si>
    <t>220620-09-7</t>
  </si>
  <si>
    <t xml:space="preserve">Inhibits protein translation in bacteria by binding to the 30S ribosomal subunit and blocking entry of amino-acyl tRNA molecules into the A site of the ribosome. This prevents incorporation of amino acid residues into elongating peptide chains. </t>
  </si>
  <si>
    <t xml:space="preserve">Adverse effects of this drug include headache; dizziness; insomnia; hypertension; hypotension; phlebitis; anorexia; constipation; dyspepsia; pruritus; sweating; photosensitivity; increased aspartate aminotransferase, alanine aminotransferase, blood urea nitrogen, lactic acid, alkaline phosphatase, and amylase; hyperglycemia; hypokalemia; hypoproteinemia; bilirubinemia; back pain; fever; abnormal healing; abdominal pain; abscess; asthenia; infection; pain; peripheral edema; and local reactions. Life-threatening side effects include anemia, leukocytosis, and thrombocytopenia. Common side effects include nausea, vomiting, and diarrhea. </t>
  </si>
  <si>
    <t>C1=CC(=CC=C1SC(P(=O)(O)[O-])P(=O)(O)[O-])Cl.[Na+].[Na+]</t>
  </si>
  <si>
    <t>disodium;[(4-chlorophenyl)sulfanyl-[hydroxy(oxido)phosphoryl]methyl]-hydroxyphosphinate</t>
  </si>
  <si>
    <t>Tiludronate Disodium</t>
  </si>
  <si>
    <t>10-G07</t>
  </si>
  <si>
    <t>149845-07-8</t>
  </si>
  <si>
    <t>Antihypocalcemic agent, Osteoporosis prophylactic</t>
  </si>
  <si>
    <t>Appears to inhibit osteoclasts by at least two mechanisms: disruption of the cytoskeletal ring structure, possibly by inhibition of protein-tyrosine-phosphatase, thus leading to detachment of osteoclasts from the bone surface and the inhibition of the osteoclastic proton pump.</t>
  </si>
  <si>
    <t xml:space="preserve">Adverse effects include dry mouth, gastritis, vomiting, flatulence, gastric ulcers, rhinitis, rales, sinusitis, upper respiratory infection, headache, somnolence, dizziness, anxiety, vertigo, nervousness, involuntary movements, hyperparathyroidism, rash, epidermal necrosis, pruritus, sweating, nephrotoxicity, decreased mineralization of nonaffected bones, and pathologic fractures. Common side effects include nausea, diarrhea, and bone pain. </t>
  </si>
  <si>
    <t>CC(C(=O)NCC(=O)O)S</t>
  </si>
  <si>
    <t>2-(2-sulfanylpropanoylamino)acetic acid</t>
  </si>
  <si>
    <t>Tiopronin</t>
  </si>
  <si>
    <t>10-G08</t>
  </si>
  <si>
    <t xml:space="preserve"> Cystinuria and Wilson's disease (an overload of copper in the body) treatment</t>
  </si>
  <si>
    <t>Reducing agent that undergoes thiol-disulfide exchange with cystine (cysteine-cysteine disulfide) to form tiopronin-cystine disulfide, which is more water-soluble than cystine and is readily excreted. As a result, urinary cystine calculi are prevented.</t>
  </si>
  <si>
    <t>Tiopronin may present a wide variety of side effects, but side effects are usually limited and subside over time with continued usage. Due to the rarity of the disease cystinuria, tiopronin has not been studied substantially.</t>
  </si>
  <si>
    <t>CCCCS(=O)(=O)N[C@@H](CC1=CC=C(C=C1)OCCCCC2CCNCC2)C(=O)O.O.Cl</t>
  </si>
  <si>
    <t>(2S)-2-(butylsulfonylamino)-3-[4-(4-piperidin-4-ylbutoxy)phenyl]propanoic acid;hydrate;hydrochloride</t>
  </si>
  <si>
    <t>Tirofiban·HCl monohydrate</t>
  </si>
  <si>
    <t>10-G09</t>
  </si>
  <si>
    <t>150915-40-5</t>
  </si>
  <si>
    <t xml:space="preserve"> Anticoagulant, antiplatelet agent</t>
  </si>
  <si>
    <t xml:space="preserve">Reversible antagonist of fibrinogen binding to the GP IIb/IIIa receptor, the major platelet surface receptor involved in platelet aggregation. </t>
  </si>
  <si>
    <t xml:space="preserve">Bleeding is a life-threatening effect of tirofiban. Other adverse reactions include bradycardia, dizziness, dissection, coronary artery edema, pain in the legs and/or pelvis, and sweating. Rash is a common side effect. </t>
  </si>
  <si>
    <t>CC1=CC(=C(C=C1)O)[C@H](CCN(C(C)C)C(C)C)C2=CC=CC=C2.[C@@H]([C@H](C(=O)O)O)(C(=O)O)O</t>
  </si>
  <si>
    <t>(2R,3R)-2,3-dihydroxybutanedioic acid;2-[(1R)-3-[di(propan-2-yl)amino]-1-phenylpropyl]-4-methylphenol</t>
  </si>
  <si>
    <t>Tolterodine Tartrate</t>
  </si>
  <si>
    <t>10-G10</t>
  </si>
  <si>
    <t>124937-52-6</t>
  </si>
  <si>
    <t>Anti-Incontinence agent, Genitourinary Smooth Muscle Relaxant</t>
  </si>
  <si>
    <t xml:space="preserve">M1, M2, M3, M4 and M5 receptor antagonist </t>
  </si>
  <si>
    <t xml:space="preserve">Adverse effects include paresthesia, fatigue, headache, chest pain, hypertension, vision abnormalities, xerophthalmia, abdominal pain, constipation, dry mouth, dyspepsia, dysuria, urinary retention, urinary frequency, urinary tract infection, rash, pruritus, bronchitis, cough, pharyngitis, and upper respiratory infection. Common side effects include anxiety, dizziness, nausea, vomiting, and anorexia. </t>
  </si>
  <si>
    <t>CC1=CC=CC=C1C(=O)NC2=CC(=C(C=C2)C(=O)N3CCCC(C4=C3C=CC(=C4)Cl)O)C</t>
  </si>
  <si>
    <t>N-[4-(7-chloro-5-hydroxy-2,3,4,5-tetrahydro-1-benzazepine-1-carbonyl)-3-methylphenyl]-2-methylbenzamide</t>
  </si>
  <si>
    <t>Tolvaptan</t>
  </si>
  <si>
    <t>10-G11</t>
  </si>
  <si>
    <t>150683-30-0</t>
  </si>
  <si>
    <t>Hyponatremia treatment</t>
  </si>
  <si>
    <t xml:space="preserve">Selective, competitive vasopressin receptor 2 antagonist used to treat hyponatremia (low blood sodium levels) associated with congestive heart failure, cirrhosis, and the syndrome of inappropriate antidiuretic hormone (SIADH). </t>
  </si>
  <si>
    <t>When administered with traditional diuretics, was noted to increase excretion of excess fluids and improve blood sodium levels in patients with heart failure without producing side effects such as hypotension (low blood pressure) or hypokalemia (decreased blood levels of potassium) and without having an adverse effect on kidney function.</t>
  </si>
  <si>
    <t>CC1(O[C@@H]2CO[C@@]3([C@H]([C@@H]2O1)OC(O3)(C)C)COS(=O)(=O)N)C</t>
  </si>
  <si>
    <t>[(3aS,5aR,8aR,8bS)-2,2,7,7-tetramethyl-5,5a,8a,8b-tetrahydrodi[1,3]dioxolo[4,5-a:5',3'-d]pyran-3a-yl]methyl sulfamate</t>
  </si>
  <si>
    <t>Topiramate</t>
  </si>
  <si>
    <t>10-H02</t>
  </si>
  <si>
    <t>97240-79-4</t>
  </si>
  <si>
    <t>Anticonvulsant, Anti-Obesity Agent</t>
  </si>
  <si>
    <t>Augments the activity of the neurotransmitter gamma-aminobutyrate (GABA) at some subtypes of the GABAA receptor (controls an integral chloride channel), indicating a possible mechanism through potentiation of the activity of GABA. Topiramate also demonstrates antagonism of the AMPA/kainate subtype of the glutamate excitatory amino acid receptor. It also inhibits carbonic anhydrase (particularly isozymes II and IV).</t>
  </si>
  <si>
    <t>The side-effects reported by &gt; 10% of subjects in at least 1 clinical study listed by prevalence: 
paresthesia (numbness &amp; tingling) (23.7%), upper respiratory tract infection (17.5%),  
diarrhea (16.8%), nausea (15.4%), anorexia (13.3%) , memory problems (11.2%).</t>
  </si>
  <si>
    <t>CC1=CC(=CC=C1)NC2=C(C=NC=C2)S(=O)(=O)NC(=O)NC(C)C</t>
  </si>
  <si>
    <t>1-[4-(3-methylanilino)pyridin-3-yl]sulfonyl-3-propan-2-ylurea</t>
  </si>
  <si>
    <t>Torsemide</t>
  </si>
  <si>
    <t>10-H03</t>
  </si>
  <si>
    <t>56211-40-6</t>
  </si>
  <si>
    <t xml:space="preserve"> Diuretic, mainly used in management of edema associated with congestive heart failure.</t>
  </si>
  <si>
    <t>Loop diuretic</t>
  </si>
  <si>
    <t>There is no evidence of torasemide-induced ototoxicity demonstrated in humans.</t>
  </si>
  <si>
    <t>CCOC(=O)[C@H](CCC1=CC=CC=C1)N[C@@H](C)C(=O)N2[C@H]3CCCC[C@@H]3C[C@H]2C(=O)O</t>
  </si>
  <si>
    <t>(2S,3aR,7aS)-1-[(2S)-2-[[(2S)-1-ethoxy-1-oxo-4-phenylbutan-2-yl]amino]propanoyl]-2,3,3a,4,5,6,7,7a-octahydroindole-2-carboxylic acid</t>
  </si>
  <si>
    <t>Trandolapril</t>
  </si>
  <si>
    <t>10-H04</t>
  </si>
  <si>
    <t>87679-37-6</t>
  </si>
  <si>
    <t>Side effects reported for trandolapril include nausea, vomiting, or diarrhea; headache; dry cough; dizziness or lightheadedness when sitting up or standing; hypotension or fatigue.</t>
  </si>
  <si>
    <t>CC(C)OC(=O)CCC/C=C\C[C@H]1[C@H](C[C@H]([C@@H]1/C=C/[C@H](COC2=CC=CC(=C2)C(F)(F)F)O)O)O</t>
  </si>
  <si>
    <t>propan-2-yl (Z)-7-[(1R,2R,3R,5S)-3,5-dihydroxy-2-[(E,3R)-3-hydroxy-4-[3-(trifluoromethyl)phenoxy]but-1-enyl]cyclopentyl]hept-5-enoate</t>
  </si>
  <si>
    <t>Travoprost</t>
  </si>
  <si>
    <t>10-H05</t>
  </si>
  <si>
    <t>157283-68-6</t>
  </si>
  <si>
    <t>Antihypertensive, Ophthalmological agent</t>
  </si>
  <si>
    <t xml:space="preserve">Selective FP prostanoid receptor agonist believed to reduce intraocular pressure by increasing the drainage of aqueous humor. </t>
  </si>
  <si>
    <t xml:space="preserve">Possible side effects of this medication are:  blurred vision; eyelid redness; permanently darken eyelashes; eye discomfort; permanent darkening of the iris to brown (heterochromia); temporary burning sensation during use; inflammation of the Prostate gland, restricting urine flow (BPH). </t>
  </si>
  <si>
    <t>C1CN(CCN1CCCN2C(=O)N3C=CC=CC3=N2)C4=CC(=CC=C4)Cl.Cl</t>
  </si>
  <si>
    <t>2-[3-[4-(3-chlorophenyl)piperazin-1-yl]propyl]-[1,2,4]triazolo[4,3-a]pyridin-3-one;hydrochloride</t>
  </si>
  <si>
    <t>Trazodone·HCl</t>
  </si>
  <si>
    <t>10-H06</t>
  </si>
  <si>
    <t>25332-39-2</t>
  </si>
  <si>
    <t xml:space="preserve"> Serotonin antagonist and reuptake inhibitor</t>
  </si>
  <si>
    <t>The most common adverse reactions encountered are drowsiness, nausea/vomiting, headache and dry mouth.</t>
  </si>
  <si>
    <t>CC1=C(C(CCC1)(C)C)/C=C/C(=C/C=C/C(=C/C(=O)O)/C)/C</t>
  </si>
  <si>
    <t>(2E,4E,6E,8E)-3,7-dimethyl-9-(2,6,6-trimethylcyclohexen-1-yl)nona-2,4,6,8-tetraenoic acid</t>
  </si>
  <si>
    <t>Tretinoin</t>
  </si>
  <si>
    <t>10-H07</t>
  </si>
  <si>
    <t> 302-79-4</t>
  </si>
  <si>
    <t xml:space="preserve">Antineoplastic, Dermatological agent </t>
  </si>
  <si>
    <t>Tretinoin binds to alpha, beta, and gamma retinoic acid receptors (RARs). RAR-alpha and RAR-beta have been associated with the development of acute promyelocytic leukemia and squamous cell cancers, respectively. RAR-gamma is associated with retinoid effects on mucocutaneous tissues and bone. Although the exact mechanism of action of tretinoin is unknown, current evidence suggests that the effectiveness of tretinoin in acne is due primarily to its ability to modify abnormal follicular keratinization. Comedones form in follicles with an excess of keratinized epithelial cells. Tretinoin promotes detachment of cornified cells and the enhanced shedding of corneocytes from the follicle. By increasing the mitotic activity of follicular epithelia, tretinoin also increases the turnover rate of thin, loosely-adherent corneocytes. Through these actions, the comedo contents are extruded and the formation of the microcomedo, the precursor lesion of acne vulgaris, is reduced. Tretinoin is not a cytolytic agent but instead induces cytodifferentiation and decreased proliferation of APL cells in culture and in vivo. When Tretinoin is given systemically to APL patients, tretinoin treatment produces an initial maturation of the primitive promyelocytes derived from the leukemic clone, followed by a repopulation of the bone marrow and peripheral blood by normal, polyclonal hematopoietic cells in patients achieving complete remission (CR). The exact mechanism of action of tretinoin in APL is unknown.</t>
  </si>
  <si>
    <t>C[C@]12C[C@@H]([C@]3([C@H]([C@@H]1C[C@@H]4[C@]2(OC(O4)(C)C)C(=O)CO)CCC5=CC(=O)C=C[C@@]53C)F)O</t>
  </si>
  <si>
    <t>(1S,2S,4R,8S,9S,11S,12R,13S)-12-fluoro-11-hydroxy-8-(2-hydroxyacetyl)-6,6,9,13-tetramethyl-5,7-dioxapentacyclo[10.8.0.0²,⁹.0⁴,⁸.0¹³,¹⁸]icosa-14,17-dien-16-one</t>
  </si>
  <si>
    <t>Triamcinolone Acetonide</t>
  </si>
  <si>
    <t>10-H08</t>
  </si>
  <si>
    <t>76-25-5</t>
  </si>
  <si>
    <t>Anti-inflammatory; steroidal</t>
  </si>
  <si>
    <t xml:space="preserve"> Long-acting synthetic corticosteroid</t>
  </si>
  <si>
    <t>Side effects of Triamcinolone include sore throat, nosebleeds, increased coughing, headache, and runny nose. White patches in the throat or nose indicate a serious side effect. Symptoms of an allergic reaction include rash, itch, swelling, severe dizziness, trouble breathing. An additional side effect for women is a prolonged menstrual cycle.</t>
  </si>
  <si>
    <t>C1=CC=C(C=C1)C2=NC3=C(N=C2N)N=C(N=C3N)N</t>
  </si>
  <si>
    <t>6-phenylpteridine-2,4,7-triamine</t>
  </si>
  <si>
    <t>Triamterene</t>
  </si>
  <si>
    <t>10-H09</t>
  </si>
  <si>
    <t>396-01-0</t>
  </si>
  <si>
    <t xml:space="preserve"> Diuretic; Potassium-sparing</t>
  </si>
  <si>
    <t>Blocks the epithelial sodium channel (ENaC) on the lumen side of the kidney collecting tubule.</t>
  </si>
  <si>
    <t>Common side effects may include a depletion of sodium, folic acid and calcium, nausea, vomiting, diarrhea, headache, dizziness, fatigue, and dry mouth. Serious side effects may include heart palpitations, tingling/numbness, fever, chills, sore throat, rash, and back pain. Triamterene can also cause kidney stones.  
Triamterene may impart a blue fluorescent color to the urine.</t>
  </si>
  <si>
    <t>10-H10</t>
  </si>
  <si>
    <t>C(CNCCNCCN)N.Cl.Cl</t>
  </si>
  <si>
    <t>N'-[2-(2-aminoethylamino)ethyl]ethane-1,2-diamine;dihydrochloride</t>
  </si>
  <si>
    <t>Trientine Dihydrochloride</t>
  </si>
  <si>
    <t>10-H11</t>
  </si>
  <si>
    <t>38260-01-4</t>
  </si>
  <si>
    <t xml:space="preserve"> Chelating agent used to bind up and remove copper in the body to treat Wilson's disease</t>
  </si>
  <si>
    <t>Tetradentate ligand chelating copper.</t>
  </si>
  <si>
    <t>Chelating agent.</t>
  </si>
  <si>
    <t>C1CCC(CC1)C(CCN2CCCCC2)(C3=CC=CC=C3)O.Cl</t>
  </si>
  <si>
    <t>1-cyclohexyl-1-phenyl-3-piperidin-1-ylpropan-1-ol;hydrochloride</t>
  </si>
  <si>
    <t>Trihexyphenidyl·HCl</t>
  </si>
  <si>
    <t>11-A02</t>
  </si>
  <si>
    <t>52-49-3</t>
  </si>
  <si>
    <t xml:space="preserve"> Antiparkinsonian</t>
  </si>
  <si>
    <t xml:space="preserve">Selective M1 muscarinic acetylcholine receptor antagonist. It is able to discriminate between the M1 (cortical or neuronal) and the peripheral muscarinic subtypes (cardiac and glandular). </t>
  </si>
  <si>
    <t xml:space="preserve">Dose-dependent side effects are frequent. Particularly geriatric patients may react with confusional states or develop delirium.
CNS : Drowsiness, vertigo, headache, and dizziness are frequent. 
Peripheral side effects : Blurred vision, dry mouth, impaired sweating, abdominal discomfort, and constipation are frequent. Tachycardia may be noted. Allergic skin reactions may occur. Parenteral use may cause orthostatic hypotension. 
Eyes : Trihexyphenidyl causes mydriasis with or without photophobia. </t>
  </si>
  <si>
    <t>CC1(C(=O)N(C(=O)O1)C)C</t>
  </si>
  <si>
    <t>3,5,5-trimethyl-1,3-oxazolidine-2,4-dione</t>
  </si>
  <si>
    <t>Trimethadione</t>
  </si>
  <si>
    <t>11-A03</t>
  </si>
  <si>
    <t>127-48-0</t>
  </si>
  <si>
    <t>Voltage dependent T-type calcium channels inhibitor</t>
  </si>
  <si>
    <t>If administered during pregnancy, fetal trimethadione syndrome may result causing facial dysmorphism (short upturned nose, slanted eyebrows), cardiac defects, intrauterine growth retardation (IUGR), and mental retardation. The fetal loss rate while using trimethadione has been reported to be as high as 87%.</t>
  </si>
  <si>
    <t>CN(C)CCOC1=CC=C(C=C1)CNC(=O)C2=CC(=C(C(=C2)OC)OC)OC.Cl</t>
  </si>
  <si>
    <t>N-[[4-[2-(dimethylamino)ethoxy]phenyl]methyl]-3,4,5-trimethoxybenzamide;hydrochloride</t>
  </si>
  <si>
    <t>Trimethobenzamide·HCl</t>
  </si>
  <si>
    <t>11-A04</t>
  </si>
  <si>
    <t> 554-92-7</t>
  </si>
  <si>
    <t xml:space="preserve">Antiemetic </t>
  </si>
  <si>
    <t xml:space="preserve">Specific mechanism of action: unknown; drug is believed to affect the chemoreceptor trigger zone (CTZ) of the medulla oblongata.
</t>
  </si>
  <si>
    <t>Possible side effects include drowsiness, dizziness, headache, diarrhea, muscle cramps, and blurred vision. More serious adverse effects include skin rash, tremors, parkinsonism, and jaundice.</t>
  </si>
  <si>
    <t>CC(CN1C2=CC=CC=C2CCC3=CC=CC=C31)CN(C)C.C(=C\C(=O)O)\C(=O)O</t>
  </si>
  <si>
    <t>(Z)-but-2-enedioic acid;3-(5,6-dihydrobenzo[b][1]benzazepin-11-yl)-N,N,2-trimethylpropan-1-amine</t>
  </si>
  <si>
    <t>Trimipramine Maleate</t>
  </si>
  <si>
    <t>11-A05</t>
  </si>
  <si>
    <t>521-78-8</t>
  </si>
  <si>
    <t>Extremely strong antagonist of H1 receptors, strong antagonist of 5-HT2, mACh, α1-adrenergic, moderate antagonist of D2 receptors.</t>
  </si>
  <si>
    <t xml:space="preserve">The spectrum of effects (strong antidepressant activity, sedation and anxiolysis) and side effects (strong anticholinergic and antiadrenergic symptoms) is similar to those of doxepin.          Withdrawal symptoms frequently seen with trimipramine are stopped abruptly (agitation, anxiety, insomnia, sometimes activation of mania or rebound depression) and are not indicative of addiction (can be avoided by reducing the daily dose).      </t>
  </si>
  <si>
    <t>C1CC[N+]2(C1)[C@@H]3CC[C@H]2CC(C3)OC(=O)C(C4=CC=CC=C4)(C5=CC=CC=C5)O.[Cl-]</t>
  </si>
  <si>
    <t>[(1R,5S)-spiro[8-azoniabicyclo[3.2.1]octane-8,1'-azolidin-1-ium]-3-yl] 2-hydroxy-2,2-diphenylacetate;chloride</t>
  </si>
  <si>
    <t>Trospium Chloride</t>
  </si>
  <si>
    <t>11-A06</t>
  </si>
  <si>
    <t>10405-02-4</t>
  </si>
  <si>
    <t xml:space="preserve">Urinary antispasmodic, antimuscarinic agent; for treatment of Overactive Bladder </t>
  </si>
  <si>
    <t xml:space="preserve">Muscarinic receptors antagonist in cholinergically innervated organs including the bladder. Its parasympatholytic action reduces the tonus of smooth muscle in the bladder.
</t>
  </si>
  <si>
    <t xml:space="preserve">The main side effects are Gastrointestinal, and include dry mouth (20.1% to 21.8%), constipation (9.5% to 9.6%), and abdominal pain (3.1%). </t>
  </si>
  <si>
    <t xml:space="preserve">C[C@H](CCC(=O)O)[C@H]1CC[C@@H]2[C@@]1(CC[C@H]3[C@H]2[C@H](C[C@H]4[C@@]3(CC[C@H](C4)O)C)O)C
</t>
  </si>
  <si>
    <t xml:space="preserve">(4R)-4-[(3R,5S,7S,8R,9S,10S,13R,14S,17R)-3,7-dihydroxy-10,13-dimethyl-2,3,4,5,6,7,8,9,11,12,14,15,16,17-tetradecahydro-1H-cyclopenta[a]phenanthren-17-yl]pentanoic acid
</t>
  </si>
  <si>
    <t>Ursodiol</t>
  </si>
  <si>
    <t>11-A07</t>
  </si>
  <si>
    <t>128-13-2</t>
  </si>
  <si>
    <t>Anticholesterol drug; gallstone dissolving agent; primary biliary cirrhosis treatment</t>
  </si>
  <si>
    <t xml:space="preserve"> Cholesterol absorption inhibitor. Believed to inhibit apoptosis. Has also been shown to suppress immune response such as immune cell phagocytosis. Prolonged exposure and/or increased quantities of systemic (throughout the body, not just in the digestive system) ursodeoxycholic acid can be toxic.
</t>
  </si>
  <si>
    <t>Associated with an increased risk of serious adverse events (the development of cirrhosis, varices, death or liver transplantation).</t>
  </si>
  <si>
    <t>CC(C)[C@@H](C(=O)OCC(CO)OCN1C=NC2=C1NC(=NC2=O)N)N.Cl</t>
  </si>
  <si>
    <t>[2-[(2-amino-6-oxo-3H-purin-9-yl)methoxy]-3-hydroxypropyl] (2S)-2-amino-3-methylbutanoate;hydrochloride</t>
  </si>
  <si>
    <t>Valganciclovir·HCl</t>
  </si>
  <si>
    <t>11-A08</t>
  </si>
  <si>
    <t>175865-59-5</t>
  </si>
  <si>
    <t xml:space="preserve"> Antiviral; used to treat cytomegalovirus infections</t>
  </si>
  <si>
    <t xml:space="preserve">As the L-valyl ester of ganciclovir, it is a prodrug for ganciclovir. It is rapidly converted to ganciclovir by intestinal and hepatic esterases. Very potent inhibitor of viral DNA polymerase; After convertion to monophosphate by viral thymidine kinase, and subsequent further phosphorylation into the active triphosphate form by cellular kinases, ganciclovir gets incorporated into viral DNA, resulting in chain termination.
</t>
  </si>
  <si>
    <t xml:space="preserve">Side effectsBlood: Myelosuppression is one of the main side effects that may limit prolonged use of valganciclovir (neutropenia, anemia, low platelets).
Gastrointestinal: diarrhea, nausea, vomiting, abdominal pain.
Central nervous system: fever, headache, insomnia, paresthesia, and peripheral neuropathy.
Ocular: retinal detachment
</t>
  </si>
  <si>
    <t>11-A09</t>
  </si>
  <si>
    <t>CCCCC(=O)N(CC1=CC=C(C=C1)C2=CC=CC=C2C3=NNN=N3)[C@@H](C(C)C)C(=O)O</t>
  </si>
  <si>
    <t>(2S)-3-methyl-2-[pentanoyl-[[4-[2-(2H-tetrazol-5-yl)phenyl]phenyl]methyl]amino]butanoic acid</t>
  </si>
  <si>
    <t>Valsartan</t>
  </si>
  <si>
    <t>11-A10</t>
  </si>
  <si>
    <t>137862-53-4</t>
  </si>
  <si>
    <t>Antihypertensive, treatment for congestive heart failure (CHF) and post-myocardial infarction (MI).</t>
  </si>
  <si>
    <t>Angiotensin II receptor antagonist (ARB, angiotensin receptor blocker), with particularly high affinity for the type I (AT1) angiotensin receptor.</t>
  </si>
  <si>
    <t>Side effects: Most commonly, headache and dizziness. Sensitivity to sun light and bright artificial light. Significant weight gain and fatigue.</t>
  </si>
  <si>
    <t>C[C@H]1[C@H]([C@@](CC(O1)OC2[C@H]([C@@H]([C@H](O[C@H]2OC3=C4C=C5C=C3OC6=C(C=C(C=C6)[C@H]([C@H](C(=O)N[C@H](C(=O)N[C@H]5C(=O)N[C@@H]7C8=CC(=C(C=C8)O)C9=C(C=C(C=C9[C@H](NC(=O)[C@@H]([C@@H](C1=CC(=C(O4)C=C1)Cl)O)NC7=O)C(=O)O)O)O)CC(=O)N)NC(=O)[C@@H](CC(C)C)NC)O)Cl)CO)O)O)(C)N)O.Cl</t>
  </si>
  <si>
    <t>(1S,2R,18R,19R,22S,25R,28R,40S)-48-{[(2S,3R,4S,5S,6R)-3-{[(2S,4S,5S,6S)-4-amino-5-hydroxy-4,6-dimethyloxan-2-yl]oxy}-4,5-dihydroxy-6-(hydroxymethyl)oxan-2-yl]oxy}-22-(carbamoylmethyl)-15,49-dichloro-1,28-dihydrogenio-2,18,32,35,37-pentahydroxy-19-[(2R)-4-methyl-2-(methylamino)pentanamido]-20,23,26,42,44-pentaoxo-7,13-dioxa-21,24,27,41,43-pentaazaoctacyclo[26.14.2.2³,⁶.2¹⁴,¹⁷.1⁸,¹².1²⁹,³³.0¹⁰,²⁵.0³⁴,³⁹]pentaconta-3,5,8(48),9,11,14,16,29(45),30,32,34(39),35,37,46,49-pentadecaene-40-carboxylic acid hydrochloride</t>
  </si>
  <si>
    <t>11-A11</t>
  </si>
  <si>
    <t>1404-93-9</t>
  </si>
  <si>
    <t xml:space="preserve"> Cell wall synthesis inhibitor in Gram-positive bacteria; It prevents incorporation of N-acetylmuramic acid (NAM) and N-acetylglucosamine (NAG) peptide subunits into the peptidoglycan matrix</t>
  </si>
  <si>
    <t xml:space="preserve">Local pain, which may be severe and/or thrombophlebitis. Damage to the kidneys and to the hearing were a side-effect of the early impure versions of vancomycin, and these were prominent in the clinical trials conducted in the mid-1950s. Later trials using purer forms of vancomycin found it to be nephrotoxic. </t>
  </si>
  <si>
    <t>C1C2CNCC1C3=CC4=NC=CN=C4C=C23.[C@H]([C@@H](C(=O)O)O)(C(=O)O)O</t>
  </si>
  <si>
    <t>(1R,12S)-5,8,14-triazatetracyclo[10.3.1.0²,¹¹.0⁴,⁹]hexadeca-2(11),3,5,7,9-pentaene; 2,3-dihydroxybutanedioic acid</t>
  </si>
  <si>
    <t>Varenicline Tartrate</t>
  </si>
  <si>
    <t>11-B02</t>
  </si>
  <si>
    <t>375815-87-5</t>
  </si>
  <si>
    <t>Smoking addiction treatment</t>
  </si>
  <si>
    <t xml:space="preserve">Partial agonist of the α4β2 subtype of the nicotinic acetylcholine receptor. </t>
  </si>
  <si>
    <t>Nausea occurs commonly in people taking varenicline. Other less common side effects include headache, difficulty sleeping, and abnormal dreams. Rare side effects reported by people taking varenicline compared to placebo include change in taste, vomiting, abdominal pain, flatulence, and constipation.</t>
  </si>
  <si>
    <t>C=CC(CCC(=O)O)N</t>
  </si>
  <si>
    <t>4-aminohex-5-enoic acid</t>
  </si>
  <si>
    <t>Vigabatrin</t>
  </si>
  <si>
    <t>11-B03</t>
  </si>
  <si>
    <t>60643-86-9</t>
  </si>
  <si>
    <t>Inhibits the catabolism of gamma-aminobutyric acid (GABA) by irreversibly inhibiting GABA transaminase. It is an analog of GABA, but it is not a receptor agonist.</t>
  </si>
  <si>
    <t>Somnolence (12.5%), headache (3.8%), dizziness (3.8%), nervousness (2.7%), depression (2.5%) and memory disturbances (2.3%) are common side effects. Possibly teratogenic (a study conducted in rabbits found that a dose of 150 mg/kg/day caused cleft palate in 2% of pups).</t>
  </si>
  <si>
    <t>C[C@@H](C1=NC=NC=C1F)[C@](CN2C=NC=N2)(C3=C(C=C(C=C3)F)F)O</t>
  </si>
  <si>
    <t>(2R,3S)-2-(2,4-difluorophenyl)-3-(5-fluoropyrimidin-4-yl)-1-(1,2,4-triazol-1-yl)butan-2-ol</t>
  </si>
  <si>
    <t>Voriconazole</t>
  </si>
  <si>
    <t>11-B04</t>
  </si>
  <si>
    <t>137234-62-9</t>
  </si>
  <si>
    <t xml:space="preserve"> Antifungal; for treatment of serious, invasive fungal infections</t>
  </si>
  <si>
    <t>Inhibitor of fungal cytochrome P-450-mediated 14 α-lanosterol demethylation, an essential step in fungal ergosterol biosynthesis.</t>
  </si>
  <si>
    <t>The most common side effects associated with voriconazole include transient visual disturbances, fever, rash, vomiting, nausea, diarrhea, headache, sepsis, peripheral edema, abdominal pain, and respiratory disorder.</t>
  </si>
  <si>
    <t>11-B05</t>
  </si>
  <si>
    <t xml:space="preserve"> Vitamin K antagonist; Vitamin K epoxide reductase inhibitor.</t>
  </si>
  <si>
    <t>The only common side effect of warfarin is hemorrhage. The risk of severe bleeding is small but definite (a median annual rate of 0.9 to 2.7% has been reported). Risk of bleeding is augmented if accidentally or deliberately overdosed or due to drug interactions and and may be manifested by hemoptysis (coughing up blood), excessive bruising, bleeding from nose or gums, or blood in urine or stool.</t>
  </si>
  <si>
    <t>CCN(C1=CC=CC(=C1)C2=CC=NC3=C(C=NN23)C#N)C(=O)C</t>
  </si>
  <si>
    <t>N-[3-(3-cyanopyrazolo[1,5-a]pyrimidin-7-yl)phenyl]-N-ethylacetamide</t>
  </si>
  <si>
    <t>Zaleplon</t>
  </si>
  <si>
    <t>11-B06</t>
  </si>
  <si>
    <t>151319-34-5</t>
  </si>
  <si>
    <t xml:space="preserve"> Sedative/hypnotic, mainly used for insomnia</t>
  </si>
  <si>
    <t>An agonist for the benzodiazepine α1 receptor located on the GABAA receptor ionophore complex in the brain, with lower affinity for the α2 and α3 subtypes</t>
  </si>
  <si>
    <t>DEA Schedule IV</t>
  </si>
  <si>
    <t>CC(=O)NC1C(C=C(OC1C(C(CO)O)O)C(=O)O)N=C(N)N</t>
  </si>
  <si>
    <t>(2R,3R,4S)-3-acetamido-4-(diaminomethylideneamino)-2-[(1R,2R)-1,2,3-trihydroxypropyl]-3,4-dihydro-2H-pyran-6-carboxylic acid</t>
  </si>
  <si>
    <t>Zanamivir</t>
  </si>
  <si>
    <t>11-B07</t>
  </si>
  <si>
    <t>139110-80-8</t>
  </si>
  <si>
    <t xml:space="preserve">Antiviral, Treatment and prophylaxis of influenza caused by influenza A and B virus </t>
  </si>
  <si>
    <t xml:space="preserve"> Neuraminidase inhibitor. works by binding to the active site of the neuraminidase protein, rendering the influenza virus unable to escape its host cell and infect others. Also an inhibitor of influenza virus replication in vitro and in vivo. </t>
  </si>
  <si>
    <t>Treating asthmatics with Zanamivir could induce bronchospasms.</t>
  </si>
  <si>
    <t>11-B08</t>
  </si>
  <si>
    <t xml:space="preserve"> Antipsychotic; For treatment of schizophrenia</t>
  </si>
  <si>
    <t>Mechanism of action: unknown; It has been theorized that its antipsychotic activity is mediated primarily by antagonism at dopamine receptors, specifically D2. Serotonin antagonism may also play a role in the effectiveness of ziprasidone.</t>
  </si>
  <si>
    <t xml:space="preserve">Ziprasidone received a black box warning due to increased mortality in elderly patients with dementia-related psychosis. It also slightly increases the QTc interval in some patients and increases the risk of a potentially lethal type of heart arrhythmia known as torsades de pointes. </t>
  </si>
  <si>
    <t>Hash</t>
  </si>
  <si>
    <t>StructureStringLength</t>
  </si>
  <si>
    <t>StructureStringFormat</t>
  </si>
  <si>
    <t>StructureString</t>
  </si>
  <si>
    <t>50A647B589F94DEB7D0CBA1EAE819980</t>
  </si>
  <si>
    <t>mrv</t>
  </si>
  <si>
    <t>JChemExcelF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uv9e6M8v7W/m79f8L/7jT0r630fpu73PPtp+ML6/v79378HDBzu793d2qd/tT8f089MH+3v3d/cO9h4e7KbbIOyD/YP9h5/uPbi/d/8BfXRvfP/B/Yd7u3v79w4O7u9Tu3R7j4Dd3/90Z3d3Z+fh3oODB5+m27vj3XsHn+7s7O7cv7d3b/eARkGf7T18eP/BvYf3Dh7cv3/v04f38O7BjgePPtkZ796/v3tv5+EO9blDb967n9JnD+/vPHi4s/vp/Z39g/v3dtPd8f09AnNA3dy7t3dwcHCv12rv04N+s94nDx70wUdg0QB6b+6nhP6nhPqDPRr9pzT4e5FP9gnUp7u7n9472H14cPDw/sP+J/djWPVoSGj16drrcD/SYQ+p/fRgfO+B1+jTj9JrMMb++N59akDkvH/w4B71cj+lz+7v7j7c2fuUZmzn/h6m7d6Y/iJY+w8fPPz0AShBH+3vffrw4c69e7v7Ozs7nxKP0+wSK93ff3BvB21pfPjo4c4BTTh9dh/IPOAO9vdB5P39h/c+JWAP8dGDT3eow30a5t7BzsMH4Mb9BzsP9z+9f3Bv99Pdew93AYyo4QE76MM/2AdL3X8Y9PkQ8/uAmPuAUN5/eHCPvqQpeLDb+WhvvH/gf7QD4u7s+R/t0icPHvqfRJp04ZDs9976dEyUC97qf9J7qYvz7cZ6n+ehSzrSoaTg7loNd/R4Ui1n3q+s8l7l582ear2P0qqe5TXparyIJpGG0I23arjfbYgWon6Pvi1v6V+bQNy/VV/Q07dqCG1+q4bQ+bdquH/bhgTx4a0awpjs3Kql2CPbdO+mprebYbZsYVNvsr57u6kT83i7/tiK3q4pG9vbNWWbfLumbLpv15Qt/O2a7t++6QF8hg+kuDgdt+sPPsgtmQEuy6Ac3xI1TNteyAzea7dUBuCovduxifhat28assmNqPEPVaR3jZ9Jv/Z80LvOQU0e3yXX9yj5fwBeIKlfFgsAAA==</t>
  </si>
  <si>
    <t>C725614FF6722BF574DB2EE705636395</t>
  </si>
  <si>
    <t>JChemExcelo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NPzvS/7/C/fbR+m7vc8++nT86acH9x7e/3Tn4e7+zu7Bfnow3tnZ23mw/+DezsNPD/Z2DyKfdN+6R0S4d2//we6n+wcP7u3u7e4fRD65+a0HvU8+Tfep992dew/ufXp//2B/lwjQ/2SPID+4d/9gb58++3Tnwf1bjeIh9XX/wf17B/f3Hjz8dO/+fkoT/emnD/fv7T18sP/p3v7ew36bj9JrItvu/vjTvYfeQ+/eGx/c9z/6NN3dG9/b9T96kBKr3N/3P7rfb3W/D4tR29nxP/qUcNu753/yIH0w/tT/gNp8On4Y4PkpKHwQftJ960EP8v1bQe7D6fVFPH/XMv3R40m1nHm/shS8ys+bPRWEj9KqnuX1Zx/t4UU0iTSEuNiGuxsaQqhuBRGidyuIENBbQdz1G26CSF0/uFVDaIVbNYTuuFVD1jC3aimK6HYDR1M3jzeMaPd2EynK73ZNWUferimr0tuN6r5o3D5U/qEsfdfofPq1Zw/uOmORPL5LZugo+X8AbW1xP6IGAAA=</t>
  </si>
  <si>
    <t>6E62AAF8F47774F3EA5C8C2538F04D19</t>
  </si>
  <si>
    <t>JChemExcel5B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7g/kdpXuaYnTfXq5wmO5X/vkxf/Kz8dP992fn7Pf/7KH2399lHB+O9vd3dB/cf7DzY29/bJ7I/HD+gX3Z39w4eHOx9+ikRgvh07+H9/U8ffHrw6f194gBizP1Pd3cP9vd3P90/2KO5Bave29u7v3fv3qf3Pn14QKTd3Rs/eHCw/+Aevbr/4OAef7K/9+nB/t7u/Yc7uw/v0Tzv3hvvPrh3cEDdPLj/kD5Nd/fHD3b39g8O9nZ2Dj7d23+4h/fuPfh098Hevfv04f17u/Le7sHu3u69+/fu7d4jLkGjvZ39nU8f7j94sPvwATEH4f3gYOfB/r37+zsHuw8eEt/SezufEpz7D/cf7uw9ODhgrPY+3f90f/f+/j36b/fhLrfa+ZSQBOb7e/eImQktosDefRoNjZnGvcsv7hwcEGb3Hu7uE64P8dHD+zsHe/d393f27xPB9vHRLqG8u/PgHrW5twPK7IzpHQJNgB9+urt3j1sd0Jv3Hz64RwPdpYHgox36c58GuHP/wYP7O5/ixfv3aRZ2H+7dI4p9Sgz7cHywe58A0ScPPv10l8SH5o8oSV/vHtCoiRAp5njn3g7NKdFsh6T5wRgTcv/+7s7DgwdE0n1SNg/vHXz6cPfBzt7DBzs0xfTOg0+JmPeJLJ8Sd+zRS/eJOns7NDbq8f6ngEu0P7i3/xC97O59ytg82N1/eHCPGOf+vZ2Hn+Ktg4cHB/cfglto5gD5HtFsZ+fe3v7OvU+JVtTmUyLW/V1ioAd7xDoP0k9JN94n3B7u3icePCAhPxjT6/cIkz0Cvke40luEKE3Egz38JEZBm4cPd4nW1P3Og4f7TLAd6u3hPuaNqHmAt+4/2D0gxtnde/iQpPmASLp/8JDQ/fTg4T1qRE2IsYiL7hOFqGsi8qdEjHt7BzR6wo447oDe+nR3h+j9kIj64OHOA3ppZxfcD6gPCal9vLSLSYBcgUcAZmePBkp894B4ZIdU5v74U5KR+8QfD+4Roz08SO/RRBDjfXqPOOzggLiQ2jygge+RfO4+3CFWfog26IIEYgf/kMq7P/6UOqN5P9h5SKTepa5IcD7dv0ezc7B7QPMKkhJnETPt7ZBs0xTSS8TsBzs0KwfUltiQPrn3KU0Ktd+/95DmARNKk0k8QXK2R+PAGEikH94DqxALP3yIQd3f2SPR36XJeLhPOvr++ICmiQB9Si8Qz9AIiNNI5HZJJnaJFKDNPXzzgLB++ClN5z1g85DeprmhgRKTk04hA0hsvI/pJQEmJOkTYhvSKXsQ1U+Ju+8TLcCdDx7ShH16DzxNKFNrmv+DXUKHhBhzA0QOiLGJaDsHD1lOD+7hHZKt/YMHBBQCTiqB9M59ksv7xF+798ck+fv3HhB7kB44gCL6lFTa3u4OEZk+Ic7b59doIKQD9/cO9kiniXh/+nBvFzyzR60e3odCAaF39okLaTJ3iOl3MbwHRIGdh0TOg/sHjAJ9Bc1ITEKC96l8dJ/VKH1DDEYmh17cp+7BAvcf3iNGYlRJDxPxPgVb7z8kI0uoPoSq2hOJ+ZRl4YAEiMZPs7BDOB8AOnEASS7pmd09EuBPP0qvyShA4ZPuIjRIzokfyMizJEGhEfFpEnZYcKiHHcggcR7NzkPCnsT1AdDd/RQ47I6hB4lgxOA7+6SE6SUopd179yC1NEcQSBrDg4dkRYg1D4jxaJbpT+J1kjWSMRoDPiF+ITtBckH8TYqWqE6svkOAiAYkBxAKGjux9ac0Z6SiiHQkxiSxJKc7NDPE/J/iI+ISYtYHZIFIJ5E22iFLtg+mJ1Z7SAxLNmKbCHWf+BdMT7DBEek2dD0pjX2yYzRXMAT8GVkMGhr9R/r5Pmn77XvE6w/3wTa7JOcPYTq298c0FOJ+MkWk5KC1t0kaD0h7PCQVSyqQ5B6fEN/SvFCnpDyJ59JtqNz7UH/UAcRxN90+AG4PH9BsE8EOaGT8ESmCBwdgbpjWA7y4T0aECIXRk6ASsjSBuyAgtb1HxCXbJp/RlD3ARwcPYOsAjeac9CtNBg2VzBF/RAqDqM1eAnExd3CPgIBmexgvD4BYi7yCHSLrPSgIDJzE5R7h9CmIc++APzpgLUAMdwBWIEkgmpF8kuweAP4BNdwDbaEyMFsklcTQ+5gWcCP9t0eyRvP+KX8EW0B6g+bgAQkEzed9UmV7IPcDaBMY5TH+2CWPZR9iSp7jPTKIpFv3dzHzO+TmEfM8vE+uAtmxnQOaUqisB0TkhwdkzAj+Q9Zq8CzITJIJRFviXPKX9iBRhChNHgwZxIb6x6QRsH0Iyae7GAeNmFTPfcB5CHm7T0qfmIuwhxEgSh58SvSFm/MpjABR5gDKg5iOAO2hzT4RjNgTqoUEj/UlmIloTj7RrsgR6QrSRiSTu5/CHH56HwK1Cx6llrAKMKcEkehF9oJNCTlr92F979MMEQagFhkiIhhGRQK6B2qRd0HC8ZAcGNIG94jIBISmYY+M5H24YSD7Hlknmnm8TfKGGSSXhwwqjQoiuwMmvDe+B9v28FMY9gN4N+AI8g3uwx0gxUWqb5eb3Ye7QO4eeQT3YXeoGSkdcufgf7AFY46joZC/sQcdRFRhkSFD+oCUDXl4xPcQv4MxuXo0IzukkT+9R8qeW0GPHZBwg/RgJaINZoA8B7I05ERCPMjN3YMhJr6kAZMjwiJDSJHxuX8f7iihzCMgjKjJ/n0ylrvogIw/vDniKkKXYHIHRBYiKKkkQg4mB/L9KT4hKCSbcLUhCySPpAgfPnywu0vUYy4/OIB6vwdlQU2hZ3Zh5cicwNkiOSUBJE0GGgJjakiWnkIeYqSHDyGgJJc0FdQQmnOXrYC4SjvMSURrWF1yu3eheIjWB3DWgC/JyAO8RZprB+JB7chJIGWP7sGJsMUkKRRl3rVh5tHjSbWceb9y3PkqP2/2NPT8KK3qWV6TrcGLaBJpeK/bEC0ktD36trylf20CsX+rvhBD2oZ7mxt+eiuIiB5v1RCB960aIjy/FY4I0HduBVJi/ds15ZTA7Zpy5uBWqHLT202R5CFu15TTFbdrylmN2+GKprebKsmR3K4pp1Ju1VQyLrfClZvebrYkf3O7ppzmuV3TfWSDbocrmt5utiS3dLumnIK6XVPOVN0OVySrbjdbkve6XVNOj92uKWfRboUrN73dbN3bR07udk05dXe7ppzhux2uaHq72ZJ84e2aclrxVk0l+3grXLnp7WZLcpm3a8opz9s13Udm9Ha4ouktZ+vWLRnVUArR5nX7PqZZUrq3648zvx/aH9LCt+MFyTDfriknooOp8JB5czvUJJN9q/5Atfshl3wNUqC/W0o7Eu4hV3g9fPd2/Ulm/lb9cdPbcQX0wP1b6gGk/cO5f3+qyXrCrfqTZYfbN73d3ENJf3o7DQGD8mk4w+8/bbJYcqv+ZE3l9k1vOcOg+O1mGNb+wYfOMNybB+EMvz/V4M89GIxbbglE1qJuNfIHvGR1+6a3k3s4sA9uN/dwth98qDWQhbZb9cdNb8cViFkOBrnilnMh63636k+WB2/f9HYzjCDt4HYz/KksSfZb8g+NyO+aVWP6tbeifNctNyeP79JC9lHy/wC7IffI5B4AAA==</t>
  </si>
  <si>
    <t>1881FB5868197832BD9C1D941D42D886</t>
  </si>
  <si>
    <t>JChemExcelF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1+mJ73/3Gcvhr4tP0rf7X320YPx/u693YP9T+8/vLe3e59w/HS88+Dh/Z379+892H94b//Bp5+m++MH+/cP9j7d373/6af39/f3ep/cS+8RoL3d/Qd7D+8d0Js7B+keASLAB7sP9nZ2Ht57sBf5pPvWg3Rn/OnuvYP93d17nz7c3T+492m6vTPee7h7b/+A0Pt09/79B0SUbqt9vLh7jxDff/gpNXlAiBHNtnfHB/c6r27vjT/d8T/bTbf3x7v7/kf45OGu98mnD+73WhFhurA+7Xf56UEE2n4f2G6v1f2DXqv7ffTxUadLvNhFjBitO7EHkU9IJIgRfH74KL0mNqEuiJ739w4+3d19cO/TT+89xLQ8uO9/dPAQmHSa3Uu37413PvU/e/ApPqPp9t+9328XA3fQ7xafkVagce7v7e/v3Hv4cG/3IdNp72HQBXq4v39vn9jt4N4OMdv9BzQP98c7Owc7+7sH9N+nB/cf7vffxKzujB8SiP2H+wcPH+4cfLqzc7/72f2HDz8lJiSGPNijz3cf7j7cpz8+TXfHD3bu3d85eAAy03+73U+IhXsvEqMSPe492D14QM1owPd3WBDvPaDeP334kNC/d39/l7TYg539+/uE6sO9e7v3ibYP6LWDvb37e/u7O/cfEl91PiAZ67z06cMu4HsP+lP0ALS69yD8iDQs6cO7ViEePZ5Uy5n3K2vIV/l5s6dK8qO0qmd5TZocL6JJpCFU6a0aQuHahnsbGkIt3woilPetIELF3woiDMGtIN7zG94A8eGtGrL1uVVLMVK3avrprVuK1bvV2Ln/28252NDbNWVTe7umbJFv15QN9+2asn2/XVN2A27XdP/2TeE43I4FxP+4XVN2U241seLN3A4qOz23g8q+0e2gsgt1O6i7QdNNUNH/7VhAXLdYU/6huvKucTTp154Tetd5qMnju+T7HiX/D1fTzAEXCwAA</t>
  </si>
  <si>
    <t>9C8D15C8DF905D60F2DE8B01C9955C40</t>
  </si>
  <si>
    <t>JChemExcelh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+6/F/rzS/ub+fs1/4v/TvS3k/Kj9N3eZx9tPxjf39/fu/fg4YOd3fs7u9T59qdj+vnpg/29+7t7B3sPD3bTbRDzwf7B/sNP9x7c37v/gD66N77/4P7Dvd29/XsHB/f3qV26vUfA7u9/urO7u7PzcO/BwYNP0+3d8e69g093dnZ37t/bu7d7QEOhz/YePrz/4N7DewcP7t+/9+nDe3j3YMeDR5/sjHfv39+9t/Nwh/rcoTfv3U/ps4f3dx483Nn99P7O/sH9e7vp7vj+HoE5oG7u3ds7ODi412u19+lBv1nvkwcP+uAjsGgAvTf3U0L/U0L9wR6N/lMa/L3IJ/sE6tPd3U/vHew+PDh4eP9h/5P7Max6NCS0+nTtdbgf6bCH1H56ML73wGv0KY1456P0GsyxP753nxoRSe8fPLhHPd1P6bP7u7sPd/Y+pVnbub+Hqbs3pr8I3v7DBw8/fQBq0Ef7e58+fLhz797u/s7OzqfE7DTDxE739x/c20FbGiM+erhzQJNOn90HQg+4g/19EHp//+G9TwnYQ3z04NMd6nCfhrp3sPPwAThy/8HOw/1P7x/c2/10997DXQAjinjADvrwD/bBVvcfBn0+xBw/IAY/IJT3Hx7coy9pGh7sdj7aG+8f+B/tgMA7e/5Hu/TJg4f+J5EmXTikBHpvfTomygVv9T/pvdTF+XZjvc/z0CUdMUG6fTC+fz8gMim/u1b7HT2eVMuZ9yurw1f5ebOnGvGjtKpneU1qGy+iSaQh9OatGkK73qohdPCtGkJT36oh9PmtGkLr36rh/m0bEsSHt2oIc7Jzq5ZikWzTvZua3m4exb7drimbwds1ZWt5u6ZsVG/XlG3v7Zqyib5dU7bkt2u6f/umsPu3m1hxIW7VFMPau+XEwgG55cTCX7nlxMLFud3Eihd0+6bRieUfqqzuGreOfu25fHedP5g8vkue5lHy/wAHhL6WhQoAAA==</t>
  </si>
  <si>
    <t>344192E7DDA32742F8D4712408D91A8F</t>
  </si>
  <si>
    <t>JChemExcelt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hv99yf//svcpf/ZR+m7vs48+He/u7Xz66f37e/d2dh4+oG57n+ynD8b79/fv7e9/ur9/cO/Bg/2D3icP+6+l++MHB58+PPh0f2d392D30wcPI5/cG9/b27t3/+G9Tz/dOaCX9tK98f7ug90HOzsPHty//+mDe3ufRhsdUNcP7u0+3Ke+H+xRo37/B9Tbwc7evQef0nP/wcF+SnO9u0ew9w4ODvYf3jvYS2l29+/fp992dnfu7e0e3P80+tEegXq48+nuLn2w//Dg4W7/o3R3n4DvPdjf2bt/7+GDBw/37kc/uk/QP93ffXjvwf2DnfsPP929DZ4fpdc0V/do1A+95+AeEeLeTuej3fH9/ZSYOt3eGT8gOnrPfrr96Xhv7+HB3v1PD+7t7lAXB6fbxGL0zr0AzAOCvLN7/+DgU5qMe/ce0Jw8IKAPPvVbPUQX+w/8Vg8f3k+3d8cP93fuE2F2Pt2nKbr/6afpNiG6G+ByP4IfkRW0eHjv3n2aX6L/wd49xo+bChDiBqLRQwJPXT7Y//S+GcB+B3y3R7x5cD/8pPvaLr/FH5ME37UifPR4Ui1n3q8s06/y82ZPxfqjtKpneU26By+iSaQhhN823NvQECriVhChSG4FEermVhChlG4Fcc9vuAkidNytGkIT3qoh68tbtfz01i1FAd9q5FDLt5twKHE34xu7Z51/u6ZsGgJM0eZ1m9d5dXQi7+lfw0DYttyuPzS93VSLpbpdUzZot2vKdu9WU8NN3SxugnoPRvRWLY2t7TflH6oW7hovgH7teQh3nfuQPL5LjslR8v8A8W15P7QIAAA=</t>
  </si>
  <si>
    <t>E4A7FA4F43EFBAA982430AA4C9F9543D</t>
  </si>
  <si>
    <t>JChemExcelfB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c/SvMyBzXfXK9ympz0pv++jPz1pf1N/nvhffZl5w33nnnXfU+/fZS+2/vso/vje3sPdnfu3T+4d29v/8GnD9P98aef7u882Nn/9N7Ozv79g4fpvfHu3sHB7r0Hnx7c37l/j8i2N97/9P6Dg51P9w92D+7v0uDvjelzar93b/fhg537ezv3qNGnD/YfPtjd3f10//69/YNPqdH9Tw/27n/66T36c39nnyaX3vv0we6nDw929g4+3dk5IPrvjx/cf7C793CXmtzf2aMZvT8+2H2wt7vzcHdvb//hpw/vpQ/G+wcPH94jyPvU1QHN3sF49/7ew0/3H9x/+GBv5+DB/fTh+NODg7293f39h/voYS8lxr93f3fv/v79T/cf3tvfIaYiXj84+PT+Lj6lAe8SL+3uje/vP7y/v3/vwc7u/oNdmtbd/TGhdrCzu3P/IaG49+l9fPTw/oOdPXprn5C8R0xFHz3Yf3Bwb3/3wf17nxIFdj8d7x3c23m4Qz3sUJ879/HRw/1Pd/fu0YjvP7hHrEaf7Dy495Bot/PpvYfUKT55cI9Gee/+3u7D3d19QCIS0Nh2Hj7cf/DgHvW2i1b39x482L+3Q00/fXD/0wdA4N7eQyL23v2DnXuf7pFA7N6j6fyUiLS7v3efoD3E8Hbv0Zzc27+/d7B3b+fgPoiw/ylN8M69ew8I3A4xPLWicd27fw8I0BTTiw/HD+/tHRBmxCZA5B59Qo1paDvEQXsP7+3s0bzc36N3CA5hdHD/YD+lsRDBHuzdIyx2H947eEBtPt0FgQnCDj0knQ/HezQ/RJ69h4ThwQPAIdoQTx4QQz38lAZDcA4+JSA7ew92dnYPHu5SE+r2/v2dB3ufHjx4SP3RJyAfKELzdEAvE+PQRBBFdu492D0gDHaJuWgEe4T/3i7R5VOi0KfjXeKkPcwzMfPBw08x9gfEMg8/JW4Fl+yBivv3H+wRfxGz8MzujonGD2kWHxCONL+fMnMdgJdpENQTQUCrHZIA8N/DhwckGPfRavfBAyLSAQ2PiLazT5xL80ME2L2PGSBexEAePMRgiXcIgwfgbpqD/fsPP925Tx3cJ0316ZgYlJoR45EsEaNgsA+I8+4/IDpRM5pEouIDyPD9ByRPNACa/IMxzcXuw5094PkppoM+Iikm4YW03gfB012iLbMPycT9g0/vkYIjBvx0b4dYFo1ogh+gEZH/HonXPtEXk4Pxfgr23HlAs0uzRiL/cLz/4CHG8XDnAU06qdW98Q5Uyc6DAxJK0gMP8Ak0AjXH1JDgEZnGNNGkKh7sY5qIBUl9XpO62v50DPruHgDAHvHMg3T7/ph4hDq89wCYPSCmxWfEsTTlJP2fEiUf7Kfb98b0AgkqKTpoFUI83YYeY8GjJtQLMd429Uw0OwC9Dh4QoUjUoTUO8Oo9TOw9YgoaKqkNyO+9fVJUJAG7GMZ9Gg1R8VMS0PvUOTXav7cLoSUtQKK9B04aE1lpmERVqKldUoHbxBL0Co18l0ZLfLFP3EQf7hFj7VBjmtV9UiH7wI1efUjzAPVCWoYMFH1GnEZMuEfsc58GcnCAoZLu/JTYjWSSWPThPg+fmIIa0ixgSqGOafiY5ocE7mBvn2SdPiLtT6qP9Auswf1PQSQSGWIWkpiHUHSkbVKaBfpJuBK7k36guaNRkEomtUfjJqV7f5/oTp8R235KLLK7R3QjUpFR34YA3INK3qc+iWvIcG8T39zfo2knLrpHAkNmhduBTzCHOyRnDzA3JCk0UTQXJOKkUHc+xUc0maTbiZvu70CDABFCaWcP6ot6fXDA7EBam8hJfEOCTjYJQ6BpoTHukW7EjDL4PaBJAvMp2EvAk/olltw7IAVNre7hxd0d6o9m8CHMJDkhoBApcFIdRGAaOEke9UiqirTlAQkCcQOofR9yRpqU3qHpJhsAWA9oFA/3H+6RQJLWBjHI1BBH3d/DBOwLaffGZMfIIlDHxBKk3vcwn8TqD4hrPyWL+ymxJ5qRSqG5ok7v7ZAW4IETpzy4d5+mFIYR+D8cH2AqiV8eQlGTUwX6kyl4uENqmRTnPbDVQ1IdpCPuk54nhnkI/Fmb0dyR6tyhScZ7e2BwmBAawAOaFvqIxIwkimRvB1rpASaEPiPdQwr2U2KyB2Sx9/hV0uLEYXtEHmp5wDNOYEioyPXYAQM95GY0O2Qrdx7CphKlGBz5GjRu6po1P80mWT6yz9SQUHlIcoyBHowJbfIEyPzsw2bz3NFPsB7kZXcXrLE3fsj9MfNAC4O0+4TVPgEiad8jLY2PaGpp3nYOSCMTX97DPIFhD/AJQXsARQFgRBAyrJ8S3cikQSlAXMGN1PIBHBRSJ+RHkS/1KbEUTRLZYEg7kZncsH3i0AOiMClBcp/vWv/56PGkWs68X9mhfpWfN6QU4VCT+13Vs7ymSOAjaSGu+NG3H9/1/pI/4iDuBSCGGsI/vlVDOMe3aogo4FYNESvcqiEiils1RNxhG+6FhHtzO8Jx3HKrziS8+cDuJD66XX8cRn1ofxyH3a4/Dtdu15Sjuts15eDvdk05RgwGvLGpm/qNUDnivFVTCUxv15Tj1w+cHAmAb9cfx8m3a8rh9K3IyE1vN48SnN+uKcfwt2vKof7tmnJG4HbDQtPbzaPkF27XlNMQt2vK2YrbNd1HUuN2TTn3cbumu72mHkPe0qZInuV2/XE65laTw01vN+WS3LkdVDS93ZTv3bqlJJVu1fR+r6VH4e/ejt7cXchg7z9pEL79kPXeH4hk0L4JILdjV87SfSi7Sqrvdv1xRvB2TTlxeKumkl+8XVNOQ96qKYZ1y6YM9UMZSDKjt+sPAx5kk1tyPSzb/cG5vy0QjPx2qgpG/n7IJu9PJDgV90MGen+kJdd8K6ThRX36oTECHLxPB5XULYEcICd+K5wfIHP+gSQyqfd+d/xDA6q7ZjWDfu2tdNx1yyDJ47u0wHKU/D+QKt9IfBkAAA==</t>
  </si>
  <si>
    <t>772741F3C1852EA8B13F0D0930BB3982</t>
  </si>
  <si>
    <t>JChemExcel8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Cp/Pel/vul/m0+feH96/93UtL/Pkrf7X320afjnYOD+/fu7+7t3jug3z79NN0fP7i/f3D//sOHD+9/unNAmHU+IZzvjff3dncffHrw4MGDe3sPDvb3eh/du5fuEfAH+w8fPKBXd/bpt/3uR/d37vVevJ/uUH/3DnYPPr23v/Pg0we79++n2zvj+w8eHny6s0/N7u/e26MXt3fHD3fv3b/38NOdh/Ql/XaQbt8b7+0/2Ns9eHBvl16+97D/yc5+/81+B7sPD6J4dN+kkXd7OHhI7fbH9w92Dh7ScO7todWn0Y/uE7T9+w8+fUiUoF4+3Yn0cO9+jGrE9HufBjOX7u6P9/fDj0gyaPaI0Q7G99xfH6XXNPXU0cH+7r2d/Xv7Dw72aF73mTA7D/zP7t+jt/Y/PfiUZv7+3i6Rb3fvwX66O967539GLL03fvAgaNZ7kRr14B/goxCNTx8MfRa++imD67Tb67d70B/Bw097I4iMM9JqD3MRjhMMTNLhf3K/D32/j+vAkO6NieXCIdH073RJu8P/3/6UkA5a3/ajh4T0TR+RxrtrVd7R40m1nHm/sg58lZ83xEvQgaQxq3qW16S8P5IWoj2Pvvv4rveX/BEHcS8AMdQQyvZWDaGSbcO9zQ0/vRVEqPdbNYQR+HB6hCA29PXwVg1hkMKWHh7fvh1WYtRu1x3bvts1ZRN5u6ZsSW/XlA3u7Zru3L4pm/APnNxPezA2DiJkuq8xa+xu3K4/0PeDuQSuzM4HAhG/6HZIs/v04XOyF/LgjTjzD9WJd40PSb/2/Mu7zvlMHt8lt/Yo+X8Ac7Sqq/IKAAA=</t>
  </si>
  <si>
    <t>31BBB6AAB719696C80DFF9F584B8B860</t>
  </si>
  <si>
    <t>JChemExcel8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4/99qf93/53p3y+8T07Kj9J3e599tL0/3r//cPfB/b2dB3v7nz749NN0+954f+/gwe7+zoN7+/f3dwkz+ujhzv6nOzt7+/sPHu7e3793kG7vjQ8e7O/ee7i7u/Pw4QF9j2b37lOj+3sHe/fufXpv794DNNvf3z+4d//hw3sHO9TV/X6zPXy0s/fwgDp7cLD/4NOHD9Dp/nj3AWGyf2/n4YPdvd371Of98af3DqjHewRy59NPH97HRw/vP9x5eP/e/sGnn366s38fLx7s7n96f+8evX9v5+D+w+hHOxiTh9j+PXxGoH1kP+1/du9gL90d7+/c3/10f2fn092H+zsH+/vpHmHrf3S/1+jTvTiwAUx6n3V7+DS9N36wG/ZJ03kQIHY//ZRIGzb6dPzgYdAoPRjfuxd+0m1zP9Km1/1+urs3vh98tv9Rek18djD+lMZ6sLNLpN/Z3314L30w3v/04f49grBPE7mz8wCI0pB3d3Z3H95/QIy2S6M5+HTn3qcPdg4O7t17uMdd3sOXOzv374EX9w9Alf2HB/cJ+O5D4liSGZDu3sNPHzzY3bn/6UPijQOQ89MdYkdilf37n+7s7h8QA+wSMxFMYnyi8x7x9QN8RnP+8P7+/fsPdnbv3yMJIHD39h9S79TZLvHQwaf3H9DUEiyv0wPMzsPd4KMeavcIe0zpvXs7OwT5/r1PiSN2iDE/JaZ8QNL14OEecXT3k093gf59mvud/Xv44uDBPZoOQpVmeveA2ekBjZZ4sP/Zw967+zu7ELfdA5KXvU937u+D5rf7ZJ8g0STvPth7sAfKfdr/iAXy4P7e3h5N/cOdT2nmdvsf7d2mv51P++N+gNndIaV812rlo8eTajnzfmU1/So/b/ZUU3+UVvUsr8mc4EU0iTSEPr9VQ2j9WzWEbbhVQ1gQ23BvQ0PYmVtBhDW6FUTYrFtBZMt2K5BiAG8FVOzkraA+CFpuBMqG91ZN79+6JYz37WZd7P2txsRN3cxvhMrew+2gspNxO6jsi9wOKrsst4Iqns3toH4aNL0R6i05ALjebl7F87pdU3bQbteU/bjbNWV373ZN2Su8XVNAvZ1gi495q6Zgl3vR2eIfqoLvGieafu052Hed9508vkt+/VHy/wANCpFm8wsAAA==</t>
  </si>
  <si>
    <t>B9228B639EBFCEC652B49BFD6FFBC1FB</t>
  </si>
  <si>
    <t>JChemExceln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7epx+leZljIG+uVznRJXX/veB/v6T/3F9D/73Qdtq6/EhoWp7Ms/qC4O6kX++/Xfr/9q774KP03d5nH23fH997sHewt/vpzv2dBwef3t9Lt/fHO/ce7u7v7R/c27u/8ylRqfsRNdobP9i5v//pvXuf0sd79w/uE3ACtfvgYH/v3sP7D/fv78c+e/Bp/1Waim1ilnsHuzv3d3cfPPj0U/rx8F7/Q8Iz3nJ3vPfw/v0H+zs7+4TvfZq/vfGnew/37t/bJfgH9N3Bp+m98UP67N7e3v4DQun+Q5q5+/Tep5/u7t779OH9/fuf0jx3P3mYfjr+9N7O3sOd/Ye79x7c+/TTe+kDAnTv4acPP929t7ez++nDB71P7qcPCc6DT/cPHty7Ty8/IG4hefj0Hn3/4OD+pwf3gXvso/57PXJ92p+O3f5H9/ovHtzrzcf9vf4c3cd8dNniYbr9KYH79P7OzoO9Tx/ufPrpw/1oq+5HEVgP+rB2CI2DMc3e7oOHBxj9/gOajN398cFuQJ+P0msw7b3xg0/3drznPkb78OEeBrN/3/+KZJ1Y5tOD3Yfe80Da+Z8d7AuI4LOUewo+ehD5rN/Dg4fpzvjg/oGHyJ4id9Ob9/vNHkTG8AE99N/cIfYkgfE/Ij3Zg3/v1ugOdPDAb/WAJHL30+Cj+xDSe/5HD7nRQQ+9nU97Tfvw7kOeSdqDRjwEn0NIswPdoNW9PiPtf9p/9T5GukM26a41SkePJ9Vy5v3KVupVft7sqaH6KK3qWV6TNcWLaBJpCOtiG+5taAijdyuIMI23aggDequuYWZvBXHvtg0J4sGtGhKOD2/VkD2AW40GLXdvBXOX3YnbNWWv43ZN2Tm5XVP2YW7f1E3nxqbsEd2uKTtOtyKr+Fe3g8pu2K2gird2K6ji1N0KKoblNb1BmvZuN6/iTN6qf/E5bweVXdPbQWUP9nZQ2dG9HdR7QdMbcb0dC4iHfTsE0PR2LAA3/XbTKl79rfrnpreT13v7iBFiTfmHGou7JtqhX3uR0F0XJiWP71IAdpT8PwX2/B+cDQAA</t>
  </si>
  <si>
    <t>13DEBCD6B38B2FDE626C28FDBA757529</t>
  </si>
  <si>
    <t>JChemExcelK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QkfZHiX/fT/fVl8In571n410fpu73PPtoZ7+7fu/fg4d7Bw3t7+3v7Ow/S7Z3xvXt793c+PTjY29m9t/vgYboz/vThg4f39/fu7z548HD/Uxrf3nhvZ//ezu79+58+3Hl4n0a0N/70YGf34MGDvYO9/U8fErB0d/zp/sMHe5/ef7i/fx+td6nV7t79T3f3Hnx6/8HD3Qe7Dz9N743vP9zZu/fwYGfn4OBT+jbdHz+kv3cPHu7tPdjdJ9zST8d79x/cpyYAtEfo9T7pvfVwNwK51z3huEcj2bu3T4h/SsPduc8U2H14n9oQpHsHnx48vH+PaLBHDWmI6BFv7Oyl2/Tywf4ekY9GfECjf3gfnz34dGf30/v3Hn66s0ejPki37433Pv30PvVKFLh/f//hQ3z0YB+YHTzY239IuD74NN2+P97bP3hA5H3w4NO9vYfUPz6jBp/eI/wOCN49dLBPs7FPuO/t3t/99MEDwo2gEeEPMPqdnXsPPiVw6fbe+MHu7sN7D2gED3Z29h7c3we0Xfr9PgZ1f4cmcxfQ9h7S7N47uLf/cP+AZpaAHezt7hw8+PTTe5/u7jzY2+E+D+7v3ifsHj7Y37lHn6fbn47v3X9ASO3SKO/d29/jjw6ImQ6Yag92iDLo8YDa7+3u7u/sPABDpdsPxvcODujdvXs0rk93Pr33UXq9B7l/sPfggIb1cJ947B4NjuZv9yGR5+DeHhHq4GD/ISaZeqfhEwq7xK5E3f0xUfsBjYkgfkqMR3N8//7e7r2de3t7NNrd+yRFu2Pi7E+J1sSrNE4aGSZ5h3j3Hg1of/c+zTahhw+p+cHe/Yc0WCILcQ8m/t6DXRr2wf79nXs7Ow8j7Q4e7oPgO+B999kePiMq+J896LV7uPMpPgNxd/d2iNvu7e/vCCPd2/Hb9T4hvkxB39379NLDT/d2D0giSDCIMx7cJ+IQxYk1791PH4zvH3x6D1SlOSd2og+o1/uf3tu/93Dn3u7BzsP04fge2GVn/8H+7h598Sl9Qnx0j6hDQA6IUvdT0qbU1Q71R9Q9IMEiwu4RSiQQJIOYMppxakTyRvN6f39nn1rThJCWJub59N494jmaN+KWdJf4n1jwwS6JIY2WyE94E9cTBfaB9ackADQ2EoL9h8RSJDlEmgc01/T2Dk3D/u7+pySXzBD7DyAe9/ZpRj7d239ArxHXH5AsH0BKH9C00Xh3SDoIz10SzPsPH4C1aP5IBdwjxiSpoc9I69+1av/o8aRazrxf2Q68ys+bPTUFH6VVPctr4lu8iCaRhtDft2oIs3KrhjA+t2oIE3Wrhru3bQiLd6uGsIu3agjraRvubWjINvZWIMUU3wqoWOzbQWXDfiuoB0HLjUDZU7hdU3YobtX0wa1biodyq0EB09vNvbg7t2vKXtHtmrLzdKum4mPdrim7YrcigHhst4PKjt3toLL/dzuo7CbeDupu0HQjVCBwu4llut5uYsWNvR2u7O3eCqo4xbeCKr7z7aCyi30rqBiW13Qj1F1x2vtN+Yfalbsm9KBfe2HJXRezJI/vUjR0lPw/wtdygykNAAA=</t>
  </si>
  <si>
    <t>99DFC30B0DE903B179944B71249A67B2</t>
  </si>
  <si>
    <t>JChemExcelJ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79z9K8zLHIN5cr3KiSfoiPaH/vuR/zV+R/0rbJPblR+m7vc8+2t4f39u7t7f/6cGD/Xt79/cP9tPtvfGDA/+j+/hoZ9f/6N6D/mf3I69+mm7vjPcfdJt1P9u/n+6MDz7dob/29h/c39m7f59I2v2IKNh7816kB/osAm1vvPtwf3d3996nD+/d27l/8KD3yQG9tnvvwf4+vbpzsLu3d7BDuO6O93d2P929T+N68PDBLk0ZjXKXutvZ27n3cP/gwb2HGCYx3M7B/b1P7z3Yu//pAf0kYHsE9d79+zu7O9TNPk3mzvghfbC3+2DnwYN7u/u794W093YJwfsPHu7dP7h/b/9Bujum3vZ3iSz7uw/3Dvb29/qD5A6CQe4/eBD7qPfmwQ6jSz+ow4cPaWiE0r3+R3uEx86nnz64f4+Q+/TB/v3dfXxE5PU+uneQ3hvfexC0SvfHu/tBo14bYv4uJOL/A+LF4L2P0mvw6O4YGN07ILruH+x++nAXyIYfMYX26Lf7D+9/uvPp/Xuf3v90j5n04f7Dnd0HNJX3dh4+2ANB9qnh3qcP6aVPabofECV7zWRG93e6n+2MP73nf/YQU7qz8/Bgb5f6fbiz92CXBvbpA++TTw9Aor1dvxF98PDA/2Bnr9vm04cHXUgPaOLuj+/t7zzY26VpJK4lTPDJQ2LZTx8QH9PHnx6kn44f3N/f2/l0h2Zv98GnpIwOaCKJXXd2HuwT3Pu7+GDn031I3kMiwKef0juf0pQRQxLliaNpyh6Oifke3ntIk/RgB2zf7foAlNw/CMmxfX9MHOQTPN0mfB4GhEy3H4wxouCjbqtP70eBdWfq4f0+M9wf+Kzz7j0aZY8ZPu1/BOW0Q7bhrjUOR48n1XLm/crW4lV+3uypwfgorepZXpNVw4toEmkILX/bhvu3aggTZRvubW746a0gwtzdqiGM4q0awnTeqiEb2Fu1FDt8u6Zsrm/XlK367Zqy8b9V04e3bsn9u+nc2JSdjlvNvPgmt4PKLsztoLKnczuo7BDdDur9oOlGqHChbskC8MJuxwLwz27HAeLW3WpU4v3dDio7ibeDyr7k7aCyy3k7qPeCpjfR6nYcIK7urfoXj/hWUMVxvh1U9q9vB5Xd8FtB5WFFRZt/qLm4a+IO+rUXk9x1AUvy+C6FQkfJ/wOy+5gkJg0AAA==</t>
  </si>
  <si>
    <t>11F805622E5D6F17297C3738B7237EC1</t>
  </si>
  <si>
    <t>JChemExcelr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5b8X9P8v6d/X9O+X+pn+91H6bg/EuHfv3qcPHu7u7R7sHezc2zlI98affvrg3v2Dvf17n97/dOfTTz9N98c7O7s79x7QB/sH+/QbDf3evf0Hu5/uHzy4R+/ee3A//ZTeO7j3kF55uLu/s/vgXnpAr+3tPNh/cG/n4acHezsPI588JED3H9y/d3B/78HDT/f276dE808/fbh/b+/hg336gD6mRgcPw0+I8Pv3vI8O0t09gn1vd5eAfrp/f+8e0Wj33jgY3D612h9/+mBn/wH9QSM6uHewH/0o8mIE/Kf00f7u/sP9T3cf3vt0H7NwTTTdPhjvf/rQex6k2w/He/tp74uHN35BxHhwMPT9Pf+TA258/0GAd7r9YPxw59N7ezsHDw52H+wS7txsZ9frAH8QPe/vd3qgId/b7X420G6PePquZeqjx5NqOfN+ZS5/lZ83e8roH6VVPctrYkC8iCaRhhCHWzWE0NyqIUTrVg0hgLdqCDG1Dfc2Nzy4FUSI/K0asmK4Vd9ouXvrlrebHNFFtwIqKut2UFmz3Q4qK8DbQWU9eTuoe0HTjVCBQHRO+Yey/12j/+nXnm246wxH8vgumaSj5P8Bxioc7q4GAAA=</t>
  </si>
  <si>
    <t>FBBF5A6DEA809DF33C4335F0952EFBF7</t>
  </si>
  <si>
    <t>JChemExcelV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PUlfpO7fL/Wn/99r+lQ+73z7Ufpu77OP7o/v3dt/sPvp/sGDe7t7u/cO0k/Hn356cO/h/U93Hu7u7+w++DQ9GO/s7O082H9wb+fhpwd7Ow/Th/TW/Qf37x3c33vw8NO9/fuRT/pv9SHTZH366cP9e3sPH+zTS/Rq76ODdHePIN3b3SUQn+7f37tHpNy9R919+uAhYXywd7Bz7366uz/+9MHO/oOdewR55+DeAQH/lN7b391/uP/p7sN7n+7vpbsP6LUH9Mb9g3sPPt3fv0/vHdB7u/d3HjzYuX//4d7+w3vRjzovxoDvEePt3N89oLE+2N/bITqkuw/He/fCj6jVgwf+R5+me8SR9w4OPr3/cJ96O7j/6X70oz74vT1CdO/+PqG6u/Pg008jH+zTS5/u7e3vPtx7uLP/6b296Ee917rdRxD6KL0m9tn+dLz76Y733Evpo4f3/I+I7XvN9uLNDsb7D9Jtotp+p7H7It0mDnlwELwZft/5/dOH/sNf3PM/OVCI9GN3fH+/03rTV3vjg4OQC9F8b5dounPw4GD3we7DT+9xu3u73XfvjYlDt8G1e92vYp+Bfv5HB/zZw95AMHb/MyIEmDBA/dOBdj14pPTuWq139HhSLWfer6wGX+XnzZ5qwo/Sqp7lNalrvIgmkYbQl7bh3oaG0Kq3ggjdeyuI0NC3ggg9fiuIe37DTRCp64NbNYTxuFXXMB87twIpluh2Tdlg3a4p27XbNWXzd6tRiZW8HVQ2preDyjb3dlDZNN8O6r2g6UaoQMDN68am7BPcDgE0dRN7Y9PbTaw4Irdryv7KrRDgprebWPF+bteUnaTbNWVf6nZN2eW6XVP2zG7V1Dhwt2iKYcWb8g/VwXeNl0q/9jzYu869TR7fJcf5KPl/AHs39D1UCwAA</t>
  </si>
  <si>
    <t>8A90E9ED2CB64448880F09257A9F785D</t>
  </si>
  <si>
    <t>JChemExcell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6v/3ovev+e/L9KT8KH2399lHO+P7Owc7nx7s3fv04ODTgwd799PuR/fS3fHB/u6D/Qf37h882N1/uPNgv/fRwV7kve2d8cHe/U93dw4O9h/u7+5+uhf/rPsmjbfXZe+T+7vpvfHOwYNP7927f29n5/7evb17D9K98ae7fqt9vLjzoPMRdfjw/gG1JCwfPNg/uP+gj9f9yEcP0+298e79h3sPd3Z2Pn3w6cO9HcJ1+954nz769OHu3sH9hw9oFPv9z/Y/7b67+zACbn8vfTDe+9Qf1f5H6TXN1Kfj+/v058GnewSOCL5LfMkNvE/2x3v3/E/2QI+H4Se744d7wVuf9hr1Ae0Sye4d+J/sHDCB7h3sP/h0996Dnb0HO4T+Do0SHQQf3sMwD/YePry/8+n9g4Od3Xt7D/fSberj4f79BzTseweYjfv345/13u31u/vgYL/X7y4T/NOH/kf3+63uRcDt0zC647338FNG714IjxQHifldK+dHjyfVcub9yoL/Kj9v9lT2P0qrepbXpKDwIppEGkJD2IZ7GxpCj9wKIrTNrSBCJ90KIjTXrSDu+Q03QaSuD27VEOryVg1Zqd6qpejeW41HVPTtoLImv11TVvi3a7pz66awGG7eNwJlQ3M7ArA9uh1UNlu3g8rW7XZQ2QjeDur9oOlNuO45FvCa8g8V6rvG0NOvPSfgrvMQksd3yfc4Sv4fvB32/pcIAAA=</t>
  </si>
  <si>
    <t>112728ADAB9C592A2C205DADAAC23D0E</t>
  </si>
  <si>
    <t>JChemExcelO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yzj76dnqRf0v/dfy+Cv7qffcn/nZQfCY3Kk3lWXxCc3XTna/y3vftR+m7vs4+IyClR+tO9g3sP73+683B3f2f3wV76cLz3cP/B7qf7Bw/u7e7t3nvQ++QgfTB++Onuzr0H9z69v3+wv7uzf7/30f30UwL94N79g719+uzTnQe7kU+6b/U62+8hRJ/0sP60/9E+8cnew3ufPnhI7xzsHezc+7T3yf10f/zpvU/37n96b2dvf/fB/YNdanPv3v1P9/Ye7N3fu7+zex9t9vbv7+98eu/g3s79nZ09/uj+waf39j6lLu/fP9h5CNAPH+482Nk9uL+/t3v/3sFDGhqB3tk7eLhPmD+8R91/On64t3Ows//w4N6nDz998OAetbm/S70dHOzdf0DQ9mmsO/s7Bw/29wnPfepgL71HFNrxn/10d398sBMOH3O5P94lRrvWmd3eGxNVD4i8n+4/fECjISS3dwmY/9nBvXR7Z7y/53/24ICg3du/R9NycO/+DlFinxh9d3xw0Plob/zp/eAjYPCw+8nDTze3iYDp9HXvIcYXYtTHZz+GNQ3u4f29HSLw7v2HNDE7e6DL3kOa7N0HB7s0UZ8SrO17Y5rxhw9379P7nz68v/MQre493CVI9/f2aOIffnofxNu5t0N0//Teg4cP9z7d39/HZ/sP7u3QzO/vaysi+87+pwf7hNHuARH0IXVJY977dOce8RS12+Fm++N7e8RoB/fuHezv3SNu7NGBNAnP44Px/k7Ysv8Rqba7VrcdPZ5Uy5n3Kyu7V/l5Q6zByu6jtKpneU0KBC+iSaQhVOKtGkJx2oZ7GxpCvd4KIpTwrSBCVd8KIhT6rSCy2r8VSLEOtwL6adByI1A2N7drylbpVv3vBy03AYVVu92sizG8XVO2mbdryqb1dk3ZAt+uKRvq2zVle367pvdv3VQ8hNs1ZUfiVk1BgVs2Fdfkdk3Zg7kVX4EH9qI8wD9UBd01rhj92nPT7jofLnl8l7zDo+T/Aeh4P4A5CgAA</t>
  </si>
  <si>
    <t>C456089F88675BE847D8C77AE3300224</t>
  </si>
  <si>
    <t>JChemExcelm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ivxep/PxSf5r/un/zJ+VH6bu9zz7afjh+sPNw92B/Z+fThzsHOw8P0u2D8b0H9+/v7B8c3KdPdj7dS7cfjHf2dw/27j/49N7e/b2dvQfp9n168WB3/9NP93f39+49fEit9unF/f1PH9zffXgf/1Gre/TizoODg3sPHzz49MFDGs32Lr34YHfn4d6D+w/vPaRO6M0devPe/r2d3fv7u7uEzcP9e+nO+OGnO3v7Bw8/ffBg91P68H7so73xHkHZO9g5eHh/f3+PcEvvjT/de/DpzoO93d17D/b27n8a+STyWuej3YP7vff2exgQJbof7fYgffqgB2nn03Sf3tvdO/j03r17ezs7e9Rd/5POa/sPe7Dv92m892n6cLy770Pa/yi9ptneG+/c2ztId8d7nxIE9+yn8o37hNjwh9/q3vj+g70HD91DFLm3Twj3vxgeCfHSHk2Ea3twAJ7b2Q8+2+9/9umn6fbe+P6B/5mw8L37/mcP+80e3os22x8fPAx6hdR8+mnno0iryBBIc5GeuWsVzdHjSbWceb+y5nmVnzd7qnw+Sqt6ltekIfEimkQaQkXdqiEU2a0aQt3dqiGU4q0aQnXeqiEU7K0aQg3fqiEra9tyb0NL0em3Aiqq/3ZQ2ULcDiobkltBfRi03AiULdPtmrIBu1X/3PR2Uyrm8HZN2Wrerikb11vhKjb4VlDFVN8OKlv020Flw38rqDys203sp/AkYi35h6qVu8bXoV97ftBd5yQlj++S+3WU/D+zQZvWmgkAAA==</t>
  </si>
  <si>
    <t>98B2394B02A6BF6CFB0B7F1FC9C0F61B</t>
  </si>
  <si>
    <t>JChemExcelx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8L8v0xf2X/vfR+m7vc8+2t4ZHxzs7u7vfnpwb3f33sHe/v10Z/zp3v29nfuf7u3t7H66d+/ew3R3/On9+59++umD+/cPdg4OHjz4lD7affDwwcHO/YP9/Qe7+5/uHKQE7N7ep9Tuwd7Op/cP7j98mG4Tme4/2Nl7cHB/f//+7t4+Ib033tvdwW+7B3uf7u/u3Evvjffvf7pLjQ4efrqze39vL90fP9zbeXB//+He/qf02f0Deuvhgf/WPmGwvx/A+ZRQv3/v/s79vf29hw/u3fv04X189PDT/Xv3798nQHuffnqwT73t7e8QTgc8yAf7+wT7waf7B7v07c6D3Yf39tDmwcP7ew8eHOwS1rsPP71PU34P1OC/9vd29j6lTx48eEB/7z3cefjgIQ3vPqH9YP/Bzn0aAyFF0PY/Sq/3wHj79wn7hw/3Dx7e2/9074Bwf/Dg4cOH99AJ/Uu/g+xAc+fh3i5RmQA+AEEPCPqDT2lqaGAP9gkzougukYXotPuAXt95uI9mOzuE/4Odg093ieo7B/dootCSqHB/9+EuzdADgntAU7Q3PnhwQA33792j8RCNPsVnRMeDvb29T2ls9x7ufkog98f30ISodkC9HDyIfEQ93B/fP3i4t7dLbxG994BLt4OD/iiIkbuDvbfbJckBsXyHbsRc/bHeu/fgXp8oO/dJ1O5aWTt6PKmWM+9XFr5X+Xmzp/L3UVrVs7z+7KM9vIgmkYaQUttwd0NDyPKtIELibwUReuFWEHf9hpsgUtcPbtUQyuhWDaGyboUjlNbOrUCK/rtdU1aTt+qfm95uJh+8V0s36RsxZSV+O0xZ198OKpuE20Fly3E7qGpgbgN1P2jqQeUfKn13jVWkX3sW864zp8nju2Soj5L/B9bCR17EBwAA</t>
  </si>
  <si>
    <t>E0B472FBD7CF999D65F73AF12A5E78C6</t>
  </si>
  <si>
    <t>JChemExcel5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XKf41v31p/9JPyo/Sd3uffbR9f3xwcO/gwcH+g4NP79/befgw3d4f37+/s/vw4b37nx7s3d/59F66fW+8t/vp/b2dvXv7Dx8+2Nl7EP1ol2DtHezv7u7e2/304OHDvf5HhPb2zvj+/sPdT6mH3Xv7Ow/v3z9Id8aEwf3dB7v3dvYPHuw8ePhpukfUPdh9+One/b17u/d3d/cP0ntjanPw4P69B/u7+/Thzv1eq/sPurAOiFq9j3rvfXq/B32v90n/tQf76YPxp/eC1z5Kr0HY3fH+w/0HO/dp/Pfu7z3c3yFq7I33Pu1+FmlHXLePXwk+NyfyfkofHuwGH356a3gf0u5WuBxguu7dDz4CQXf3bmoVA7U//vTToEsgQUJz10rN0eNJtZx5v7IYvcrPmz2VpI/Sqp7lNYk7XkSTSEPI260aQipv1RCye6uGBPHTWzWEHrhVQ2iLWzWETrlVQ9Y8tuXeDS13bwVT1NitgIq2ux1UVoq3g8q683ZQWcXeDupu0HQjVCAQnVL+oUx915gN+rVnUu46e5M8vkuW7Cj5fwBWOpB25QYAAA==</t>
  </si>
  <si>
    <t>D403FB38289FA2973EB48623BD884E0F</t>
  </si>
  <si>
    <t>JChemExcel4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XKf7Ff196v9v/yo/Sd3uffbS9P35478HO/YODvXv39x7uUxfb98b3HnY+2ht/uud/RL3GmkWAEbkPgo/up9s743u7wWcP7/cb3ttPd8d7e9Lbp/v8FX3y8KH/yYP76b3x/Xv+R/fT/fG9Hf+T/VijLqR+b5/u9THdf9CD/ml6MN4/CD75KL0m0hJ9Htzb37v36ae7Ow/39/fvpb1P7qd74x2i4v7+/XsP9z79dH/nwUG6M36w8+nOp/f3dx/s3zu494Ao1v2IaNN9Mfoe4U/z9ukuTQp99PDTT+/t9ZoRE/Wa7e/GPyOifUqztXew9+kejfbhwwOwAY394YPdh/sHO/v3CbUH8c+67x70P/r0Xg+7nQf00Q5JzF0rMkePJ9Vy5v3KMvQqP2/2VIw+Sqt6ltck63gRTSINIWy3agiRvFVDCO6tGhLET2/VEErgVg2hKmzDvc0NH94KIqudW7UU7XSr3kWJ3Q4q67rbQWWVeDuorDlvB3UnaLoRKuvi2zUFBaJzyj+Uq+8ao0G/9gzKXWdtksd3yY4dJf8POs4oqOMGAAA=</t>
  </si>
  <si>
    <t>54BB31A44F655E707D9DA29FC325F053</t>
  </si>
  <si>
    <t>JChemExcele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T9Iv6b8T/u+F99N8Jv/JX8/4P+/3j9J3e599tDN+8OlD//k0JTLS/x882PGf++n27vj+frp7b3ywf//B/XsH9/cePPx0b/9eurs3vr+7t/Ng/8G9nYefHtCYiNK7Dw7uPbz/6c7D3f2d3Qf3ox913tt52Ie+/41B300fEuz9B7uf7h88uLe7t3vvYXpATXZ37j249+n9/YP9XRrkA4Lz4N79AxrXpwTs04f7sY+67927Bexem/2bP7iHgd078D/aI8D3drqf3GIY9wn2vU8fPKRXDvYOdu7tp5+OP931P7lPbXYehG32CfRH6fUeJPHevaD1A3AE9bu3d29nb//Tvfu79z+9f7pNbL7da3tvuO2n472HD/Yd/x2k2w/GO5/6Hz2ItCJ+3B8/uN/97N744YH/2cN4s70x0dlvxgh++qD72c54917w2T5Jxqf39u4HktH7aH/4Tf+jg3SP5olkfm/8cD/4Zt98sz/eP9jDxOzdDxrcp9l78LDzEXEG4dH/Rj65Hx/i7Ulxb/8eCenBg4PdB7sPP733ANTe2d3d9fjlU7R7uBOQ+4A06F2rQo8eT6rlzPuVdeqr/LzZU7X6UVrVs7wmjsOLaBJpCOVrG+5tbrh/K4jQ4rdqCF1/q4awCLdqCLtxq4ZsXW7V8v6tWwLm7q1ailG7XVO2fbdryibyVnPJTe/fDiob3NtBZbt8O6hsvm8Hla387aCyM3A7qPeDpjdCvd3Eihdyu6bsrNyuKfs0t296u4nlprcT1F12pG7VVPyt2zVlt+x2Tdl7u33TW87WQ/EF+035h6rWu8aTpV97Xu5d5wInj++Sc32U/D9HfOxeeAsAAA==</t>
  </si>
  <si>
    <t>DE4A9C5015F41C10B063CBC28A85FF1E</t>
  </si>
  <si>
    <t>JChemExcele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6Ij2h/77kf8P/vuTvvkxfe5+9+Ch9twey3bt379MHD3f3dg/2Dnbu3XuQ9j66n+6NP/30wb37B3v79z69/+nOpwcH6f54Z2d3594D+mD/YH93Z/8+Ee7evf0Hu5/uHzy4Ry/fe5h+Su8d3HtIrzzc3d/ZffBpekCv7e082H9wb+fhpwd7Ow/Th/TW/Qf37x3c33vw8NM9gtP/pP9WF/J+SpP66acP9+/tPXywTy/Rq9GPdscPd+/f26W37j/8dPfTh5+mu/fG9x48fLj/6e7B7s79T/fu3UOr/Xv+iweE1MFD/5MHhBR9AIocEBL3Dj7FUPb37t3f/5SItndAH6fbu+ODfTwg3r29e/un2zTB210K33+QbndI/ICYof9Z/NUDwv+AXrh3cPCQvnpwQL18+lF6TdO7TXPyMN2+R2g89J9P8dnOg+CzWzb7dLDdAX9D45NOPx0TI+P3g6Ct+eLBmFH/dOf+7sHDvYOD+/d29gHiYLy79/Dezr3d3Qe7D/fQHuL66cOD3U+JgkT7h/sgYewzIs7u/Qc7+JP45t6n+70Odm817oN7/Wb4bHd8/17wGXW6M37wqf/Zw91+u4efkm64a5XD0eNJtZx5v7K2eJWfN3uqMD5Kq3qW1ySeeBFNIg2hVm7VEMrnVg2hom7VEIrsVg2h7mzDvQ0NoRRvBRGq81YQWcHeCqTo4VsB/TRouQkour/dPIr6v11TthK3a8rG5FaD4qa3m08xTbdryhbsdgigqZvVGylwu6awlrdjADGwt0JV7PDtoLK5vh1Utuq3g6rG/zZQd4KmHlT+oQrorvFk6Neel3PXuUDJ47vkXB0l/w82WkD4eAkAAA==</t>
  </si>
  <si>
    <t>89D69AEBA7B418484FA3F046DB45C386</t>
  </si>
  <si>
    <t>JChemExcelM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32/3uRnpQfpe/2Pvtoe2+8++mnD/d3dz69f2/v4af3dz5Nt3fGD+iTh/v3Hh58+unew4P92Ec07P39gwd7e58e7Ozc+/Rgj16koe4d7HzqgD2IfhZ5dXe8v/vg4UP3EVrdf3DwcO/+pzu79+492Nn9dDfWam/8cOfTBw8f3Nt9+PDTe7sPDh6kD8Y7B8FHH6XXGOru+P69B7v79OKnO4TGp/d4XAf3Ht7/9MHOvb0Huw/27+3cQ7/0PKBX7z3cf7h371N0snNvhwZxb4cGcv/hDr1Jw7p3bw8jerB3sHf/wc4egNHXD3fvffrw4b2D/R0aLH/44P5DGq3tYXegYQS9eCf79+9/emA/2j0AyjvEMHctxxw9nlTLmfcrs9Cr/LzZUy76KK3qWV4Tq+NFNIk03Adb3aolWPJWDcG4t2pIfP7wVg1pNJ/eqiGk5VYNIVO3anhwWxzv3xbHg1tTHHrgVg0BcjfWkn8oj9w1Goh+7Wmnu051JY/vklI8Sv4f9bAvOzAFAAA=</t>
  </si>
  <si>
    <t>80B69DE3F76C267FB0F62BBAD5324D66</t>
  </si>
  <si>
    <t>JChemExcelH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1+mJ8F/L/j/L+zv+M+1+ZI+47/Kj9J3e599tP1g/PD+/v7+PXoefLqz8+mDdPvT8ad7Ow8+3d/b3X14b2/n3l66fX+8d/Bg5+D+zsOd3Z17Dx9+ej/+2T2Cdm9/5/7DTw/2HtC/O/vp9t74092HD/Y+Pdj/dH//wcO9+/f7n33af5V63aUeCMSDB3v71Pzg4c6DlKZ0/8Gn93bv0ds7B7v7+/cPop/F3qXpPti9t7tzf/fhzr1Pdx883E/3xg929+nbT/d3DjDge/fSfYJ28OmnBw8+3fv04d7e/sPIJ5HXusAP7hOH3TvYu7f/4OBg//7ezh598im99+nO3gOi8739A6Jtv9G9FOTHRzv37x/cf/BgZ5c+2b3vt9kllD7d9T+hD3bvfUojfUA4HNDIY9S7F53a7keEEwkOjc3Dc/ej9JqYhWaNyLt3QHTeo2naOThI74337/sfPdxLu60egvK7+95HhDpN2r0HwUeRVg+6sEiEOh2SYPU+2e+9Rh91ge+Cbzoo7IG/ws8ibxKBuq3oIyL37qc0X7tEtgc7NAkP8dHDe/5HBw/6zQ72eu0eRsA9JHxJRGjG/S5IbPaJfyC593Y/3bt37/7DhxDMA5q0gwf37u/eI2a5tx/9qPviA+Khhw9D0vbG+fBebKAkgKQV71q1ePR4Ui1n3q+sJ1/l582eqsqP0qqe5TXpc7yIJpGGUKi3agi1axvubWgI5XwriFDht4IIRX8riDAHt4J4z294A8SHt2rINuhWfYupuhVQsWi3gvpp0PJGoLebc7Gkt2vKBvd2Tdku364pm+/bNWUrf7um927fFAjcjgPEvbjVZHHT27GAOCu3gio+ze2gsutzO6jsId0O6u6tm4IAt2MBdH87DhD/LdaUf6iqvGu8Tfq154nedW5q8vguOcBHyf8DXRncgRwLAAA=</t>
  </si>
  <si>
    <t>515485941E3019C017845628006939C1</t>
  </si>
  <si>
    <t>JChemExcelD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T1JX/D/8a/3Xyn/+yh9t/fZR9s74/uf3vv0wcPdvd2DvYOde5/uptt7NFD/s/v38Nn9Bw/vf3p/7+G93U/v79/ff5Bu02jvBe3oM6LQwYMHD/ce3t/Zf7jz6e6n9yLt7qUH44OD3QcH+7sPH+zs7O7d3zvd3v104NPu659+mu6NP/30wb37B3v79z69/+nOA6JA96Od+70X9w96H0Ww208/HR/sB9A/Sq9Bq3vUxe7D+wf3Hjzcubd7b49oH/2M6PfwwT36a//eQ4J88Ck62Xu4t7u/t3P//v7Op/cefPqg3+x+ujPe26efDx7u79+nj/bu7RHCO7v+R3sY6f37/kc00nvje3v+R7u9Rj1AO/u97nbv7/cxPYhBp1kmrr1r2fbo8aRazrxfmY9f5efNnrLyR2lVz/Ka5A0vokmkIRj+Vg0hFrbh3oaGEJ5bQdy9bUOC+OmtGkJib9UQcn2rwUD6bwWRdcStQIoquRVQ0Ti3gvogaLkRKKuwWzU9gKKLteQfynt3jXqlX3uq967Ty8nju6Txj5L/B9ESe9MNBgAA</t>
  </si>
  <si>
    <t>36592CE37E85F45B2562CCA7EC166A89</t>
  </si>
  <si>
    <t>JChemExcel6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v6b8T/7+S/nlB/+m/5Ufpu73PPtoZP/j0of98mtKg6f8PHuz4z/10e3d8fz+lIX+6e3Dv4f1Pdx7u7u/sPriXEpX2DvYf7H66f/Dg3u4eYXcwfnh/d+feg3uf3t8/2N+ll/ufdN+697APez8C+wG1eXDv/sHePsH6dOfTh91PHqSf0jv3Pn3wkNof7B3s3NvvfXI/3SeEem/u9aATZa/3wDT37gXvPwA5dnd39vbu7eztf7p3f/f+p/dPt2lGtntt7w233Rs/IMLeG9/f7cyBfrM73tsNpmEv3d4Z7+8Hn+1H2n2aEp8HMAGUXr0XfEbTMA5fxMyMD4K5303vjfeDVrtEvt2D4JP7/Y9iAyPev2uZ/+jxpFrOvF9ZGl7l582eCsRHaVXP8pomAC+iSaQhxMY23NvccP9WECF/t4IIKb0VRMjyrSBC4m8FkfXCrUDeD1reBHP3Vi2hityA0BJNXrd5nVfptFpeki5i1frF0+cfeR/8ZFauSUHtG9DyxuZ+dm83u6IZb4c9K9DbQWU9ezuoaHprdtgNyact+YdKxF1jOujXnlm562xO8vguWbOj5P8BVW9j0ukGAAA=</t>
  </si>
  <si>
    <t>12259170DA39A51EF975DD114B853A1B</t>
  </si>
  <si>
    <t>JChemExcelEx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7/4KM0L3NQ4s31KifCpvjvy/RF8NN8+qX3F/57wZ/2P+v/9Zrf/vKj9N3eZx/tjXc+3X3wYOf+zqf379/f3aMR7Izv39vZ2b2/+/Dhw529Bzs0gG2a+J3de/f3H9z79MH9+5/u3n+Azx58+vDB/QcPHnx68On9g08PuN2new/3d/ce7N072Pv04e4Btbs33nm4/+nOwb39e/ce3t97cB8f7e9+ep/+2Hm4t7dL/0u398cHB7sPHu4c7B08OHh4/wEB2xvvPbh37+DT/fvU8cHBjn50f2/vIbV6eP/g3sMH++n2zvhgd3f3wb19wuP+/r2D+/dpCDsP79OQ9g8I351PP/105z632znYpR7u3X+4u7O///AhPts/+HRvhwDt7Bzs39+5f0DvHtBrBP3g3s69T3d2H+zRRw/uH9x/+OBgh8Duf/rgIdDdu/eAEN55+GD33gMe+/0x0WqHxr6LPndoTrc/He/sUT8EbO/+vV10+GC8/3BnFyPf293ZuYdGB+NP793bJxzu3z/Y33vwKT65t7u7D+BE9U8PiCMJ0sH+p0So/QeEOWH6kKdp94DwAo2IJMS/u+ODT4laBOXT+zt7B4RYem9M3dJrD2ma9+89IBpxKxobEfsh0XGfMKZWhA/h9SmBpF/2SC7w0f4DIgnBIuyJ+PTeg92HB0TjT2mKqVsG9cBvRJTpvvcAODz4NPjogMT/Xgf6/Q6og/RBD4P+J/239oksN30C0j24d3Dw6UOi3O7OfeF54rL794gX9nf3iWPAGw8e3if+eUBExrhJ6Hf3aI47VLndR8Qv+wENUtJ/uwFZHn6UXpNEQoaYPwnEHvHBw0/vQ64O7u/sHhDT7uzc33948OAeyxr9fPBg/+Gnn95/8OnuHvP4PZIwksj9ezTEnYOHDz8VAbxHfP5gj9iZxO0+S+D9T+mdh9QLST7JD/h358E9wuTeg10S/v0D/ogk78Hu/Z39h0T5/U+ZEYlgJOEkU4TPAQj1YExMt08v3f/04R71xBxMqoSUyn1I1i4Ehhj4AXHbAZTFp3sskPeJ8UlcwIW7xMoHrAV2ISn0DvUJfQRM7xHcXcj6QxocST2jCnGC+rlPuuvTfWgGmkHSHIQGffeA2vHAd8D9Dx7eI+l+gEESM+ySaJMcEFq7UCn744cQswf7kCIiBmsskljSXSQ2pC9IAB8A/j4pnr39XXDMPuQTMwCd8BC47tzfvbfHTEMSRGJ5/+E9+uW+8BaJJCGxD81Bozj49J60u0caZH/nISlGQodmlMCBFJ+Sory/v7+3R0qFOIl4cZf49N6n9NkBSfQ+iQ59RBqQVMbBQwKGiaP39kned6jXA9Kwn44/3Q0bPRiTJg0+ORg/vPGT/lt9yOg+/CSO4k1w8NZDUuU7NK+kz8ieYvT0yd4e5oeU3j0GdLBLs/QQ8kqcybJxfx86hpTTrlDhHjHm6TbNGn+FBjvEd/sH94mG9OLDe/Tlp/FXyJ24a/2Jo8eTajnzfmUH41V+3pCcwsEgd6SqZ3lNntFH0kJck6PvPr7r/SV/xEHcC0AMNYS/YBvubW54/1YQ4RXdqiF8p1s1hId1Kxyp4cNbQWRv7VYtxam7XVP2/W7XlF3E2zW91x2UN//fvh03iDd6q+7u37qluLe3arp365YMNGSf9x8u+9sfCEMc9tvhzH79rRhU3P9bQZUo4VZQJZi4HVSOOW4FFcPymt4wv3sh07w/wSUKul13HCzdahAcT4VQPWRuq0w5KLsdahy73a4ph3i3aiqR4O2acsB4u6YcV96KjBJ+3g7qPqLU2zXlYPZ2CHDMezuoHBrfDipH0LeCyrM1qIdvyUgSrd8Otb2g6U1kvG1TThV8oKRKruFW/UFybtmUod5O3UiC43ZNOQ9yK4pzU8diNzaNKgT+oX7dXZNkol97Cai7LjuVPL5Lea+j5P8BGbRAzhMTAAA=</t>
  </si>
  <si>
    <t>5043C153E248C837E85F0480ED38B945</t>
  </si>
  <si>
    <t>JChemExcel5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T9Iv6f+v+eeLFH+f8E/89eyj9N3eZx/t0Tjvffrg4e7e7sHewc69vU/TnfH9T/2P7u3SRzsHDx483Ht4f2f/4c6nu/cODlIa/r3gzYN0b3z/wcP7n97fe3hv99P7+/f37vdb7VGrTz99cO/+wd7+vU/vf7rz6YP9dHtnfG9/9/7uzi59tbN378H9+/ep072D/YNP9/cIm3v79+5/+inafbpHQO7v7O0fPPx05/4ufUZDuL97cHDwYP/eg0/v7T7c28dnDx4c0Iu7D/Z3Hj6kj6jd7vjgwb2dB4T7/fufPtRX9x8+3N8/uLd7n4a1t//gfrp9b7xz/8HOA8b14b1Pd3YPMPydT2nk+zv39/d3Pj3Y2SdKfJReE/2298c0uoPdT+/t3SMADwnPNPrZvfEe0Hy4R93f29nfeYDe7wE5+xw86Df79ACDfvBp0I5IuEPw9wmR/d2H9x7uH5xuEwts3x8/3CPc0eXDT6nve+n2A6L/3n1g8fAB0QY0PKBZOqBBf/pgd+fTh/fQ68F4nyj1gAhBFHyw+/AhXtyhr6kPmthPH9x/yOAffLr/gP78dJdw233wKUZ6j4B9ekAT+YCmg0A9pNmlGd/d2Tl4+GD/U6IeffQQgwGYg3sHNBvE83ct0x89nlTLmfcrS8Gr/LzZU0H4KK3qWV6T+OJFNIk0hLjcqiGE6lYNIXq3arh724YE8dOgIVqIMjj6rrylfw2CgCa4VV9Ej4MP7Av65lZ9sVayLfc2kYqV162Aio67HVRWhbeCenDrlqJbb9c/UL0dCzABQibQpvxDxeCuMRz0a8+o3HUWJ3l8l2zZUfL/ANPiu1TnBgAA</t>
  </si>
  <si>
    <t>08DCF368C6A08AA8ED46A2269C159505</t>
  </si>
  <si>
    <t>JChemExcelu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4r8Xqfz8Un+6/9wn9Fv5Ufpu77OPth+OH+7df7B3sPPg4OHu/fv3dtPtg/H9h3s7+wcP7z/YOXiw//DT6EcPxnv3D+59+vDg3v29+w/3P6UX7xOs/U8f7jzYvbd/b3d/7366vU8v7u7s7tK/n+7cu/cw3b5H7z24dw8NHzy4f+/+PrXapRfvfXr/3r39Bw/3H9zb2yH4O+P7Bw8fPtjf2/t0d/fh3sH+w3Rn/GD/3gMPjd10b7zz4MG9g/2dXYL16YOD+5FPIq/FoN8b7+/u7nx6b/few3uf7h/sHhyk+/Tmvmt0/9P0U4J+sL+3e+/g3s7ezsHD9AG9tbe7s3Of4FMPe/vpAb10/8GDh5/uffrpg0/pR0pMRi97H6UPx/d3/Q92+5TaTXf3x/uf+q0+Sq/3wN737+18urf74MHB3qc0mJ17GOGnwUcPMEJ68x59QB/fu79zcLCfdt8kbuu+SQzXbfXNNYq3imFKHHF/P/jsds0e9ts93Nn7sHaxz/bGB8QAxMf79+4Tx+zdv0/ss/OgS5EdUgR3rSY4ejypljPvV1YNr/LzZk+1w0dpVc/ymuYYL6JJpCF0yG0b7t+qIfTRrRpCa92qIXTbrRpCA96qIfTkrRqyNrUt9za0FKV7K6Cim28HlVX47aCypr8V1IdBy41A0f/tplMszO2asiG6XVO2V7drymbtdk3Z+t2qqRjJWzVlqLdr+imsbqwl/1Cpvmt8Afq15yfcdU5E8vguuSdHyf8DytofLroIAAA=</t>
  </si>
  <si>
    <t>27F00D75AA6771DE71851DCAC10284B3</t>
  </si>
  <si>
    <t>JChemExcel7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oilf/jvy/5N/n35KP03d5nH23vjB/s33vw6aef7ny6e+/T+/s7n6b02d6nDw4Odvbv7T94+HB3b2fnfrq9O959cG/n04cP9u7d23t4f+/BvV7D3QcPU2r28NMH+wRvh1rt7x582vvowf10b3z/3s7+3v0He3u7e/f2CVrvo3vpvfHBp/u7O/sH+/ce3t/dPzi4H/uIiP3wwYODew8/vf/gAeG1H4HU6+5e/7WP0us9MMH+zoNPDx7sPdx5eG//4aef8ih37n/68N7DB/v7u/cf3n+ws/NwH/S4t7N3sHf/4e59avfw4c5uuk397B88IIIdfHpwb39/5yE+2nngNTt4CHj37/kfHeymRMh7D3Yf7O8c7N/fubezS5CJbA8eBJ/t918FIr0e9vDZwX7w2YPIZ+n2/vjeQfhRDxFiqaPHdy1bHj2eVMuZ9yvz6av8vNlTVv0orepZXhMp8SKaRBqCoW/VEGxvG+5taAjhuBVEiNCtIO75DTdBhETeqiHk9lZdU8OHt4LIOuBWLUVV3Kp3bnq7ebx/65aiom7V9KEosn5L/qG8d9eoT/q1p1rvOr2bPL5LGv0o+X8AAQGtFu0FAAA=</t>
  </si>
  <si>
    <t>F39CE4C4EB0A4FD96E06AE9D1EF50F27</t>
  </si>
  <si>
    <t>JChemExcel/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8t8L/fkl//6a/35hPzH/4ueX8u9H6bu9zz66P763t/Pw/u6n9z69/2Dn/r2D9N744cGDvQd793f3H+zv3d/Zo0/2doNP7qX74wf3/Y9oOHvjT+/fu//w3r2Hew939/fpj9hHNAW7D+mPvQe7Owef7u897H1ysJ9u00Tu3nvw6f7B/Z0H+7uf7lBXkQ/3HwLe3r293b1dGsX9h/cPdomeO4Tbp3v3CLWHe/cPqG9+98GB/+6nB+k2vXr/4af3d3f29nYePNzZ+5Ta7Y0f7BEmBzv3H+w+uEdgqN298cGnRBHC7mB/5+DB/gNqR2SjZ/9gl/rZubd3cB8fYbBA5sG9T/c+vUcf7Y/v7zzcOXi48/BT+nR//yGA7ewTJfZ2Pt2l9x7S+/2BfXrvgAa2N36468/MgxT8+yCcLGL5T3f8jx6mD8c7n3YaRd67N/70oAP9/nivwwp9HD5Kr5lp7u/vYk4P7hNlDmjyiR8ehJ98SuJ4/9Odg3s7D+7v3j+4v0tstH/vgHgF47v/8MGDh/TWzo7/1qfEMfufhp/sjj99GHxyjyZ4937w0S4T8dPdg50HOwe7+/eIHw7u7WM2qWfvs32m/6f39j7doVk/IMZ9uMezRDN+8IDm4OG9B7uY8u5HDyMvHgD+/YMH9x7ce3hv9/7O/d0H+/fQ7tNd4rX7O5/e33sIStzHZ7tEr/2Dg4f3Hn66c+8hMx9xCEG7f3BAJLp378EeD4Gg7O/s3yeeevDpQxIXakfYE2+Co4iQuzQrPRo9gAzdu/fpg4cY5N7Bzr370Y+Iz/j/2wPf0XiIA4g7dyA5O/d2751u0wz0mu8fkAq8a3Xg0eNJtZx5v7JSfJWfN3uqFz9Kq3qW16TN8SKaRBpCe9624f5tG96/VUPo61s1hFa/VUPo/ls1hIW4VUO2I7dqKebGNt3b1JSt0u2gsvG6XVO2cbdDYCdouhEqW83bNWXjerumbINv15RN9e2askW/XVM2/Ldrev/WTeEtOBZASzQRL+bou/Ka/jUsPuyGBNPovXZySyDsx9wKZ3F3bsU23PR2E8yjuN0Ei491OwTQNDrB/EOV4V3jTdKvPU/zrnNDk8d3ycE9Sv4fyvA3oPwKAAA=</t>
  </si>
  <si>
    <t>C5BCC8113D2FE0A6C884F957083741CA</t>
  </si>
  <si>
    <t>JChemExcel1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Kv+90J/uvy/5/1/av4dbfJm+lp8fpe/2Pvto+974/r2de3sPdg4e7D7cPfh0N93eG+8+/PTT/QcPP71/79N7B4Q+fUSfeB/dS7d3x/t7/kefpts744NP9x5+enCwf+/+vfsPDg4eRD5Ld8b7D3Ye7O7sPTjYe7i3t3+w2//o/n66Oz7Y2b938HB/Z2d3b2fvgKjV/Wj/fu/Nh3v9Lj+NfRZ5Nb033r13sPPpwf293Yf71OHDg9hHEcQejO/tBq3upwfjT+/vPth/8On+vQcPPr13/z41OjjwP3mQPiQShm0ejh/S2Pc+ffDp/U+pk4e7vU/upeB4mqqd+0Tf/Xt7+8RSsY/2CAEa2v2dnYd79CYRoffRfuzFbof7kU9i/d2jVp8SzN17uzsHB/cjH/QxItnm/++N9/Z29vfpw4d793fu7d473SbB2h0TG2zj34/Sa+LV/fHDew/Q5969+3tE/oN0f7z7qffJLgE6uHfv3oOHD3Z26X/3HpBo3R9Thw/os31MPHVynyb13kP/NRJqmtT7vY9IJryPmIv25VuaMnxFzA8E9/b8D8Fue+MHn3Y/g6QFnz3ot3sQgffgIN2+P955EHwWAXev3+zT3rjupT+i4jdBxW0Sgb3wzXT74fjThx34B+PdYKwH0Va9j8g+3bUG6ujxpFrOvF/ZYr3Kz5s9NVofpVU9y2uyrHgRTSINYWlu23D/tg3v36ohjOmtGsLk3qohDPOtGsJ824Z7Gxqykb8VSPEFbgVUXIbbQWXP4lZQD4KWG4Gi/9tNJo/qdtMpjs+tmsI1ut2Migd1u6bsaN2+qZurG5vebq7Eu7tdU3YCb9eUfcXbNWWX8lbMIp7n7aCyg3o7qOzH3g4qu7u3g3o/aLoRKhzk200shnXvdhMr7vitmmK27t1uYsWxv11T9v9vRSxuervZ4qbR2eIfalrumjiJfu3FUHddgJU8vkuh21Hy/wC5GVtG1g0AAA==</t>
  </si>
  <si>
    <t>7DACCDF68FD8F4566C9142DF4D94B75D</t>
  </si>
  <si>
    <t>JChemExcelK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8d+LVH5+qT/dfy/SLz9K3+2BGPfu3fv0wcPdvd2DvYOde/fup3vjTz99cO/+wd7+vU/vf7rz6cPIJ/vjnZ3dnXsP6O/9g/3dnf37RIx79/Yf7H66f/DgHkHbTz+ltw7uPaQXHu7u7+w+uJ8e0Ft7Ow/2H9zbefjpwd5u+pDeuf/g/r2D+3sPHn66R1CI4J9++nD/3t7DB/v0wd5BurtHb93b3d2jd/bv790jyLv3xgHS92OfRF7rwX44vr+3//DgIX147+DhzsN7aLN7f/fep/s0tgd7NGT6aHdMyD4ksA/37j/ce/jp/d7Q9j9Kr4mY25+OCcT2g/GnD4Mn3X443rvnf3KQou1ep1X3xUirg2+wVbzHCKqQgp1bNdt7sLP/6e7uvXsPHu59eg+fEfEePLi3R58d3P90D1OMz+7vfnoPbECk3tn5NN0m5jkIoJGI3LUycvR4Ui1n3q8sNK/y82ZP5eajtKpneU38jBfRJNIQ0nXbhvu3aghJvVVDyPOtGkLqb9UQuuFWDaFBbtWQ9YxtubehpaijWwEVrXU7qKzcbgeVdeCtoD4MWm4Eykr1dk1Z996qf1HRt4N679ZNATQ6/fxDJeWusTz0a88q3XUmK3l8l4zhUfL/ACqnOCIoBwAA</t>
  </si>
  <si>
    <t>A9FFB17BA958DE7F1B2CF17827A04CFF</t>
  </si>
  <si>
    <t>JChemExcelq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9v/7Mn0R+ezL9KT8KH2399lH20Ssezv3H+zs0b879/YP9tLeR4TU9t743qf7e/sP793fu3dv9z7htH1v/OnDBw/3DvYf7O/ef3j/PrW6T2/ufrrzgP58ePDg/gG1+pRevL938OmD3QcHu/c/3du5n24/oDcPHn56/+Dew0/36esH0Y9ib3Y7+DTdfkgf7X26v//w0939B7ufPtxNd8b3qNXOwcHD3Xt7+/fvE5h0d/zpvU8fHBzs7BL2e/cPHu6ne+OHD3b2Cfy9/YcHO5/SuNJ9enN/d//TvfufHuwcfHr/IXHAp/ceHOzdp38IwKcP76Wf0mu793f27+/Qy/sP9h5GPum/1Yd8QJ/c3z249+ne3t7DvQef3ut9sp/u7o33D4KPPkqvZdYO7u8/dA8IQcPe7Xy2M6bh73jPw0i7h/e5XfDR3mCzANzOAyIsvtkbE25+Y/68AxKNgtf7CO4e3L/VQG7bLjpgECtGwL3xp3vBZ3vD7SLEeIjud0j071rZP3o8qZYz71dWBq/y82ZP9cFHaVXP8pqUFl5Ek0hDaI1bNYRuuVVDaKBbNYSesg33NjSENrsVROi8W0GEZrwVRNaftwJ5P2i5CSb07e6tWkJj324aRbnfrinbgNs1ZVNxu6ZsUW5FKTE8t4PK9ul2UNmM3Q4qW7vbQb0fNN0I9QD283ZNH8DMxpryDxXqu8b40689x+Cu8xqSx3fJHzlK/h9o3vfVqwgAAA==</t>
  </si>
  <si>
    <t>9E71F286532C4F31DF3794B7F8C5BE8F</t>
  </si>
  <si>
    <t>JChemExcelO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PcilZ/uvxfp6/RL+u8E/y8/St/tffbR9gMayt7D+/fv7X66v/vp7sHDdPv++MGDh3sPPt19uH//4GD3/r3oR/vj/f379x8+2HlAn+/s7tKL9wjW7sPdBw/v7zy8t7dzcI+a7dKbB3v3Dg72Hu7u7O/sP/g03d6hV/139w7SnfHBwUN6eX+Xvtjb2aNB74339vYePDy4f+/Tewc7O/cfRD6JvNaDfu9Bem98//6n+w8efHr/gNDaebib7o8PHu7s3v/0AcG59+nu3qf3008J+r2De/fp8wPQYo+m+dNPg0b02u6e/8mD/gAP7qfEPPs7Pqh7H6XXe2DAPaKJe/bu0QDu7wYfHQDizt6n3vPgXtp9895e7M2v1+r2WGCsD/3PPn3Yb/fpfr/dgwf9dgd7mKq9+8FnxBx743uf7tzbv//g4GD/4f4DIiihd2/nAbEJzSqx6L1PH9y/T7xARA8earZDAnbXStjR40m1nHm/ssi9ys+bPZW6j9KqnuU1zQxeRJNIQ8jmbRvu36oh5PxWDaENbtUQOuNWDaFZbMO9DQ2hf24FkbXUrUCKMrsVUNF5t4L6IGi5ESj6v91Uiq69XVNWybdClZu6Cb2x6e2mFKbAzanXkn8o+981xoh+7Rmqu86KJY/vkn08Sv4fCN8BsjsHAAA=</t>
  </si>
  <si>
    <t>897A79F19A6F5C14838A3DB971F50B95</t>
  </si>
  <si>
    <t>JChemExcelx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ud1/5Ufpu73PPtob3zv49N79e7sHDw/u7d5/QN3RRw/vPbx/8GBn/97eHn25nxItP93feXjw6c7+Hv3vYP8AHz3YpSa7uwefPrx/b/9gL93eGe/dP9i9f//hwe7+3r2dnb179+TDnfv3d/Y//fThvV2CTKMhcu/u7O3tHXxKYHfvPdy/9yka7u9/6jU8eIjP7u9++nDv3gEB+/T+3oO9+/Tuwae7Dx5+uvvw4YN7+w/2HjwkjHd2D+5/+umD+zu7u/fv3dvbT++N9x88uHf/0919QvrgwT69eG/84MHDew/2Hz789MHe7v39T+m9T2mAO/vU7z0a3v4ujWr303s0hJ39Bwf7D+7f2yEcAJ1AuQHQoAj8Pg3zwadEN3r20+398af3D/b2Dw4eHBBKRCp8tL+/e/Bg7+HB/f2Hezt7B/fxIo137979g3v39vf2d/buP0i3d8c0vIcP9u8/2N/dv0fESx+MH973UX3wUXpNk7V9f0xD3yP8dj/de0CDQh87NE6izsNPDz7de3jvHvdBHzzYu0dTc+/hg/sPgN7u+MGnOwSfppkmeuehEPzhwf7up0TDnfu7BOUhiHv/Pk3hp/sPDw6o7/1P94hI+w/379/zP7pHdLtPYzog/qCuwAwP7+8d7JkPHjx8QB/RPPiv3QNj7T+k2aZJ2fn00937BImGfv/+p/vEUAefEu/d37lHKNzbJySIOge7OzQF9+7fB6r09Q632iGaP/h0H58R0vfvEx12aer3HtBc7Y73iHAWsQcPgRox8sO9fSLZp9Tjw/vgvod7u7sgDDHWwR5hwh3sEKfThH56b4dm9uEeaLb74OC+QCKAO/e5U+JacBah8Ok+CcDOA3AzifpdK+tHjyfVcub9ysL/Kj9v9lT+P0qrepbXpKTwIppEGkJL3KohdMmtGkLj3Koh9NKtGkJ73aohdNytGkIT3qoh68tbtRS1apvubWrK2vd2UFlJ3w4q6/LbQWWVfzuoO0HTG6bpli1B1dtNvRil22HKtut2UNnE3Q4qW8JbQRWDeSuonwYtbyJAvCn/UPm/a/wC+rXnM9x1DkXy+C65KkfJ/wN7X0iWxggAAA==</t>
  </si>
  <si>
    <t>76D6114DAB7D9F8B179A2B16F0D6DF45</t>
  </si>
  <si>
    <t>JChemExcelo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zX9f6v/x3wv9/0n5Ufpu77OPtu+Nd3Z3P929t/dg/+Gnnz7Y2fk03d4df/rgwcN7+7v37+3eO/j00/v9j/bT7Z3x/r29nf0HDw92D3Z29/b3P8VnD3f8ZnsP0u298f6+/9k9fPRw797B3s49euvBpzsH9NH++N7BAf117/7D+w92Pt1LabLu7d1/8HDn/r29h/S/nYN0b7z74MHO3t7Owf79vQMATe+NPz24d+/Th/cOHn56/+D+vYfp/nj/vvfJ/s59arS/BwB79+8ffHr/4Q59tEfD/nRnnz7a3Xn46d7D+/vpDoHaoxd39x7u0W/3Hz5ID8af3vNhfZReE83uje8/IGrsPnxA/xB6O3sE7mDH/4iw3/u002ZnfO/T3fsHBPshE2xvl+m6u3NvZ3//3v79h7v7+7GPPu2+ufuQBr4zPrj3YP/Tg4NPd+7vPrh/76D7yf7eQ8zH7sO9hw/39h7QBN/fefjgPjXb3SO8dh/c27l/sL9HtHqAPvd2Pt0/eHCPRr9/78HBLuboHr1AiOzt7T+g8T9kxniwt3///n2CuEuf33t4n6f3offZ/i71sENsfdfy9dHjSbWceb8yo7/Kz5s95fWP0qqe5TVJKF5Ek0jDe92GaCGydPRdeUv/2gRi/1Z9Qe5u1RDSeauGkOFbNbx324ZQCbbh3ubBPPxAwrHiuRVWop9uhZeosdtBZW13O6isFG8Hdef2TVnNxpryD2Xuu0bj0689a3DXmYrk8V0yQkfJ/wMKAO+moAYAAA==</t>
  </si>
  <si>
    <t>8CEA99CF533A0C84196C5FDF948DD51D</t>
  </si>
  <si>
    <t>JChemExcel0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16k8tP896X+3/zr/ntSfyQUKU/mWX1BEHZS/Lebys+b/9ve/Sh9t/fZR9v74917OwcP7t//9OGDvU/3HtxLt++N9/Z2dx/s39u/t/vpw/179/izg/29/f17O/f2Hx482KPRbe+OP324s7ezT58/eLh/sPOQPtsZf7p/78H93Z2Hu/uf7u4/+HQf7fb293Z2Hzy4f7C7d7C7T9D2xvcePny465rdR7P9PerM/2xnfO9gf3/n4OHOwf17B/f37n2a0uRSbwd7e/u7Bw92D+4/2KOPdh7u7LhW++keMcGnn376YHePABG2+/v83v179/cIiQe79w7uEShCdvfh/qf038O9hw8fPNzbpw/x6v7OPUKcPtt5sLOb3ht/ep8++fTg4f6Dnb39+w/TfcJ0j2jw4MEBvXZvjzAFeProHsGn52CX4RCgg937Dw+oBQiBNjs7D+9RT/ce0rv3FQXq5z6BvbdLn+4+fIAPH356cP8hkfoe/XtA2ErDBwT94YNPd+/fBypMMqLWHg2RKLm3Szg9SA/Gn+4EuH2UXtM0740f4p17n94/OPj04S5hvD/eu/eAxkj9H+zt79w/INEBLfZ2aST3iFQHGChR4MGDvfto8pAoTsSgXz7dA7b3DwidXRrVwz3ig+CTvb17hPkeEXb3050DzMf9+3sPD7w2/U92xw9odva9T6gvIpIPZ2dMOBC33ntIU/gpfcmEYX7Z3aEm9Hz6qXx0jwhzcHBv9+HOw/u7zHGE+M4+wft09+GnO8TY/Nn9nfvEKMQ6O/d39+/vg8/vH9zf2aEJfkg8S498RO88ePgpEYWA7hHl96mLT4lq94lVHhwc7BO0T9HDPfo/vfQpSdOBfPTgYOdTanLvPpHevEncRzxwQBh/SqqCOyAxIkYhYhPrfUpTQVR++ICwIKnae/DpHg19h1TUXaujjh5PquXM+5WV1qv8vNlTvfVRWtWzvCblihfRJNIQ2u22Dfdv1RCa8lYNoU9v1RBa91YNoZtv1XD/tg2h6m/VkA3CrVqK3bhV0/u3bslAbzfjYq9u15TNmm26d1PT2827GMnbNWVberumgHq7SRXLfLthsQG/FVSx87eCKu7A7aCy13ArqBiW1/QG/t+LSjP/UKVy1zhJ9GvPgbrrvKvk8V3y246S/wfFz+ZL0wkAAA==</t>
  </si>
  <si>
    <t>120A389C7C0F2901ADE2932CDA884AD9</t>
  </si>
  <si>
    <t>JChemExcelJ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n6YsU//q/fen9q/99lL7b++yjB+OD+7s79x7c+/T+/sE+/ZZ+Or63G35yf3x/P/xkf7yz43+yn94b790L2+yOP33of3I/3Rk/3As+2e03ut+DdD/SWxfHvR6Oe2l3ZHvpwfjToH/CcWe8++n7NsIHD30U+y06QHq40KRdE/G3aWT3P723t3Pw4GD3we7DT++lvY/20u3743sHD73nIPpR5MXIR3vjB3t7n+7vPqAv9u893Pv0frpNXH1wQN/SJ/d37x88JL6LftZ998F+uv0pfXbv0wf0/e7B3sHOPfrogHp9cO/+wd4+DffTnU8PIq3u94fwkD962Hv/QeyTh9TSJ+inhPEOdbL/YPfT/YMH96ij/b3IZ/0390k871r5PHo8qZYz71cW2Ff5ebOnMvtRWtWzvCbFghfRJNIQkn2rhpD/WzWElrhVQ+gS23BvQ0NonFtBhF66FURor1tBZB13K5D3g5Y3UHJ391YtRbXeqntueruZFEV9u6asz2/XFFDdfG5sytbhdsNiI3I7qGxrbgeVTdKtoBrLdRuonwZNPaj8Q0X1rjG79GvPJN919jp5fJc8gaPk/wHLXExgJQgAAA==</t>
  </si>
  <si>
    <t>D9A2A46775A96E086113014DD4BE138A</t>
  </si>
  <si>
    <t>JChemExceleB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d/76M0L3OM+s31Kicipifpl/TfSeS/F9FPzX9f6v+7rZ7U9L+PZD7Kk3lWX1A3O+nwf7sbvhtutb1L//sofbf32UcH44P7D/f2DnZ393f3P334MH0wvrd/b+/B3r1PH96//2CHCPvp+GBvZ2f/0wcHe/d2Pt072KdP7t3fub+/t7dL/3vw4MHDdH98cG///sGn1OrTvQcHOw/Se+OD/d2D+5/e293ZO6CfD/bSvfG9vfsPd3buf3r/04fU7f39lNjp3r3dBzv7Owf37j+8d//gQbq9M949IBj37937FB3u0jzRZw92Pt3Z3Xm4d2//YJe6+jTdGe8dfPpglz65d3D/wcFDmtrd8cHO3qcP9h8+ONjff3DwKc3k3vgB9bNzf/cetXmwu7NPqN7b3b336c7Bwc69Bw92HnxKbH2PEHi4i793CeFPaYCf3nv4KUa9R3h8ShxFn+zfI7rcv/fw3r2H+8RT9wHnPmFFOB48IBrSkB8+uP+QYO7dv09f7N6/xx/t7REp9x7ufArMCdDeQyL2zsODnYOH9w4eEtJ7Dx7u7z+8Rx8/fLBLHEmjJfIThHtEAxrX/s6n92nCxg/u7+0TUg8fPDygCSMUtml0+/eJBNThvb09GiU+ojl5+Ck9NAtEO5qu7XvjfRrawd7eg33CivChV/fHD3b39vfuEYlpyj6Vj6ivew8e7twngu7cJ+pt3ydoD+8/IJagqSEq7aLVp/sP9/bv0fQTzp8e7AH+7t49moodItDOvYPdA37zPo3qHvHCDnVDnJBufzreJbLvUstdwvcBye/2A5rXnQOa1n2anL0Hnx6k2wfj/Qf7O7v0IvV6b58kj1sRR+4QHz58SHQRUPTJ/b2Dewc0lzv30SHNC6Yf9CXC7aHV/t7+/Qf0zsFDIsXOAZNi99OH+/iEuJ54/kG6e2+8cy+QAVKCH6XXJB07BOABjRV88GBvl0hN3+3e/3T3wf4+TSlgk+agqdmj92lwxLb0OcmNMPb+w09pDAfEdURX+oikh+ARDx1Qz3v3D4g79+49JH79lNh1/+Bgd/8+tSKafkrv3N+nCdu/T0JC5N2nMaI/4rRdoiq9eECvYVruP/h0h1id3tuneaXeAO7hA5o84qJ9oPWQOtu5v7P/ADJzf4/g7NwnCt8jJvwUvPYpTfY9Is+nB0S0A+E/Eini/wfEuTufPgSLYJAkzESyTyHxu5/SbIHZ7t3bITYDdjQ1RGRQ+IDmlCTz3gPSIdTtvvAMhIdgEdeTREgzkghq+/BTkk5MM6ARb5E+YMRFFxD5iJ2p172HBwef7rIuIJlAb9QJYbkPjHfHu9T7pwc0dqLezg6mmihConjvwc7Bp/Q2MfBDlqyHxB80kUSCB5+Ce+lVIjLJ1gHR6B6xP6Zll0bwKcHag1Yj1QYpJdyIP5jFd0iQGBj4ghQETdP9A9ZK6JX04EOSUtJWNLdkXWhgpAGJZLu7BPEhKQsMf4d4kFjpPnHTp5htUIm6ffgAjL1LE3gAhYYRfkpqmHj4HmmM+/wRqU7SKPf2ScRpCgnUAUk3qa89ItX9nYfQcSTZxPCk0faIZ0jS8AmBIWTvPSBG2YWCJgyItKStSPftQvHwgOhNoisBp7n7lMlImv9TUnD0IWk3UvmQDxbKvWBOyajftVb96PGkWs68X9nMv8rPmz219B+lVT3La/JP8CKaRBrCPNuGe5sb7t8K4v1uQ7QQ3+To2/KW/rUJxKe36gsezK0aws8ZQuq7t0MKftKt+oIrFbZ8fwqIO3a77thru1XTB7duKW7g7Zqyt3irpvdv3VLczw+cMfFfb9cfu7m3a8re8O2astN8u6bsW9+u6f33a3pLNoJDHzLH16A49E7INu8PRMKKWyEt0cftmnKQcqumEL5bNpWw50MHzHHT7frj8Op2Te/fvikHbB84Con4btWfBIa26Sazw01vp4hAm3uDpue2o9hHnHqr/iScvV1Tjnpv15SD49s15Rj6dk3336vp/u3UC1hsP5zyGynOP9RtuWsyGfRrL8tx16VAksd3KblylPw/BadtCXgRAAA=</t>
  </si>
  <si>
    <t>AC74155641428F6C1098C9E920AC112A</t>
  </si>
  <si>
    <t>JChemExcelUh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t37KM3LHBR8c73KaULS7n9fRn6Lf+/++pL/C7+L/+19+lH6bu+zj/Z2xvv39vZ2d+4d7D/8dGdnN6VP8Pfu/Qf3H947ODggWu8ejB883L+3v7O3v7dzj5reS3cfjO8/ODigJvfp03u7+9zq/gH9dv/T3U/37z+kedl9SO8dfLr36f2dg739T4mS9Mn9gwfU/uBg79MH9/fu8Wu7n+48uP/pvU/v39v99GDnQbr76fjh/v29B/f3H9y7v/eQKEnd7d7/dP/Bzs7Dh7s7Ow8+3Ut3748f7D0kvO4f7D7Y37tH87m7Pybsdncf7hCwh7sPaNrpox1CZW9/n8ayu/dg5wAv3tt5sL9z/969nd2HNOo9dPiAhnewc7D/4CEN4sE+Wu3QV7s7D6jh7v2HxAK798affvrw/r37uwcPd+7v0+/4iPqnVwm5XRoDMcbu3phw+JTGTLB29+89ILx2xkTG3YN9GsP9e3u7IA2J596Dew8OHhzs7u/u7hLXPaRGBPkBAd/ZI8Lzezt793Ye7t3f3X+48+Dhzr30YEwE+nR399M9ogz19zB9MN57sHv/4NMDgnGwd4+I/OkYg6f+Pn1wcI9o8Sm1OfiUJvD+Lg1ln2i9R53t0BzsfLq3f7C/I0MhTti/v0/E/JT+lgHv0GwxFxCGgHmP3tt7cEAdPqC5+PRT+j/BfrhHfEPzcrBzf2+fGAII7AK/g/v3Ht6nwdyn1+7RkGj0NPYHByRKNP5PPwWBP73/6Q51+vAAH+3vP3xAHHBvnzB7QEJK5N05ePDpPUIKdNhnBHbx197uAwJ1jzgEsA+om4NPiT9pfoH37vhgj8i/s79HOO493OHR3Xt4j7iF2If4fI80Cn20S1wIYj98sEtceUDUfXD/PjHLA2KPnU937tPg7hN5iHeILe4BTfrkwf1dwojG9YDY8ABj230Avt8htj84eHiwS+O/f+9TEqBPiQ937hP/gCQ0xzS2e/QqIU+Kan9Mbfeo208hQ/RiSrz0gNhkl7rCkB/up3tjmuPde7s7JE40R9QdfbQP0twnMhHDkiTRawcPCV16j6i+u0ttoNAf7hMJiE0f0kQ8uE+9ERCCTLS79+ne/YckdwSbWHL/AWb4wd4O6Vdi0z2Sp/v3SdbvE+2IT7aJbgdEL3A9DfDhp6QySc7pNRIeElGS9APwwC5mf//TeyQtxFdEFRI8wvNgD/rggDAgNblHXRKgnT0Ch0m/f/BRek066AEoQVqE+J5FZgfkIpToLeJhkqsHYCoS94ekEqgdTfM+sXIKoSVZpZkgYu3dP9inUZJWubdDfEiSS0IImpK8kaZ5cJ+GhiHQuB8QIWne96E0SMfcAylo7naIaAdEsv0Hnz4gMpOIEZ4HxKU7B/eJY0n4abJoIAfEGg8PHhK97hFRH5Cgf3rv3kPiNBJ2eu8+BITGTD+I3x4COrEYdfSQxH2P5ITmnuT6PiFF00VTf28HxKbPoAFJbGmaiA/w5jZJxKckuaSaaVJIEMj+bZN6IdKRoNNDM0KYp9v3SBnfI/gk3zQH+8RV6TbN+H1C4GAXKoQ45yGa7e2AAagFiRX9u48ugCopYtKGe/dpmu9hzglVIsYBadCdT+8f0AzTR6SRiE/BPff3iHFASBo3BIYU8/4uuIWAEU3Bp8RAn9KoQKMdiAqxB3VN4k00IpVM35AEPdiHpJHcEWKkcMAbwODhgz0wNdGUZpvmBz3vgQFIuZAy+hRMtUMwwSU7hAOJPrHcA6B+nxTWLvEvYU0Upg7QhoR+/1MwOykWluADskUPHxLf75OeewCZOniIcVE70vTQUzSSe6RRiW+gMkiBiHTSqKANdpgDH9BASCfTNNO0EfMeYHbuEZ1o1g+gdJjT0+37JAjQKQcQnwekfe+n259iwDsPSH5Id9N4SUK3SbOQZtwjjUxqicRoN90+ICxIFolokE9SO2i1T7pqD4qNuJIsAsEn7GkKH5LCPaA53cdH93aJQYjme6S274OV9smkkrQSbDJDn+4STwMWqEAfk4hBOe3iIxIeYlFS3fQqSTQ++pTAE/5EPmK3h4w+yQKpeHIFHpLu+RQ9ElCSvXvkDNA/NBnokibjYB/mlCbsU3DbfYgH0XEXSoUYGgSjiSLLBYtD3HoPn+1DHsHl9/H57j1GgkbMLR7CrpEZJyRItO/tkfdC4kJzRjptm2woKXNS52TCSCJI6WzDrkF1kjYkWSJx3mXMaBzUkCboHgQO4v2QFBpxFat74jlyVu9ab/Xo8aRazrxf2X19lZ83e+rBfpRW9Syvye/Gi2gSaQi381YN4XMGDdFCXOmj78pb+tcgiPvdvryXvn1rEJ/eCl347LdqCM/+Vg3h/9+qIUcJH06qDoxNve3eqqWELbdrytHNB84Vh0bfCJD7t0L64a1bMtDb8ZHEdbdryuGfbboXjvfNLcfL8ePt+uMw81ZNJRq9XVMOWj9wFBL13q4/Do6H+ju5ZX/7iK5v1x8H4bdr+qDX1EPmlgwswf7t+tu/fVNOH9yuKWcZPlAfSZoimKXBppzNuB1qD27dVPIjHzgXjFpoxTZS7XYcJema29EGTW+pTfZu3RTMcC/km/efYaiIeyFHvT8QqKT9D+U1TnN9I0Bux1qSUrtdU8683a7pPhJ0t2vKebzbNd29fVNADRnII9wtJYZH8aGshbzkNwLk/u2sneRAb9eUU6W3a8oZ1ds15cTrrZrysG7XlKGGHPX+E8qjGLRpt5wLptqHspZko281cojd/UHddNv+OOt9q/7ghH16Owb6VFLo70NO/qGB212zRkG/9tYv7rrFjeTxXVo2OUr+H6xAr4hSGQAA</t>
  </si>
  <si>
    <t>F922E70E4BC92CB1EDE238FBA7BD7F53</t>
  </si>
  <si>
    <t>JChemExcelt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epC9S/Nv5r0y/tH+43/Dfs4/Sd3uffbRNI75379MHD3f3dg/2DnbuPbyfbu+PHzzc2b93cPDg4OHOw4f3751uE3rbe+OH9z7d2X24f3Bv5+HOg/1P5eMuhAf30PTTTx/cu3+wt3/v0/uf7jzYi3y2zz3t7Xy6v7ezu/tg79P7+wfp9v3xzt7e/sP7Dw72dw/2PyXSbH86vv/p7v37Dz69/+DBw/0dosj2g/Hewf59QvHT/f2D/b2H99Bq/1N64WD34YP7n97fvf8Q0B/u0Quf3tujYd1/cJ9ePBgf7NEg7j+4d7Dz8N6DdPvemIazf+/ew1368P7ezsMHaXdAe5+mHdw/fbCf7o93dnYxWuC9T78R/9y7t/9g99P9gwf36N17B71PHtxPPyVIB4TOpzsPd/d3dolYBwRoj8jxgKj66QH9lj6k1wiZewf39x48/JT6jHzSf6sLeS8ldv/004f79/Ye0mTt7e89ePBReo1J3xvf293xHkzPvfHOAUj26R4m4d5D//td+cL/SN8IoDA5d/Y+3bu//+DB/Z0HB7v37+3j1Xv3aE4PDvbv0bTs7HM3ew8O7u/c+5QofO/B7sMD5q7dgwefErb39+7t798nQSDW+nSXsN7Zu/+AQN2/f3+fP/sU87uPQd+n2d3Duwef3ifOpEERnT/d2eF3HzzY39m5//AefU7fgC0xLh7K7kP/2fAFjefBUFslFFgPDPhg/GnQUr7Y63z0YPyA9MVdqzCOHk+q5cz7lTXIq/y82VMl8lFa1bO8Jk2HF9Ek0hCq5lYNoZBu1RBq61YNodxu1XD3tg2hK2/VEBrVNtzb0BB691YQWTvfCqQo8VsBFV1/K6gPgpYbgaL/2805zMrtJh3G6HazLvbqdk3ZrN2uKVu/2zVlI3kroqLpnpvVjXLEJvdWUMUy3w4qG/DbQWU7fzuo7A7cDupO0HQjVCAQnVj+oZrqrnGD6Neei3TX+U/J47vkmR0l/w8IFsUBtQkAAA==</t>
  </si>
  <si>
    <t>24DA7CA7051BFD30FB4DEA381570E8A5</t>
  </si>
  <si>
    <t>JChemExcelA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FP+90P+/Dv7i/3+Uvtv77KPt/fG9nU8/3Xl4b2f3wcP9/Z2DdPve+OHBp/t79/cePnh47/7O/Yfp9t74/oOH9z+lj+7tfnp///7+Hj57sL9z/97D3b1P7z988On+zn5K0Pb2Pz2gt+/tPth78GCH0Nu+P97ZDT5Lt3ep2X36aPfB7r17D/Z3Dx6kROKDBw8e7j28v7P/cIe+2XmQ7o7393b3H+ztPNi7t3tAvd9PqdP793fv7+4+3N/d/5TApvv04sHBvZ17u4QFNd6nCdnf27u/83D/3oODnb0Hn/Y+2O299Gn6KQH+dPfg4P79h5/e23nw8FaffJReEw13xvv3H9y/t7e//+nDe5/eO7h3sI8h7uwfHOzuH9w/2KVPHzzgYX/64P7uwcM9AnFvZ58QArH3dujTezs7D+49pLHt3Mdn9/cIFJFqd+/+p0x+grF3/8HBwcP9PSZlur0zfrjjAzt4GOkg0my/3+wgAu7BQb/dA2aOvd3gXeGXG3qlSdgZf3pv/2B358EuTdzD+w/3HtBk7j7wPyIhenzXysTR40m1nHm/spC8ys+bPZWTj9KqnuU1CTNeRJNIQ0iTbbi3oSFk7lYQIZm3ggj5vRXEvds2JBwf3KohlMatGkK13KohK6BbtRQ9dbumrM5u15S13q3oLsoxgIo2r9u8zqt0Wi0vSU2yxv/i6fOPvA9+MivXpDv3DWx54wacHC9sRJ8V9e2aqj7XpvdcU/6hEnHXWBT6tWdt7jpTlDy+S0buKPl/ANE2cfAABwAA</t>
  </si>
  <si>
    <t>9472F7BA57124C06C6A8C98824836234</t>
  </si>
  <si>
    <t>JChemExcel0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r/9yL9kv59Tf9+mb74KH2399lHn4737j+4//BgZ3///v7evXtp94Od++n++OHevYe7Bw/39h7s7u89/DS9N77/cIc+O9jZOTj4dC/yQfed++neeHfv/qe7ew8+vf/g4e6DvXufprvjvb0d6mT/wYO9T3fv7d7f67Xau0etPt1/SA3uPwRKhNB+ujPe3b9378HDvYOH9/b29/b3H3yabhPJPyXkDnZ27x/s3D/YvX+f2u1/eu/+p/f2Ht7bPbhHAHYepNv08gNqtU943b93f3dn/9OP0msixb0x9Xuwd//h7v39h58+PDjYJ2x2HngfPSRc7u34bR7uddscPEx7gIga9w66nxChHuzu7Rx8enBvf3/ngOAc7AdwHlBv9+m3ew8f7O/v3n94/wEx1v379+4RXfd2MXaiB3108ODe/b17RLYHBwd7D/dpBncf3nuwQ8AffkqE2d9PH4yJVgcPdoh4D0EHTOm9Tx/sPrh/sLfzKf1zj5j18V3Le0ePJ9Vy5v3KzPgqP2/2lB8/Sqt6lteffbSHF9Ek0hBcaxvubmgI3r4VREjArSBCTm4FcddveAPEB7dqCOG8VdcQ4VtB3L9twwfQCLdqKYrjdk1Zv9xqRNzUTfmNTd2kewjwD+W9u0ZH0q89/XnXKdfk8V1S20fJ/wPBAiSB0gUAAA==</t>
  </si>
  <si>
    <t>66EA32260B0934386DE273091FE00F4C</t>
  </si>
  <si>
    <t>JChemExcelj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R9of8/Sb9MX9L/v/R+fvlR+m7vs492xrv7nz7c2b/38NO9+58+eLD/6UG6vTO+t3fw8GD3wYP7Owc7n9KX6c744a7f7n66N979dO/Bwx366/7D/d2H+/fT3fGnB0Gj3d57+58C/P4ufn2wd//+g929T2kc27tj6mv//r2D/Qf3Hj7cewg0dse7B367Hf7s4f3gM4K3N76/F7x7L+0O6/7uAX127/69vb37ew/29/cOHtw72AUqDw/8Vx8c0CB29/xmDx70xrWffjq+t+8P/v5H6TVRc/ve+P7+wf1P73+6t7e7c//+3v17QG/n4N7Dewf3Dx7s7O48PHjIw919cPBgn3o82D/YuU//i7RLe+A+xSA+3d27v0NN7u9yz0D4XvARffJwx//k4AFGurezRwPa39u5t3Pw6e6DnQdA4z6B23lwf39v996nn0oHGNOD3fsPHn76cPfewd59ptID/91P92j29z9l9Pfu3dt/sH//fnpvvHfP/2R/nz568PCApo14Y5f6IHKBlA+D9/aoxx0ShbtWFo4eT6rlzPuVheNVft7sqXx8lFb1LK8/+2gPL6JJpCGkyDbc3dAQsnarhpDIW3W96ze8oetPb9UQauBWDaEsbtvw4a0asuK51bDRcvfWMN0s3oDm7u2mUTTirRDlprebIW4anSP+oVx612h3+rWn+e86s5A8vksG5yj5fwAxlTi1jAYAAA==</t>
  </si>
  <si>
    <t>0BCB87C907F081D7C14C2D00612C66DF</t>
  </si>
  <si>
    <t>JChemExcel5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Mp/L/Qn/vvS+93/70v+76T8KH2399lH2/fG9z7d3dt5eP/B/qcP9h5SF9u744OD/d2D3Z17Dw929x8+vEef3Rvv7OzsPrh3sHfvwb39nQc79/HZ/r1Pd/YP9j99+PD+7sEONdsb33tAH+zev//wwf2Huw/vfYrPDj799NO9/U93Dj7d23v4cBc93Ds42Nvf/fT+/t6n9Or+/XRnvPtw99Odnb0HB3sPPiU8Hu7TZzsHB/ce0Pd7u7v7Dx7u79/Du/d3HtCrB/fvPdijrvYf4LOH1J56oB97ewf37nO3BG3/3r0Hnx7s0Xf73O3BfRrazr17e7s79w/uPUy3d8Zo8HD/3sHDB/v3d/cxiJ3xwc7e/d3dA+6IHmD36cG9e/fu3z94eHBvd+fTg5S6JETpxQef3t+7f+/TPfrk008JzP7Bvb29vd17D3cepITD3qf3COz+zgEND5D2x7s0moe7+7v3HjwkeuKT+wf793buP9jd2d3de3DvfkqEJcrvfEo0/PTTnXsPDohX9+7v3fv0ABQkkASaert3QFD3dvfpm4c0VfTRzv37+5/u7oNe9/boR/qQpih476P0mmadWP/+3gEN4/4O9bJLpN4fP9j99CFhvkMo7RIQQuLT+/cfULc0iaDaQxrN7oODTx9++oD+3Nl5SPRBl5/uPSBGoVk/oHnaZZLSJDz49N4eAX9IZH4Iwu8TYXYf7BBn7Dx8SNTAZzsH+w8ODh6A6J9+SnyPKdu7R6jSLNK4P93lWXz48NP9/fs7+0zqB/eJA/bH+4QsTe3DvR1i0j2ZWWq0v/PwAc0KTfuDT4HH3kMa9v1d4hJivd0He2CoTx/QiPcJ2/1P9+4//BRD2H9A3z94cLB/QGIAqu2Nd3aJPfce7hKP7u0wZYlNabo+JSbYoU8/lWHu7EMqiDOJa3fvseh8+oDa3b+HHh7cv3+PB7r7KfHvPSLkfe6K0Li3/ynxCXV3QLxD9AYW+w8f7BAlicB7DwhXGjpJy/4OTS4NaZ8Yg6nx6acPaNYO7hHpaKz3wJn39ogc9+8TmYhJD3YxSlJJd61OOno8qZYz71dWUq/y82ZP9dRHaVXP8pq0K15Ek0hDaLNbNdy9bUMox1s1hAq9VUMo2ls1hDq+VUMo7Vs1hGq/VUM2ALdqKXbCNt27qent5lGszu2asnG6VdODW7cUa3e7pve7E48mYnuPvi2v6V8bYezejinE/t6uKZvpW03NQdDyaw6CPYLbYcaOw60wE//iVlDFDbkVVJDGa7oRKhC4JStiWLdjsH5Lj8TfvSXB9+Fqvd+s8Q9Vs3eN30i/9nzKu87hTB7fJVf2KPl/ACBFwNXmCgAA</t>
  </si>
  <si>
    <t>D4FD3D4B06948ACFF83115D7011BFCC3</t>
  </si>
  <si>
    <t>JChemExcelm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9ZeXObB7c73KabDpi/TE/uf/bv77kv//4qP03d5nH23vj/fu7d3bf3Dv4MGDe/s7B/fS7b3xg71Pd+g5oB/7O3t79Nnu+NOH9+/fO3i4f3Cwu3vvYA/N9u7v0O8Pd3f3Pv300x36aGf8YP/eA/zx6e69T+/v73yKz/Y+fXBwsLNPnTx8uLu3s3Mf4HYf3Nv59OGDvXv39h7e33twr9dw98HDlJo9/PTBPsHboVb7uwef9j56cD/dG9+/t7O/d//B3t4uDYWgpffGB5/u7+7sH+zfe3h/l3C+H/uo++I9TPrDBw8O7j389P6DB4TXfuSTe2N6/4A+fLi/v79HEO+l++P9Pb/RLr1GWHqf7KWfjg8e7D18cG/v/v69nYcP79EH+/v3Pn2ws3vvwe7upw/3732UXtOM3BvfJ3oeEGHuPdg/oM7R4+7Dvf2HB0SqgwMgvj++d4/eIBoT7fd37h0QWR7sPTh4sLv3kIi3f49YZne8v/PgU/S58/De/sNPP2US79z/9OE9grm/e//h/Qc7Ow/3MRn3dvYO9u4/3L1P7R4+3NnF5N7fB7idg08P7u3v7zzERzsPvGYHDwHv/j3/o4PdlGaRxvOAOGn//s69nV2C3G+HXnvgmKUO9sMueuB4ZA8e+J/RPIJenxLB7u3cu7e/++kDotDuPoZCjXb3aAL2e598SnN07+HewQOaoYf7n94nvu0BenhAwnvXSu/R40m1nHm/sji/ys+bPZXoj9KqnuU16SG8iCaRhpD72zbcv1VD6JBbNYSmuVVD6CPbcG9DQ2itW0GEbrtVQ9aAt+r706DlJpiiUm/XlDXvrfoXBX07qKzHbwX1YdByI1D0f7uJZ9sRNkUbsVNH35X39K/NQBxbbOyP7dTtmrI5u11Ttnq3oiI3veWMfzrUlH+ovN81pp5+7bkBd52PkDy+S97HUfL/AKK2sDmZCAAA</t>
  </si>
  <si>
    <t>F227301FA6D2B8128216A947E8FEFEE4</t>
  </si>
  <si>
    <t>JChemExcel3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xr77wX+LT9K3+199tH2zvj+7qf39nd3du/t7e98enB/L5XP9vfu3//04d7Og/1Pd+Kf7Yzv7e19Sq8+fLB/nz79dH8/3SYy3t/Ze7i3d+/+wYP93b0HAx8dHDzcfeB9FAO2O/704f0Hn7rPPo19tDM+uP/ppw/39+/tPHi4d//ew4fpvfHuwT59uLv/cH/34MHO3v10e29MX+3ufrq7u/Pgwc7OwV76YHzvU7/VvY/Sa5Bkb7y3t7ezf/8AaB/sPNjdx/A/PZDPHtyj5jvo9sHuvV0CdP/hPRrJp7vpHvV6cG/vwf29+w8P7j3ce/CA0N1/uPPg/v7uw71P7+/cf7h/n97beXj/0x2vFVPt3oOHn+4+3MUU7D2gj7nLnd2Hn9ou7z+MvhvpYgDc3sOD3U8P9veJcg8+ffBgl8DtHxDye/cI3IOHBzv7gh7x4V3LiEePJ9Vy5v3KnPkqP2/2lDk/Sqt6ltckQXgRTSINwaG7t2oJTr9VQ8jDrRo+vHXfEK5bNdy7bUOCeHCrhpDoWzXch9zfquXDW7eEXrlVQ2iiWzVE37fjjE+hu2It+Ycy3l2jLenXnia969Rs8vguKfCj5P8BKxIBedwFAAA=</t>
  </si>
  <si>
    <t>AFC87969F4DF7895A3A9E092689E990A</t>
  </si>
  <si>
    <t>JChemExcelW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N1/X9L/n/F/r+m3F/TfSflR+m7vs492xg8/fXj/wb37+58+PLi3v/Ppp+n2zvjep/u7O/fvP9g/2N//dO/BPfpwd/zpwwcPDqjZp58+2Pv003v3Ip9F3j1Iu108SPfG93bu7d2nNw4Odnf39++l98af3vv04b3dBw93Pr33cP/Bw3R//PDBzqe7Ow939/Y/fXCfhrk/JvSCNnvjg0/9Tx4QnvfGu5/u7e/uPqCPP32w+/Dhfrq9P9759MGnO7s7ezt7D+mXg26zvXT7/vjTnbDNw/HufR+Dex+l10QxGvUOYe6e+yDEg4f+R/v7+KzbbGdMQLxn/366O9478D+6VaP9XqM9pvzefb+/g0/pxYP9BzuE/v37u5/u3vsU9NkZH+ztENQHBwf7RLKdPXT58ODh3u7D+zs0zp0H9wmLHjT6DkO6T+3vEzYHOzv7Owf7e/2G+58SvB1i67uWr48eT6rlzPuVGf1Vft7sKa9/lFb1LK8/+2gPL6JJpCEkwjbc3dAQcnMriJCuW0GEDN4K4q7fcBNEiPStGkLwb9UQ6uG2DXd3bt1y91YtoYTcLG5qKXrrdk1Zvd2K7mHLG4FGZ51/KJfeNZqafu1p8btOxSeP75LxOEr+H37U2aBYBgAA</t>
  </si>
  <si>
    <t>6CCF4FAA56F4BB3B6931583614FB4092</t>
  </si>
  <si>
    <t>JChemExcelT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x/778KH2399lH27vj/Qc7uw8OdvfvHzzcube/f7q9ez8lxO/d+/TBw9293YO9A/r403Rv/OmnD+7dP9jbv/fp/U93Pn34oNfqfqxR56MHu/3X0OjhzsOHDw8+vbfz8P7uzkNg8WlK5E33xzs7uzv3HtDL+wf7uzufEl3v3dt/sPvp/sGDewRify/SpvvJ/v2P0msa7v74092H3nOQ3hsf7PufPKR3P90jhO4BIe/j3fH9/R3v2U0PxgcHRLn93YcP6M+9+3uM9PbO+MGnwasP0m0QYefTe3u7hPGDh/t7B9yUQN4LWu5H3karhwf37u0c7O99SvN0b+dTnqLtPor0yW6A4j7x0l3LTEePJ9Vy5v3K3PUqP2/2lME+Sqt6ltckBXgRTSINwYa3bbh/q4Zgadtwb0NDMP6tIEI8bgURQnQriBC1W0Hc9xvegOPuzq1aioDfvunt5vG+aIt+S/6hbHLX6Cf6tae77jrFljy+SyrzKPl/APVr2khOBQAA</t>
  </si>
  <si>
    <t>23C19419229C85DEE931D3185FAC8A20</t>
  </si>
  <si>
    <t>JChemExcel8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EV6wv99yb99mcon5v/xb/Dvi4/Sd3uffbQzvrdzf+fezs7DBwf793ce7O+lvY8O9tNtIv7ewaf7D3f27j082Ht4/2Hso+6bn37a++jBw/vp7vjTewcPdh7u7T789MG93d3d/kc7n6Z744cP9u4dHNzb372/s7u7f7/3yUG6vTfef3hv78GnO/cfEuz9h/c/TbfvjQmf/U/v39unzx883LkfbUYc8um9+wTswcGnD+/v7xKZIx89JPT39nb2P/30/u7epzsP70U+6b120PuIGu2OH9Kvn+493Dl4cLC3++l+/6O9dJdw37m3t79HFPt0d4eI0f1oL30wJrD3Hzz4lIh6b/c+DeXTMQ3Oo8uDSJttmoiD/Yfec5BGPiKU9jofbfc/+yi9JtYhQhN5/c8foPH9e93PdsYPPvU/ewi2eED0Ht/fTwkIMOm12OYmgLe/4z0kOb0uiLrjvX0i96e7D3bv3Xuwv/twn0jw4MHu/U93d4llaOIffnq6Te9ud1sCv/+/jOPT8e79AGC6/QCM/+mDh7t7uwd7Bzv39qMf9V4kRXfXarqjx5NqOfN+ZdX3Kj9v9lT7fZRW9SyvSUXjRTSJNISOvFVDaFLbcG9DQ+jbW0GEVr4VRGr44FYQoeFv1XDvtg1hMG6FI8zGzq1Awtjs3qql2KjbNWVTditM7wUtNwJlu3i7pmw+b9eUreytUBVjfDuobLNvBxVm+3ZzJR7ArZqCArdsKj7FrXBlBG45W/BInIhuRIAdmds1ZX/nVrhiYr2mG6Gy93S7puxk3a7pA/HF+k35h+rKu8aDpF973uVd53omj++SU3uU/D/YvJ5D8AoAAA==</t>
  </si>
  <si>
    <t>16064F60352BB1A8B33E2532E3AA9886</t>
  </si>
  <si>
    <t>JChemExcel+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32//syfRH99MuP0nd7n320vTf+9NMH9+4f7O3f+/T+pzufPnyQdj97sHM/3d4f7+zs7tx7QJ/sH+zv7lAzItW9e58+eLi7t3uwd7Bzb3+//9mn/Nn+pwf7+/f29/b2dwnkg73TbRpb7/VPex/dv0cf7d6//+D+w/u79w8+fXh//8EDfrmHdtpFcL/f6OBev1Xkk/uExf6D3U/3Dx7cI0zuPex9cpB+SqAP7j0kqA9393d2H+ynBwRnb+fB/oN7Ow8/PdjbeRj5pP9Wv69um/v9Nh+l15g64uUHB+n2w/EeEflgvP+A//30of+k25+OH97b8R4iHn1GfIVv9jqNI+8T+Hv+Jwf8+v1Oqwis/fGnu52P7o0P9jsf7Y2JOuFHu+P7QY8Pdxmx3QcP9u/ThMpP4oJPUyJAiC4z794BMRoxzb2dg92HBw+4ZR/oQaTvT2+FNbFRjwQHJPF3rcgfPZ5Uy5n3K+uAV/l5s6dq4KO0qmd5TcoLL6JJpCGUxW0b7t+qIRTPrRpCPd2qIZTYrRpC1d2qIRTirRru37Yh9OfOrVqKGrZN925qert5ZIUeNkUbMRhH35b39K/NQG43y2I8bteUbcztBsym6HZQ2WLdDiobtttBZft3O6j3g6Y3Tc6em/KNYsaG91YIcNOo8PIPVQ13jStBv/bcjLvOB0ke3yXv5ij5fwDNmWO4+QgAAA==</t>
  </si>
  <si>
    <t>D0D9A7941090E929FD5A4639A31DC8DF</t>
  </si>
  <si>
    <t>JChemExcelN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PHfi1R+uv++5P9Oyo/Sd3uffbR9f/zw/oPdnZ2dBw/2Hx7cv//p/XR7f/zp3r39vZ2H9OeDnft7e9GP7o33Dh4+2N89uHfvYH9v/+DT/XR7l6B9uvPp3oPdvZ3d/f37hOn2Dr26d+/g3v2HO7vUaPf+frozfrC7u0ew7u3SB5/uPtxP98Y7+/sE7tP79/Y/fUj/3kvvje89OKDfHjy4v/fwwacHDyOfRF7rAj+4n+7TR3v37gHf3b37D/bu9T6538fz03vpwfjgYdDqo/SaiLYzfviAerIPvb0z3tsJPnq4B2rcI6zc82A37b56bz/66tds9h6IbO8RR/ufffqg3+7TvX67B5/Gut0b39/tIbxD3H3XsvfR40m1nHm/Mr+/ys+bPWX5j9KqnuU1ySVeRJNIQwjGbRvu36ohhOxWDSGKt2oIgb1VQ4i1bbi3oSGE/1YQWUXcCqRoklsBFYVzK6gPgpYbgaL/200lBnW7ufwU2jDWkn8o8901eph+7enou06BJ4/vkmk4Sv4fxt4eOTYGAAA=</t>
  </si>
  <si>
    <t>C1E00DF5219F38F49E71F1EA2E6A9BC7</t>
  </si>
  <si>
    <t>JChemExcela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N6kn5J/+HnC/6X/is/EuzLk3lWX1CrndT9t6s/twnUu73PPtreHe9/+mBn/8HOvf2d3Z2Dew8fpP3P7qfbe+ODnZ0He5/u3r9/cO/g4ME+tdsZ7967d+/TBw9393YP9g527n0a+Ywa7o73dnbu7e7u7Tz8dP/+3r29vVt9tJ/ujR/sdz6iDu7de/gpYfBw5979/QefPjhIPx0/3POb3fsovcbY9sc7BzsPvYfHcX+/+9nu+MGDXftjZ7x3L2hx8CDdGd+/d+B/9oBw23nQ+eje+NPd4KODWKvIR8RixBB3LUccPZ5Uy5n3K7PIq/y82VMu+Sit6lleEyvjRTSJNAQv2YZ7mxvu3woi+PJWDcG9t2oIHr9VQ0jCbRs+vG3D3Z1YS/6h1L9rZJd+7cn1XSf0yeO7pE6Okv8HiYNk/moEAAA=</t>
  </si>
  <si>
    <t>5B5C9C1DFAFE93B217B55DB0875D57E3</t>
  </si>
  <si>
    <t>JChemExcelth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7/4KM0L3NQ4s31KifCpi/Sk+C/L/X/5l/3321bfkn/veZ/v/wofbf32Ufbe+OH+58+3N3d3bv38NN7e5/up/TR7v2Dnf39vfuf3t/fPbhP2G3v0nzt3n+483Dv3t7OwX0iDH30YOfhwf0H9w8eHjy4v3vw4ACvHnz64MH9sNnBwwd7D9xHe+k2scbBvf177rOdg3RnfHCws7u/t7+7s7u3f7BLtN4Zf7q3t/vpw50Hnz54uLv/4OF+ujv+dP/gYO/B3sP9/Z1d+vgBXqQud/ce7n368NNPHxw8BPxPPyUYNJ79B/v7Dz99yO99uvvwwQENdP/ep/c/3UvvjXcP8NHOp3sP79NA9+mTh/cJ+u7D/QeE2N4BfQTg9NG9/f17BzsHD4ggDOre/U8P7u3RJ/c/vbcrKOzt3ScK7nx6f+fB/o7i8ODB/v29h7s7n+4CV9CC+qZx7z64f+/eAwIrze7vguAPHu7sPXxI0A7Gu/d8NOgDIhTQ2N3/9P49Gs3DMaG9t7MHmhzQb/v0yb0Huw/vEfq7RNJ79wGFvt7Zt23uUZvdA8LH+4Rk9OHDg3ufeoBILB9+6kP6FB892KGx+a32xg/uEeF2iJT3H2Ls/OL9h/d27hPE3U/37pEcEPh9ArXz6YP9T/fv79x/8IBf3Hvw8OEOTeL+vYd7O7vp7v5471N8RKPeJdahDu+PCfCnxEeE8N6DAwOdPiJa3d/Z2b9HEsygiBy79x4+pLnaffCptKJBE7r05qd7Bw8EB3z04AAd3CdyPqQJpPf2Dh7eJ/YlTpFGmK49YpmHe/fv79GU7pCSum///2C8wwzy6UfpNcnNp+MdmrQHOwcP90lAHt6/l+6PPz04IBF6SIPdOSCNcg+ycLBLdCLG3d2nyd4b3ycyPPQ+IeGgMd/f+XR/d48meFfY8gENxmvU/2SPZnvn4b2gDfX9wAME2ETE/YcPHzAb3t99sA9u23tITYAm/bh37x4zKgkTUZ9eJp7e231ImpA49dN7xN0PdmnG75G0PbwvnxEf3r+3S2qCX4fAk8yRsJIQ01Tde/BQPrr3gGYKMoEZpX5pih8eEP8AOZpzEqzt+wRtl2DcJ17fgeTyR4TeLs3gLqF9cF/eI8wfkKDS9B3gI4AnfiNO3gdwYrMfzcX/e+Zim0Rp774PC5+RAnnof3Yv3u5gTLT1Pro/AK73GTkBd60XcPR4Ui1n3q/sFrzKz5s99Qw+Sqt6ltfkz+BFNIk0vNdtiBbieRx9V97SvzaB2L9VX/BSbtUQvsytGn66Aftv3w57OE236guu1a0awgG7VcN7t20IX23nVi3F7btdU/YObdO9m5reux1U9jVv15Rd0ts1BdTbsYQ4uLcbFvvBt4PK7vLtoLJXfSuo4nzfDuqnQdONUNmVv13T/V5TtHk/+ZeQ4Xb9cWRxu6YcgNyu6YNNo7ilHpBg53b9cUx0u6YcOt2u6f7tmwLq7ZhBYrbbNeXQ7lbcyE1vJ+X3MKzbcYfEk7drCqi34w6JTm83LA5ibweVY91bQZWQ+FZQJXK+FVQMy2u6Eeo+YvDbNeVQ/VYIcNPbKVpuGpUt/qFOzF2TB6FfezmSuy6Bkjy+S6mZo+T/ATp/kYy2EQAA</t>
  </si>
  <si>
    <t>A144C0E9E90D27BA0E0D315DC0E187B2</t>
  </si>
  <si>
    <t>JChemExcelp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D6Ij254b8v+b+T8qP03d5nH23vjR/c29/Z39t9+PDBPv23t59GP9sf73z64MHe7r293fsP7t/f+bT/0YP+m4R977N799Lt3fH+zs69T+/tPHjwcPfh/r0D+owm5dNPPz249/D+pzsPd/d39h58OvBh9+1PH/Q/e7Dbf3nn4cN0d7z36acPH97f/fT+g3uffnpv/17vo3v76d740x0a3P7ewYP7n+4TjAfpvfFDanyfhvLw3sO9Bzv37vc+2u+/+PBT4qe9Tw927u3dv7e7t7fz4N7DPvT04Xh/32uznxLqH6XXNEH3xoTV/kP30Nu7u+EnxK77D+5jvLsP9+7vuIcYiT58+Gn4Iabk/s6eB+IBEfDeeO+B/9lBv9nBpwrO730v0u/OPcHJb3e/j/iDfisF5nf64CDSq2no97p/PwKvT60+RcxQ74Ps6fan43v3AwxIkO9aST56PKmWM+9XFu1X+Xmzp9L9UVrVs7wmnYQX0STSEDrgVg2hKW7VEPrkVg2hdWzDvQ0NoZtuBREa7FYQoeduBZG14a1A3g9aboIp6vV2TXvziCai3I++La/pXxth7N6OGUTh364p24VbUeZh0HIjUDY0t2vK9uhW/YvZuh1Utm63g3ovaLoRKhC4Hb9hWHtRNuIfKu53jdWnX3sewV3nLiSP75IjcpT8PxcwauSkCAAA</t>
  </si>
  <si>
    <t>945A152031FD33EEA763ADA60907074D</t>
  </si>
  <si>
    <t>JChemExcell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90f/cb/jvdfDXSUn/+yh9t/fZR9ufjvf27h3cu/9wZ/fg0/3dT/fT7f3xAf11/9MHBzs79z7d3XvY++heun1vfP/+p/sPHnx6/2Bv52Dn4b376fYewdp78PDg/r1P71HD+w8O0u2d8cHBw93dh/u7+/fv7+3s7d1Pd8b7+/THwwc7D/YefLqzu3eQ7o4fPDggPA72Hu7u7O/sf/qg/1F6jyZi9+Hug4f3qTvqlOiyPw4gEZX6n3RfIwx6H/V766O5GxnNvd3IZwf9V6Md9Oj1MD0Yf7oXYP9Reo1Z2h3vf+o/Dx6g308fBp/tUb8H+/e8hyjbf3Wv/+qnkXaf8nA77e71292/D2bY2QmaPcBnxBzes99vtt+HRtPc6/V+b1zUandMbOh/FB19t9XePub+fu+jh3v+R/d6jfijbiPSGiTjd62QHz2eVMuZ9ytL/av8vNlTwf8orepZXpN2wotoEmkI9XDbhvu3aghVc6uGUEi3agi1dauGUG63aggVaBvubWjIivJWIEWf3gqoqN3bQWXtfCuoB0HLjUBZ3d+uKVuF2zVl43ErVB8ELTcCZWt0u6ZstG7Vv9i220FlE3g7qPeDphuhHsCoxpryD5Xqu8bM0689F+Cu8w+Sx3fJ8zhK/h+L6lOzlQgAAA==</t>
  </si>
  <si>
    <t>34F9B07BC841D4FE410997F917352F2A</t>
  </si>
  <si>
    <t>JChemExcelh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T9IXqfvX/ZT/Xgd/naTP+D/89mV6UtL/Pkrf7X320fbOeI+eBw8P7t/79N7Bzs7+frq9O75///7D+wcPH9zf//TTnXsP0u298cHBQzR4+GDv4f7Og/3+R5/e7725T0Pu9XD/frpL07F77+HDvU8Pdh/u7Ow9vBf7aG+8v39/58HBPfp792CH4Pc/uTd+8ODgwf0H93d3D/Y/3Xn4kKd6b//ep5/eu/fpg/3de0TVT+m1T3d3qdX9+zt7u58eRD7pvrbfA33Q6/5eH+2D/dhI+jR4cC9CrL3bEfDTT/f61Kd2+9Tu3r3dB3u7D3f39nYBbo9wCVrRvN0bf3p/85s7D9Pt+4TIpw+p3f7Ow/s7u2CLT8cHD3c+BWJ7RJndBwcpCd2neyEdSQw/Sq/BWfvjg/s0IfZ5AKCf7vkfPUTXB/d3d9yzCwTv7QYf3cNA7u/rVz6Ag0/lq+AzUJFe8z/aZSreCz67j6mij8Ke9sY7Dx72vtj5VL8g4pH47o/vHejvfqMH3hcHXlfMOlGw5ovIGwAVfBRDamd8/17nIxrozt7+pw9oJncP9g527hH/Ui+f7u95n30qc+FTeb8/F/uxVgQ+3T4YP9gJPiZFeddqyqPHk2o5835l1fkqP2/2VHt+lFb1LK9JxeNFNIk0hI69VUNo4ls1hL6+VUNo9Vs13L1tQxiJWzWEKblVQxicWzVks3SrlmK9bteUjZxturepKdvC20Flk3k7qGxZbweVDfDtoO4GTTdCZZN+u6Zs+W/XlB2E2+G6EzTdCJVdjls1Fc/kVgiIA3M7qOzn3AoqKOA13QgVCNxO9MXBun3T2/EAN70dD8DJux0LiO93u6bsIsaa8g9VwXeNY0u/9pzeu84jTh7fJV/7KPl/AGwW3yuHCwAA</t>
  </si>
  <si>
    <t>CBD106EAC90A7A75E7D79E603801AA09</t>
  </si>
  <si>
    <t>JChemExcel1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VP77Mn2hv+G/F96/7rMvg7+ffZS+2/vso73x3v6Dvfv7nx58unf/wcMd6nln/GB/5+HOg3sHu7t7Dw72CcntnfHewcP79+89uL/36af7Dx4+2N9Pt3fHDx7ef7izu3P/wYOH+wf3Dz5Nt/fGB3uf3vt0b/fh7v2DB/fxwd6D3QcHD/b2Hu7e2yN4D9Lte+MHDw527+3fv7e/9+nevXvUwf6YkNjZ23mwc//+w4cP7j9Eq729e/TX/Qe7BzsPdolO6HH3wd7uHiHx6QNqesBY7O0T5E93Ht6/d+/hp4Q1jWDv0/s71G7nIQ1pn5rTR7sHn967R00PPn1Ane49uJfujj99uPcpDWbv3sHO3qcHhMfeePfTg/uf3qfB7u7TyPbTe+NPH+wD9Z2dvQc7u5/ee5Duj3fv7zx4+PDeg91Pdx7cP7hHjagvGsfePRrX/sN9hr177+HDnYeE2cH+wcG9ffpol5Db2X9A3+w/2P/03n167/5DwmWf6L17f+/ep9Rqj5Da3bl3nwCCivc/7TWij+6Pdz7dOSAU9/f39j+lWet+kn46vveQ6Ltz/1NCcf/hvU/TB+MHewdEkU8PMM006Mgn3bcepA8J7u4BPUTKe7s7Ow8+Sq+JbWhydvc/JX44+PTTAyaZmfr794iTaM7u7xxgCh8+IEp9evBwf5dITbDxGc3Np7vET0Sxe0SJPcw+cRJmfm/3PgEjMhC03YP7D4mp7tOYD4gVMdMHNDM79PnuPWK4T/fBlzRLuw/2CYe9g/2HezQXYF8QfY8mgpgAU7+/d2/nYH9vd5fY+uHuHoPa2d+9v0/D39/ZIXaluaDP7n1K3EVvPsAQgNf98f49anXv4R6BJjbBJw/u3yfiPLx3DwR4QIN8QHy6s3dvn4ZJ7LVLMk4fETMTqxEQotn+p9QjEXLnPv1KJNx9uE8sTh0SUxKzgBAH+/doXPtodrD3kCZgh6TjwQ5YcvuA8Nondn/48CHxDrWjN8Fe1Bchcu/+HpNwl8hPwHfAKIQ+fUufEaeSkByQDH+6+5DkFyJE9L/ntbv3kN8lynifHXAX4HkHr99sfwDaPk1KF1rvM9Kld60yPXo8qZYz71fWrq/y82ZPFexHaVXP8pqsAF5Ek0hDqGHbcG9DQyjrW0GESr8VRGr46a0gwjzcqiGMyK0awtTcqiEbpFu1FLt1q6af3rqlGMJbUXMvaLkJKIyqm/ON3bP9vV1TNtO3a8rW/HZN2ejfrin7Brdryi7E7Zqyp3G7pvdv3xS+ye04QFyc23EAe0K3g8oO0+2asl91OwR2g6YbobKndrum7NDdDgH2+24Hld3D20HdD5reBPVelAf4h2rru8ZNpl97LvRd518nj++S536U/D/8k0SB1QsAAA==</t>
  </si>
  <si>
    <t>6C880750CE56E7DB8301D6B1161A68D7</t>
  </si>
  <si>
    <t>JChemExcelu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t9kZ7wf1/qz+h/5Ufpu73PPtr+dLz74MHO/s7u/r29nXv37+3dT7f3xwf79+59uruzt3vvwf39hw+iH90b3995+OnB7sHDh/f3H+x/uptu7xGwT3d29h7Qs/twf+8+NduhN/fu7d379P79g4e79x7u3E93xvv02/37+5/ef3jv00/39x+mu+ODvfs79/bvHzx48On+pwfU6t54l/6i7nYe3n+492B3/366Ty/u3Xu4d3Bvd39v58H93cgn3dc+3YsB76FwP4Lpbv8zmo7uq/cOuh08ePhp7KOD8acPAlw/Sq8xBbvjvd37Dw4e7j+49yn1trvDuBBK4WfExA/5t71P73F7atZ9dTf65m17+NrtMPMP7oefEHvseZ/sgGV6rSJjIsJ96n/04ICmdH/H/+iApn33QfhJr82DHqSH92judkgS71pRPHo8qZYz71eWzVf5ebOn4vlRWtWzvCYdghfRJNIQQnzbhvu3agiFcKuGUBu3agjlcquGUEG3aghFZRvubWjI6uxWIEXr3QqoKMfbQWUdeiuoB0HLG8i0e7u5FNV9q+5Fw98OKhuC20Fle3E7qGxWbgd1P2jqQeUfKlR3jS2kX3t28q4zosnju2Sej5L/B0E1Hui6BwAA</t>
  </si>
  <si>
    <t>2C95DBD5D78449AFB9D7EA955DF7213C</t>
  </si>
  <si>
    <t>JChemExcelN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470UqP+W/18Ff+l35Ufpu77OPtvfGe58+2Lu/f3/nwe7Og0/vP0y3d8YP7927/+D+vYP7ew8efrp3bzfdGe/v7Ozu3Htw79P7+wf7u3uEVPez3b376e74wb17Dw72Du4f3Hvw6f7+/b303njn0wf7n+4+PNjZ29nfpy/TfXpzd5feoE/u7d0nWP1POq8d9EDv3+tisPNw/0Ef+/v7aX+Q99Lte+NPd3ao6ad7Bw/v3f/04f3oR7E3uz3s3+9/RpPUe/fTT3s0u/cwPRjfP/CHfv+j9HoPjPvpw3sPved+ujfe/9T/6ODTtNuKiLsz3r0ffHT/AOh9unvf+/DhPrcjZNxz79N+uwMexu794N17+OzhXvDZLZs9uF27g/1Iuyh2vVHEBvuQ+IvG1/nkwYN9/tf//AEB3CGJvWtF9ujxpFrOvF9Zhl/l582eivFHaVXP8pqmDC+iSaQhhP1WDaESbtUQiuNWDaFebMO9DQ2hhG4FEarqVhCh0G4FkdXerUDeD1pugil69HZNWd3erilr5VuhKsr7dlBZx98OKpuC20Fli3E7qHtB0xsY75YtAdMxykZM2abduulelAP4h0rqXWOI6deekb7rLHjy+C75BkfJ/wPOHYzWNwgAAA==</t>
  </si>
  <si>
    <t>64D0C3A14B095FCF3E0627DFE13C4EAE</t>
  </si>
  <si>
    <t>JChemExcelm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SfHvl/Sf/P6a/5X/vkxNi5PyIxl/eTLP6gt6dyeV/3bp/9u7+sfAfx+l7/Y++2h7f7yzc2/v4OHe3qe7e5/e29nZT7fvj+/d+/Thpwf39h88vL9/796D/kcH6fan408f7Hy6/2D/04cPDvbuPdjvf3Q/3T4g+Pv39j69/3D3092dfSJNFxa910XiXrq9N/6U2uzu0Dt7Dw/2PgV4msF79x/e26G/9x/s7N0jem7TrO/s7d3fPfiUOt7bfXj/4X3qFi139/ceELzdg/sH9w4epgB4f3fn03sH93Z27x0QjvQRAd452Nnb/XR/n96nfvfpxT168f7e7v0HhAwYZ8f/gOaTsH2w+/BTgvTgAQ3iIKVh37v38OHu3v7OPsZ67376YEyQ7316n+jx4MHDhw/vpwfjBw93H+49JFyIQrv3PqXX7t2/v/uA4Ozt7T+8f/Ag3d0bP3zgN7r/UXpNs7Q3frC3Q/QgzB98uk/joAE+vO9/8inN9nh/t/MRUQcEu7fzKZHs3n0a2qeg4sFD/zNQkantf2ZmwPvsXh/cPrHGbbolgtym2QA4Guv+3h61Ixrc2z2geaaZ2/t0b3+XmGB//+EuzQy993Dv4MG9Bw939mhmaJ4YPiZt5/7u3sF9JuD9A2r34NMHBJk63SNOuvfpHtp9eu/hDrEOzce9A+ocHx3s7FCbB58ePHywc3B//wET7mCfUCX8Dh4Q3zzcI2g7pCHuWhVx9HhSLWfer6wzXuXnzZ6qjY/Sqp7lNek2vIgmkYZQLrdqCBVkG+59JC1et3mdV0dv5C39axAEVNit+oKiC/ra0PDBrSAS9ge3agjVequGrIBv1VL09O2asjq/XVPW+rdrysbhVgQVG3I7qGxqbgeVLdLtoN67fVNAvd2siim8XVO2mLdvGp1Y/qGyedeYevq15wbcdT5C8vgueR9Hyf8DE+SJUJkIAAA=</t>
  </si>
  <si>
    <t>ABA906E52BA19DADB6F9B944474E0B23</t>
  </si>
  <si>
    <t>JChemExcelp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Ov99yf+Fv/PPj9J3e599tL03vv/p/oNPH9zf33344NOHD++l27vjvXu7OwcH+3s7u/sHD+8/2O1/9un9dIdot3f/4c6Dnd1PH9CPh58+7H52sENj2R3v3/t079OHB3v37u882N3df9D76NP+iwf9PunF3mc9NA527h+ke2MMhb7fv3/v3v3d+wNY7Izv7+48PPgUEHcf7t3/NH043n3w4B59f3Dw8OHuHlH5wfgALx7sfPpglxoefJp+Or6/4wPvNbkfAUNsdLC//+mn9/fv7RG994jOu/eo1cG9/f379/f3H9y/t/cg2qqH5EfpNU3c/vgB5muPeuF/76f74509/5MHRIb9A/+TTw+IDA92g0ZM+gedj7apU/+Dhzv02d54917w2QN89nDH/2y332yvD43osb0/3t/vNOsCi4zgAPN97+D+jvfs3UMP/Q/x2f5D7zmItAMvPtwLmu2Dy4jQfjPtImh3H6Trgdvuwfs07YMj/XDXKoijx5NqOfN+ZY3xKj9v9lRpfJRW9SyvSbPhRTSJNIRquVVDKKBbNYSaulVDKDPbcG9DQ6i8W0GEYrwVRKjPW0FkJXsrkPeDlptgQinv3qolVPjtphGK/3bzKDbidk3ZlNyuKVucWxGKm7ppuhGB200UhrV3O/qLNbwVrtz0djPACESngH+ooN41Vp9+7XkEd527kDy+S47IUfL/AG/7K4+kCAAA</t>
  </si>
  <si>
    <t>2E3B30999458013941B01526F7CA7DEE</t>
  </si>
  <si>
    <t>JChemExcels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2G/71Iv+T/5C/zu/z88qP03R5o9+mnD3YeHjzc2ds7uL+zfy/tfXI/3Rnfu3dvf/fhg4Od/fsPdnboR7pNVN/Z2bv/kL6492B3Z+/B/chn/Vf70B4e9F+8HwG230PtPr25B2gP7x3sf3pv9+HDnU/3e/Af7KcPx/s7B7v3Pt379MGDTx/u3t9LD8b0OX29u3//4f7uLpH30/GD/Z0H9NIe/X1v52CPuIE+8Lr7tNdmNwKHOOzB/u7B7v17Bw/vP3ywe/Aw3d2jVvf3H+7f393d37u/t3cv1qqPJPHqR+k1zdL2znj34d79HfvsEggi0IN7e/sP3XMf5LhPNIt89yAVIP5nD6mH+w8e+B/tpXskA8FHD+ijg4MHfu/p/nh/L/yE2/iv3VNkvM8OPk2398c7RAJM0oH3Pk30PSDY/xCfBTgfRNo9INboDI05NKDZzo52EbS7/2kflwfybtDu0zQG7sF4dy/48D5J/l0r+kePJ9Vy5v3KuuBVft7sqTr4KK3qWV5/9tEeXkSTSEMoDdtwd0NDqJZbQYQCuhVEqKlbQdz1G26CCK13q4bQjbdqCA16q4bQoztBSzQRvX30bXlN/9pEud3dW/UGLe7md1NLUfi3a8p24XZN2XzcbvLQ9HazwgiE8+KR7bu3IyIP+HZzJkbvdqNA09vNDRDYCyfnxlHwD5Xlu8YHoF97/sFd5zwkj++SW3KU/D+mOzfUsggAAA==</t>
  </si>
  <si>
    <t>ECEA4E59F19FCF07D5D64FB3A14751C6</t>
  </si>
  <si>
    <t>JChemExcelAR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7d+yjNyxwEe3O9yon+6Un6InX/fmn/lb/Nf6+Dv77+W2j1pfz7UfpuD0yxe+/+g92dhw8ODvbvPbhP1NreGe8+fPDw04Pd/b2HB/t7B7ufRj7cozH2Xr6X7o33P3147+HO7s7Opw926fPIJ/fGBzv3dj59uLe3t//w4QG9RQx179MH+wf39vfv7T04ILJ9Ot5/sLO/92D/0093798/eLifPqC39nd3Pr1/8ODhwb2HNJ0P6a0H1PrBzsOD3d2Hn95PiW33H+zuf0qQdj/dT7d3x/fxy4M9+mR3797uw710ew9wdu7vP3zwYI8A09Rt74/3Htz/9B7D+fThpzsH6fb98d69+wT13sN7O/f2dgij7U/HD+4ffLq7c/Dp/f3dgwc0z9sPxvf2CO6nhOnD/Xs7O/todY/afLpLo9k52Ll/n9iQ4B/cO9j7dA+9PLx3cP9T/mznU/+z+8Ds/v79/U/3iDr3dh7scrO98d4OUWSH/tjZBXXuYSoe3KPxHuzvEz2IAp+mO+N7NBxqQIB294lgD/bpM+p9h4a8s7O3R9/s7jJB9nc/vf/pHn366QFNAI1+jwhC07e7e3D/3v7epwRtj8h2f/8BzcS93fsPD4h6/Y+i7xEd9/Z2HhI/0LD3H9CkxT66T6DuE7b02c4BMRKxyKcE6uH+/sO93YOHIDBBP6AX7+3uEUvsPLh38DDde0ivfXqwQxxBrEcke5De2xkfPNzZp/kg7ntIE5reI3LtYYQPdoiyNCH3070d+mh35z5NEkj06QFxycH4Ib21T7NPIyJeIE5+QIxD34Ka+7ukFnY/Hd/f/RRYHRA5dx6S1O/ujx8+3KexEObEVDSx9AnR1bAbfX4v3b1PU7H7Kf1/j2Zsj+YToB5i6g6IcASQ9Bf19ulB+MlDmucHe/dofLvEEQf8CfEozdO9nYc0bswoTcLO3i6g3tshUkLa9sb09/4OUYqaPdjliSIYD2jSwYDUx6egwD3iyXsPHt4nQt57cHCPeAP0955d5qpPHwaPyE/w0afp9r3xzoPuZ713D9LIq71WaR/WR+k1aSUI6d6Dh6QOaHZIc9xjud25739Ek0T93t8NPsPQiKlJS9y/Txxx8JBUTqQd2YcePCJer9t7/WZ7LJTfYLMewkxP0nr7kLeHD3cfgt9YAdOHNPc0laQ3dj/d+RQTdI/e3N8HN+19+vBAPiNlSoL/gD4nJUJchT5YAA92D/YfEqfugZ3HhAGpm3ukNsA6mLI9YhxSaLu7xIH03wNS3p8SwjugLIkFZJQ+Orh3nzTH/t69e8B8L90Hf31KLE4K74A+OaBPHjwkkXtw78Gnn5LyIva6N36wD6VGmN3f3XlwwIAgqqT+H9x/cJ94Fig9OHjwgOgA7UdankznjzjhR5ygnHAwpm/JcpHq3IXXsR/96OH44Q7p9V0ymQ9hDGOfkPe6tw/9/JBM6+693QdsyoED+TOf7hGtyU7AB3i405m1Xityae9an/bo8aRazrxf2cl9lZ83e+rnfpRW9Syvye/Ci2gSaQjn9FYN4ZneqiHc0ls1hP99q4a7t20Id/5WDeH036ohQoNbNeQA4lYtJc64XVMOR27VFAHL7SZSYhvbdG9TUw6BbgeVI6XbQeWA6nZQOe66HVQOz24HlaO420G9HzTdKEkcF96uKYePt2vKUeatcJVg9HZQOWa9HVQObW8HlSPg20HdC5rexK+3bCqh9+2acoR+q6YSyN+uKcf7t2vKaYFbNcWwbtlUEg23a7qPfMTtmnLa4nZNObtxu6acBLldU86V3K4p0im3m1jJvNyKXyVBczuonMe5HVRO99wO6j6yQreDysmj20HlHNPtoO4FTTdC5azV7Zpycut2TTkHditcJVV2K6iSUbsdVE683Q4q5+duBZWHdUse2Ll1U0kMBgigzes2r/Pq6I28p38NA+HM4u364wTkrQbMTW835RjFp7eTZcl63goBbhqVZf6hLvVdk1KmX3vp5rsuF508vktZ7qPk/wExf4A1ARcAAA==</t>
  </si>
  <si>
    <t>7D205957DDA5D87A4B75AF3C4C5AE871</t>
  </si>
  <si>
    <t>JChemExcelk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90f/cb9H/yo/Sd3uffbT96Xjv4f29g52dvQf3Hux/mm7vjx9+uvvpzs7Dnfv39z+9/+n9yEf02b3xp3sPHu7tPji492D34P7ew3R7j0Dt7+3vffrp7sHDnf2H9wjaDr26c//Te/f3d3Y+3du/f7Cf7ozvPbi3u3v//sHuAwL14MG9++nu+NP9+/f37gHA7h6NjQi+s3ewv0s9Ptx9uH9w/yDdG+/f232wv/Pw3sF9QpWIcW/8cOfevb17O/cf7u8f7Dy4v5fuj/f2CVPC5wE1ffAQjXZ3HxCc/d37BPng00/v0UefPnj4AK/tfbr/YHd3/wEBf7jjf3TvHlA4+PQhYbq3s/fpDr0ONHf2aYQHBwe7Dz998OlDmiAa4T6RDmgcEPIPP6Vxp9u74/v3P927d293b/f+pzsHDx/go73de/fv7xwc3Nv7lIZ+jwixd/9gh9rce/ApoBLl0gOC5uP/4KP0eg/MvLdLxNslyu7vHRzs7OHt/X3/I/qBTnYe0kgP7h3s3qdRPDzYS2/5arfZLiYq1ozw3Xm4f3/nwcH+pw8eYFoOdu/tH9zbJ8rtfEqf7hN9Dz6lNg9psBjFzi59QoMhMhIb7B4QgIMDgvQQjPHgPvEUzTkxIHV4AKbYvX/v4R79/+A+qHv/AWab5vlTIpZS8iFY8R7NyP7Bp7t79/fBe7vEFg8OiMXuPXywT9MHDr33kKaJ+IOIQWgRH4N5Hu4QXR7cJ0LsodHOPoi/e0BzgYZMxPs0vnv3dx8SvHs7Owe7QthdYoW9vYf0EbE9IbtDAn7XSvjR40m1nHm/ssi/ys+bPZX6j9KqnuU1zSZeRJNIQ+iG2zbcv1VD6JlbNYQ2ulVD6KxbNYRmu1VD6D/bcG9DQ9aStwIpyvRWQEXn3g4qq+ZbQT0IWm4Eyrr+dk3ZJNyuKVuO2zVlA3OrUYkduh1UNle3g8pW7VZQxfjdDuqnQdMbODXekn+oVN81Np5+7dn/u845SB7fJbfjKPl/ABdpKpqSCAAA</t>
  </si>
  <si>
    <t>6499DC425E3762C8BBFB3C47220027E0</t>
  </si>
  <si>
    <t>JChemExcel5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pK+SM2/8pv578vgr5Pyo/Td3mcf3R8ffLp7b+9g/9P7B/c+3Xmwm346vr/38P7Ow/29/Z0HD3YJn/vjTz/dffjw0/v3qNXD3Xv76f54d+/Tezt7nx482NnZ2SX87o337x/s7u0+2Dt4cP8hvXiPGt3bu/8pvbN7sPvgwc79fQJ9794O/b7/cO8hvfZgP30wJgjBJwfjg3s79+7vPjh48ODTvU/37qU0OfTWw3v3Hu4cfPrg3t6DhynNx/69nYN79x483N2j/xHB6KOdg4Pd+7v3Cf2HB/sHB+nD8ae7n97/9OH+vb2dgwcH9wj2/sGDTz99eH//4f6nDw8ePqD+d3f8/u/RYB/Q2A7u79/7lJDd339An9zDKO/tPjzYuffgwd7+fRrtAXWxtwsC7T3Y+fQg3Rs/ILh7u7sP94l2RKMH1Gh3d29v5x51f7Cze3D/AHQjKj84uH///j168T7N7+547+GDhzS0B/fuE8gHDx58lF7zvDx4+Ok+gd7du7fzgEDQu/s7hDJefkBo7Bygg3uf3qff6OuHhMt9IEZQP71/f/fgwf7u/i4htj/+9N7D3X1C+97Dg3sHDzHCh7tEpf2H9z8lIt7fu09IEAF2iOJE3z3C/eFB76ODvXRnfJ/Gdh/T82CPfuITovRDmvYHe/d2aTL2d9NtkqR9ov4+4Xxw/97B/i4Ne3uXXn14QGjvgdsO7u98mm7vjYmmNMhPHxK0Tz/dJwanlwkpIvunB7s794gD7x/g3U+J5MRj9x4SHYkD+832P+0jt9/D7tM+dgTyfg87mroecjv3CNw+8fC9g729/QdEx/v3Hj4gAb9rJfzo8aRazrxfWeRf5efNnkr9R2lVz/KaVBNeRJNIQ+iGWzWEBrlVQ+iZWzWENrpVw93bNiQcH9yqIVSgbbi3oSEU5a0gsjq9FUjRurcCKsr5dlBZh98OKqv6W0F9GLTcCJRtx+2asom5XVO2RLdC9UHQciNQNm23a8oW8Fb9i6G8FVSxp7eD+mnQdCOuD8VC95vyD9UUd43fQL/2fIq7zuFIHt8lV+Yo+X8AyIB16+YIAAA=</t>
  </si>
  <si>
    <t>BF6AD22728866EF05F86DBF7A1DD74B0</t>
  </si>
  <si>
    <t>JChemExcel0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n6YsU/5rfvrR/nehf9GlJ//sofbf32Ufbn47v3dt/+OD+wd7Bpwf3dj99mG7fH+/s7O49/PTBzqcH9+/v3rt3P92+N/700wef7lK7+zt7D3YeHkQ/2iNg9x7eO9j/9N7uw4c7n97rf7SXbtOk7Ozs3X94b3/33oPdnb1PP0130Gp/9+GDg539+w92dg4O0l2AJ6gPd/b2qIf9/b30Hl58QG329nd37+1E2vQg7e7c3+9/tvdp79VPe9B3+/3tg1gEYnf//kP6iKak+8l+H/DD/oj3D9KD8f1d/8X7H6XXmI/d8f0HB/sP3bPLNNwPPkujzYh/7/mfHdCU7Iwf3Nu9v+Oeh7cG9/WbDSLiN3uY7o33HhBnE5X3g28+lW/CjyLvSz/e4Hb3mbsIR/9DTNv9A9ORT4v7BHWHBPSuldCjx5NqOfN+ZZF9lZ83eyq1H6VVPctrUi14EU0iDSHbt2oIDXCrhtATt2pIED+9VUPonFs1hGa6VUPor1s1ZC1nW+7d0HL3VjBFZd4KqGjW20FlBXw7qKynbweV1fntoO4GTTdCZQNxu6ZsR27XFMO63bSCWHtuXr2m/EOl6q6xkfRrz37edcY1eXyXzPZR8v8AW3TJudIHAAA=</t>
  </si>
  <si>
    <t>4AF595122EC5B9A37B9C07613B8ECCA1</t>
  </si>
  <si>
    <t>JChemExcely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Kn574X9bei/L/W/k/Kj9N3eZx9t7433Dj59sL/34OBg9/7Dg5176fbu+P79nfv37h/s3tvbv3f/waf3U2r2cOfe7qd7n9In9+7vP3yQbt8bf3rv4b1PH95/+HDv/u4DQpE+uneP2j3Ye7Bz//69vXs7D/Dm3oMHB/d27n2K/326hx72xg8+ffjp7r39nYd7e/v7uw8+Ra97D3fplf37+weffvrpLpFph3A7oN/2Hzz49AF1enDvHn22e3D/HsHb372/e+/epw8O9vDu/u7O/s79T+/v39t7eLC/y33c37m3v7d3/9ODg4f3Dz49QLMHn+4eUDf3CMEHe5/eJ/SojwcPDw7u7RLe+5/e/5Q/Avo7O59SB/t71BkweXCA7x8cEMIPP92nedsb79CL1PDB/Yd7RIj7n6aAv/Nw51NQavchNaNGD/YIyb1P93f2aJQH99P9MTXe29mj0e8S6e4/pE8+JUrvfvpw5+H93d17Ow/Te+P7+PVg9wHNAyFP3HF/fG//4b0DQmoXtDlAX/fuE/lorIQSYbpHH+3e39uncR3cQ5O9XR7yAX12b5+g0E+avr304fj+ng/qo/SaGOH++P7+7qcPdvap6b17+/d3Ca/dg4c7+/c+vfeAKHr/3s6nhNj+/T2C/umnezTnmFNqRTTY//Te/oP9HWIC4oLd8cMH9w92Dnb3DnY+fQBmIPIdEG8RDJrrfZoAGjVRmViHSHxATTGK+0D2UyIlTSPg3AMbMFsc0Ow/oFdpCogDDzC1B3vEELvUy72HhPUeOI8Ifo9ITW0e7O6R7FCrHUKKZmsXzHifWBWd7j98SESmOdvd39v99N4uPtsFrz8keh8cPCBp2MNM7j3YJYi79/d3aE53eFgYwP39vQMiE7Hg/h6G9Snhe/Dg3t79h8RNB5/KsO6BbfeJ4J8SozF7Hjyg0dwjuny6t7vz8OFDfHbvU+KxXZpBotPD+/vgbJK2h/vEhTuEDCENNPaJOYhzaOJomjHSvTHxOPHwzh5N1APC+VMePckT0RqD2iNSETAa+QGx9t79B8Qb9G66TYz2YJ/Ecmdv78H+PZJ6arVDKuyu1WFHjyfVcub9ykrtVX7e7Kle+yit6llek/LFi2gSaQjtd6uG0JG3arh724YE8f6tGkIx36oh1PetGkLJ36ohTMGtGrLBuFVLsSu3a8rm53ZN2Urdrikbs1s1fXjrlmIdb9X001u3FHN7u6ZslW/XlI23bbp3w/hvxyjiDdyuKTsNt+pffItbQRUX5FZQQQCv6UaoQOCWbIVh3ZJZdm7flL2p2zUFBaLcwj9UVd41riH92nMb7zqfMnl8l7zVo+T/ATXop+fJCgAA</t>
  </si>
  <si>
    <t>24B2DCB1F2C83B1E97E1BD83A3FD0534</t>
  </si>
  <si>
    <t>JChemExceld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6Ij3R/77k/9Pf5UeCfXkyz+oLarWT7qY7nf+2CdS7vc8+2t4ZP3iw4z2799PtT8effrp7797B7v6DB/d3Ht57eLq9+ym9Mr53796nDx7u7u0e7B3s3Ps07X6yv5cSvE8f+s8BfbSDj4Nudh7Qy7u7O3t793b29j/du797/9P71M39Xkvp+f69ACjR/f5u0PP9j9JrGs+98YN7+/doFPu7u7sH+w8P7qV74/2dnU/39vZ3H+493Nn/9N596vrTe8FH6b3x7gP/E7TZ+fTTh/v39h4+IPz29w4epESsvU8/fXDv/sHe/r1P73+682DnPpD7dGdnf3f/4f6nuw/vfUoQ0u298cN7+zsP93c+PdjZ2/30wQMaxD69/ODBg3u7Bw8JsQe796LNiFjEG3ctcxw9nlTLmfcrc8ur/LzZU4b5KK3qWV4TV+NFNIk0BFvdtuH+bRvev1VDMPKtGoLdb9UQQnGrhhAd23Bvc8PdnRhI/qHUv2vEmH7tifhdJ//J47ukWY6S/wdIXJVpdQQAAA==</t>
  </si>
  <si>
    <t>39195DCCA5ECDBF5E03EF5F62D7C86FE</t>
  </si>
  <si>
    <t>JChemExcelD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9SV/Q/1/zvy/09xP+7wX99iX9R59+lL7b++yj7U/HD/Y+ffjp/v7e/v17ew92dtPt++N7ezu7O/v7uw8ffHpv5+Gn+Gj/YHfnwcHe/Xu7D+/vHeyl9OLDgwf7e/fv3z+4Rx/v30u3H4wf3O999OnuvQcPHz48OPj0072dB/fT7YfjXerq03sP6K+9h3s0FvrowYPdB/cOqOnBp/cf7j9MtzEL93fuU4uHn+7cf/jpHmFxj7r8lODvPXzw8N79nU936NW98af39x7sf7r74FNCcGdvn9rRBO0+3Pn0wc79/b0HBw8PHt5LCdouNdqjT+/vP9zZ/5ReSKnd/sHew91davHgwc7B3n5K4A5o2Dv3dqntffom3ac373+6/3D/3r2de/d27+8TC9zbf3hv7+D+/f2DT3dpDvbHDw7CJvfGRE7vk3uf9jv7KL2mCdihjx/cv//w/oO93f17NOD9/XR7Z0x4H+zuH9wnZO59+uBTEGRMM0D0uU8vf7pzQJjR2HfpjU/37h/sPKQZ+/QBv/rg4acHB/f27z+kD3fvod298f17NC/U7v6nBw8fPLi3j88+fXhwjyZ+9+HuHs2pzPLuzv09wnvv3sFDGvR9dLFPn+wSXR88ONinke2M9zGG+7v7uwc7n97bu3f/0wi+9+73Gu7v9tsRQv12DyLt7vWbPSSK7n3qf3QfLx4QIz+89/BgZ4c4iziCWtG8gm0+JZ7bv/fpzh5NMubX75Kk864Vz6PHk2o5835leX2Vnzd7KrIfpVU9y+vPPtrDi2gSaQjBtg13NzSE+N8KIpTErSDu3rYhQfz0Vg2hmW6FI/TXrSBSw4e3agj9t3OrlqIyb9eUNevtmrICvl1T1tO3a8rq/FYkFa0fQEWb121e51U6rZaXpPvZpH3x9PlH3gc/mZVrMgj7Bra8saEjNi23wwlN3UTf2PR2Uw2i7EXnmn+oSN411pV+7Vneu84sJ4/vksE/Sv4fxW5+dQwIAAA=</t>
  </si>
  <si>
    <t>48104E490E6C761DD2FC6C4A5539A6AA</t>
  </si>
  <si>
    <t>JChemExcelX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0JH2R4l/89yX9/uKj9N3eZx/tjT/99MG9+wd7+/c+vf/pzoO0+8HO/ZRwvnfv0wcPd/d2D/YOdu7dT7f3x3uf3ts52Hu4v7e3e29n597+6fbup+n27vhgb3f//sNP9x8+eHD/0/0H+PxBH0If6KcH9NGnO/ce3N89uH/v/v7OfcKBXr7fw+he75P9+x+l13uYqfv3HnrPwYN0f/zw4f7D3Yf7Owef7u882H0oeO6MH3zqt3z4kIA+3Nm//+DBp3s7OwcHn376qQyJYO7Td/d2wtb3xgf7wSefUld41T27+GTXb3OQfjrevR+8RlN7187t0eNJtZx5v/Jkv8rPmz2d74/Sqp7lNc0bXkSTSENwhW24u6EheOdWEMFht4IIPrwVxF2/4SaIYOtbNQTz36pravjwVhBVkPot+YdO010jrvRrT5TvOjlPHt8lDXKU/D/HXupHXQQAAA==</t>
  </si>
  <si>
    <t>AC78266FC9689551E57118CEBDD78091</t>
  </si>
  <si>
    <t>JChemExcelN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XKf49SV/rz+C/kv73Ufpu77OPtnfG9+/v7t0/ONjbufdgZ+/+p+nO+MHB3j79ubO7f//BgwcH/U8epv336LPd8cHB/sN7Dx7u7+0+PNh7SMhFP7s3vrf/8P6n+w8fPNh7uHewd7Cfbu+P9+7vP7i/v/fp/YO9e3v34s32iOaf7jwkYPf2Du4f7FKzyEf3xvt46eD+/v3d3XsH+w8+jX3UfXGvN84HuxFixEb+YPzpXgD9o/SaiItO9+7d33u4v7v74NN9arg3/vSB98mDnU/T3fHuvc5HO+N7nwYf7fVadSF9+vAejXF3n2j3cJewIywODuithztBowcE+1Mi6aefPvj04cG9hzv3Y93t38O87T7gPzBQfHkfnz3cDz7DHO0f+B8dPJCpDD7rNwMdu9AOPu33+uAeYbdDEnPXiszR40m1nHm/sgy9ys+bPRWjj9KqnuU1yTpeRJNIQwjbrRpCJG/VEIJ7q4YQb9twb0PDXb/hJojQFrdqCJ1yq4bQPLfC8b7f8AY67u7cqqXou9s1ZbV4K0RFe94OKivZ20FlXXw7qKyybwd1N2i6ESobgVhT/qFycteYIfq1Z6LuOvuVPL5LlvEo+X8AnyX97zUHAAA=</t>
  </si>
  <si>
    <t>D18A7F946B178B23C4C4B31DFEECD574</t>
  </si>
  <si>
    <t>JChemExcelf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Nu+K9Mvww+eGF/+5K/oX8/St/tffbRNtF85+HDBwef7n567+HBpw92dtPtnfHePe+zTx8+SHfG9+/t7Ozt3ju49+nO7r17Owf9ZgcHsWZ7450H/kdEhL3xwX7wUa/Rzn5KmN1/cO/T+w8e3DvY2yPE9u+n23vjhzsP7t379ODTnZ37+/QNfbY/3tvf3dm9//Bg9+Bg78GD/ehHsTe7Pdz7NN2+T5/tf/rw/u7OvQe7Owc0AKLQw3uE3X16b+/hvU8/7X1yHwPY33tw78HDT/ce7BGAHRpA56P03vjTB/f2qLuHB/cf7hNm9+mj3YeuCRHzPsGmFt5bu+Pdg939h/f2799/uPvw4YHOz8E9ohKB2n1AXwCl3fHepz70B+nD8YO9oL/0YPzwvv/Jw/TBeH83bNN/a5cm514IOtLb7j0Q03/xo/QaDLYzfnD//sHuzqd7uw8+fXjw8FPmkgfENgf3d4iGB5h0GubD3V2aF2p1QAxFM0XE2du/j3nZp5nY36PZS/fpxYOH9M6n94nye/uxTyKvdYHvgaz39gMU7vewethv9XAPvHsQfIR5vR+A+rTX6KDbaH/nHqZx9yGxPM3uw4f7uwef7jHTExE7n+2N7+/4nxFtiMN39oPP8NFD4msa8MHB/oO9vQfEKJ/S9O7Spwd794hJwMyxj7ovMqx9It69fSLW7r39g/v7xDs0uZ8+2Pv0YJ8Enah7uk2zHv+URnGPRI24kwi+d7BDjBr/bG9ML9+7f0Dz9un9T3eoyzTSrNtq536v1aekp+9aRX30eFItZ96vrLlf5ecNMSQ0N+n5qp7lNZmcj6SF6Pyjbz++6/0lf8RB3AtADDWEibAN9zY0hCG5FUSYm1tBhFG6FUSYrltBvOc33ASRyPPwVg3ZXt6qbzGrtwIq1vd2UNlI3w4q2/JbQX0YtNwIFP3fbt7R0k18h22/ezu2FR/kVt2Jq3K7pg97Tb8GauwS3ao/8Zxu15QdrNs1ZT/sVk0Z19s1Fc/udk3Z+QsYzCPcm9uRUbzH2/XHTuatGJqb3k6iMYp7t5tH8WxvhQA3jc4j/1BNf9f48/Rrz9e/6wKB5PFdCjGOkv8HEg+kP34MAAA=</t>
  </si>
  <si>
    <t>9A15148CC9297845786DCC1F234B1918</t>
  </si>
  <si>
    <t>JChemExcelB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1T+e6H/vtDfv9TP5b/X9PeXto35VNt8lL7b++yj7b3xg71Pd+g5oB/7O3uEFn22d39nd/few93dvU8//XRnL93eGT/Yv/cAf3y6e+/T+/s7n+KzvU8fHBzs7N/bf/Dw4e7ezs79dHt3vPvg3s6nDx/s3bu39/D+3oN7vYa7Dx6m1Ozhpw/2Cd4OtdrfPfi099GD++ne+P69nf29+w/29nb37u0TtPTe+ODT/d2d/YP9ew/v7+4fHNyPfdR98V4f1D2wx8MHDw7uPfz0/oMHhOr9yCef0mu7+5/e2zl48OnOg/uf7qYPqDfqZW9v5+H+vfv3H37a+6T31v2H6UOCfHCwt3vvHpH03qc0yQfj/T3/kwfU5uGn3if3UuLu+/doKnZoADsPdz/9dD8lhj749FOi4P0H+w+JXg8P0t17BPvhwf2DT0G+Bw/u7fc/6r/Xh05Y7u7TR/fu33twsHtw/8H9B+jwPr34YG/304f7xB73DogZOvR+2KPtfmx6uyx079Pdj9JrYkHgurf/8IDY5eAAk7dLLPng4MHu3kNil30iJH2yv/Pg04MHew93Ht7bf/jpp8xUO/dpGA8f7O/vEs0f7BD1wX73dvYO9u4/3L1P7R4+3NkFO9/fB7idg08P7u3v7zzERzsPvGYHDwGPqOF9dLCbEt/ee7D7YH/nYP/+zr2dXYLcb4dee+D28NnBfqeL/fG9g/CjXg/3IAcPHnifEdYg8H7wUa/RgwddWDs01h62D3cin90D2Yg77u/Qew/AEnsPPiVwBwSDWu58Sgy5Q0TuU3f/Xh8avdpr9/BBhx70973xp7t+m097JANlg1Y0x/dZPfmQSFH16POwRx/qsdNoF6TYH++QuJGi2yMepKn8lFT/Xav7jx5PquXM+5WNwav8vNlTe/BRWtWzvCajhRfRJNIQSvxWDWFbbtUQFsg23NvQEHbqVhBhzW4FETbvVhD3b9sQJvRWDdnQ3qql2ONbjUfM9q2gPrh1S/EDbtc/UL3drItXcTuo7HzcDir7KLeDyq7M7aCyx3M7qPtB05ug7t2OBcTVuhUC3NRN7I1NbyfM4t/drim7gbdryt7i7ZqyU3m7pux73q7pvds3BQK3m1hxem/VFKx9z03sRn3KLvTtmrKnfaumn4o/3m/JP9Ra3DVRBf3aizjuunAkeXyXAp2j5P8Bum0DjQQNAAA=</t>
  </si>
  <si>
    <t>68FBB910A63BED7320754190912E1E96</t>
  </si>
  <si>
    <t>JChemExcelo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lJ+mX6IsXPE/75Jf134v0n38lnzz5K3+199tE2jfrevU8fPNzd2z3YO9i59+BBSp8d7N9/QP97cLB/7+G9vb0Hp9uEUrfpvXvp9t743qcPdx8e3D94cG/3/r29/Xvxpg/6H91P98b3Hzy8/+n9vYf3dj+9v3//Hn2yu+M3oo92xvc/DT5Kt3fG9/Z37+/u7H766YOdvXsP9tBq5+DBg4d7D+/v7D/c+XSX8E7vjXd2Dg4+PdgnmPcP9vc/TffH9/d39u/t7e493Nu7f//gPs37/v79T/d293cfPLh//+FDtDnYfbi3/+nDgwf79MunnxKcvYMHnx7c2/v04P59epfxvHewt//w3sODnZ293Qe79wHpwd7+/r1P9x7cf7j/8NMHn6YPxnsASc/+we6nB0SWg/Hup7u7Bw/3Du7d239AKFCb+/fo2/2D+/d2dgn1/fRTwvre3v3dXRrjPlFpnyDvUD+f7tKkfEqYE8LU6OGDB7sH93fvffrp3j3696P0GrNJeO089J9P020iA2HpPfd52nrt9sef7qXb98f3HvqNd9Nt6uxe56MH44N793kgQHx/5yDdfjjee/iQxnlvj2hAA7nf/wisRdNJjLWDPx8S6p8+6AHbjbS6x5/dOyCiHXz66S6I9WCfPtsdf3oPs02Tc/ApER7v0njvPdh/QJ89+PTeA+JN/ox+7u9Tm92dTx/eO/iU3314f+8+EHtIvPvwU7TbH2NqPt0lxnn4YP/TXbTbH+/u7d07eLBLDLK/t7+HdkSlTw/2HtAsfnrwgCCj3adjYqFdYvL7u5/K+HdBOQKGmdohOuzzm58+3NnbI+YlJPfpF8aE2O3TfczI/j1wKCmRu1aLHD2eVMuZ9yurlVf5ebOnmuWjtKpneU36EC+iSaQh9I9tuLe54f6tIEKX3arhp92GaCFK8+i78pb+tQnEg1v1Bb16q4bQvrdqyDr6VpRDy91bwfz01i2h/W83wWJAboWo2JnbQWVzdDuobLVuB5WN2+2g7gVNN0IFArebfbGqt2vKxvdWTcVG364pm/LbNWWLf6umGNZtm+6LD9Fvyj9U39w1Lg/92nOH7jpfKXl8l7ywo+T/AQWZHBqhCQAA</t>
  </si>
  <si>
    <t>975AE4D4FB81FF9766C638656E1DDAFB</t>
  </si>
  <si>
    <t>JChemExcelmh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sHH6V5mYNib65XOU1Aav770v7W/+9L/X/43wv+1H3+pf7Vbek+5f9/lL7b++yjnfGnuzufPtj5dGdvf/fBfRoU8cfBzsODT+1zkO6NH+w/3NuznzzYT++NH+7sPHhwzzz7xA2fPtjd3dsxz2766Xj3YO/g/qf37z3cI4g7D+iTB3t7e/u2zV56MN77dPdg/x4w2N+7f5A+HO/QBw8fHty7/2Dn3i7NwMH43t7evft7e/cf3tvb3QXcBwd7D/YP7t+/t/fggP6hvh8e7H36cG9/796nuw8ePvg03R9/eu/hAzeKB4TxzoO9hzvuk3v46OH9/YfeIO6N93f3HjzYI4x3H3y684AmbW9MHe8/fHD/4cH+wc7ewUOi0AP64UFKd8Z7u/d2HTXuEfNsk2zs3L93cPDg0917ezv3PiUG2SZgB5/u7x3s7+ze372/8+l9bkdjebhDnTzYuf/pzqcHB+n2vfHBzv7Dh/T/T3c/JQiAt0/D/nTn3g7RhP7b/5Q/2iMy7Dz49GCX2u7TVG3fH+/t0aAeEM12Hj7cxUdEC5oAavnpg0+p4wd7gE/Y7n+KodJU79OEEmq7TEBC9sHDXZpa/oy+f7h///7Bgz3qhgbwKQ1q/z4xw71dgrT76T18dLBP80K9U7eELnA4IK56cJ9a7h3sUvN0myaRhvbg0wcHO7vUJQnB9sPxvX2A2Cfi7FEf1Ir0DeH9AFTYuU/ofMofERCaU6Ikdbq/cw/Adu/vE00IPEF4sMuUuEfsQ6CJqDSqT3dpKnfvPaT2ezSV94k+B/eIKe7t7NAnxCKE7ackjXvjA8KGECB22yN+OaDJ/ZQosndv58E+/fnw3i44YJ+oe+/+wcNP79EsP2D2/3SPBk/zSmTZo18+pY/2Doi3Dx7sPjh4QKTdJ1AHu7vEH4TAQ+Jm6o6kjeb1U5rUe7sPadIfsrgRbvf3d3d2iOkegrsPiPUO7kF2CNVPWQDuE8cRYxwc7NNcfUr8TrNA00aNDnbvPyTS7Y8f3qPpJnLTLANZgrMD+Xh4nwZ2AGkBc5No7RI1iOTESzRVJG07IBOhvr+3T0RPHxBnHOzu7d8jStKsQm7u37//4OG9/R2C++Dg3h7prmvWHCR89MH9XZo+cOU9sPLuAWjriQZ9RvPkSeKnNM87pD0IktUDpCyoHVGAFObOeJ8o8ymR5+A+6Yz7u/wdxM8JqojXg739h8SZNHk71P4hszVNL+kGYk7iDGIIZgySApJEGvtDYr9P8dH+Hk3+fdJ3D/ZI67A4kBZ8SB8+3Ds4+JSmhVj/4Q64zBsJ8QFxrENiHwOhQex5iN0DB92DbgBh7tP0PSQtR2N7SDNGAyX+B1sx/E9pCh0JPmUR3Cc0HDD+7B6hTZR4SOrggEToAEMn2f6UGB8k3CWNyhqIECKmhpwTHT/dYxKRlniwT+qUBI7YBIPgafv0U+BDuJE6fQBGJSnch3q7h6mHaqRuSUHR28TOxL0QJ5pYUvCQr50dGgJ0LLj/AckbSRz1iLcOSDc9vE9jJXZ98AC6kniNdCyUOSmRnR2e/fv39kmhfPqQZvDeAU0MUH34gORmd58EbO8+RJln5VN6k5QxCR4Ncoc1Eo3zIWl5kmca+31MFVEXyocakgiRhJJF3gElyWI8uEcMBNFmiu/Q0ImvSM0ekBr6FJiQCiYJuv8QQvgpicGBzPwB1PY94poH9++RASdUCNcHxLPUmnTTLo0VbERa/WD/PnVJKDOvEf0P7tE4SAp2eaykyEneqAmJEEZIngB06KekbGhmSH89pJbp9gOC9eAhTR7NzD6ECUqOQRzQJN8nVUv0hsb8lKizS1K3S5MEWGwc6a2HGOo+CyEpkD0o2R36b/c+RIXM46ewIwfQLPf4b0IZCpP0OBFTUCdRogZkPPeJi3cZTZo4MgA0cFHihCXxErHZPbI1ewdgT9hiYpD70GZEa0wb6XDC5D7JDoZLsJjQRFqyKp8Snz2g+SSGIi54iJl+sLNHNo+MNXmBd60bePR4Ui1n3q/sF77Kz5s9dQ0/Sqt6ltfk0OJFNIk0hD9nG+5taAhn7lYQ4cndqiFc1lt1TQ0f3Aoi3N9bNYSTfKuG7ErfqqV43Ldryo75rZo+uHVL8fSDpmgjUcTRd+U9/WsYCIcKt+uPI4pbNb1365YSoty+6e3YglG9HWNIXHSrpnu3bimB1tDUfPt2UyOR2q36k4DuVqLFTUOuGWzK4eHtmu4jirxdUw42b4crx6S3g8qh6+2gcoR7O6gcCN8O6v2g6U3EuhdOrMcPtxRcic1v1Z+E8LcaBTe93ZTfwyhuN+WSN7h909tNOTe9nZCDk++FU+7R+JbyCKWyPyjUt5w26Nv9wbm/JSaSb7nVyCUtc6u556a3m3tJ8twOKueCbgeVU0a3g8qZpdtB5QTU7aDuB003aniksm4n7pL5ulXT3X7Tr8FinGX7QBaTNN2tkJZs3q0IzE1vpzMOkBr8QEogrRjqkveHsS+pyfeBwT/UT79rcr30ay8PfNcliZPHdyn9fJT8P/HVbhSaFgAA</t>
  </si>
  <si>
    <t>14DD8556717FFEE7A53D40BA65520A3F</t>
  </si>
  <si>
    <t>JChemExcel2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6Ij0Z+O/LyCdffpS+2/vso/3x/r29g92He/v0v/2dhwf30+5HD9N7Y/p3d39nd+/B/u6nO5/uE40efPrp/sODew92dx7s7d77tPfJg/QB0Xln98EDAvMQv9y73/toPz0Y7x/Qiw/v7z/c/5S6ejj+dPfT+58+JBR2Dh4c3EtpLnYODnbv796/v/fw4cH+wQE+2r+3c3Dv3oOHu3v0P6Ifzei9nd2H9+493Dn49MG9vQcPCfLBvZ1793cfHDx48Onep0S4B+ODB2Hvn47v3Qs/uT++92BnZ+fe7sODnXsPHuzxUHf3Pj24v3/vU2q8v39ABLpPwzy4f/8+DXbvPuFLFNrd3dvbuQfK7ewe3H+Y7hE9Ht7f2919uH9/5+HuvfufUqMDGsAe0Ydee7BDeKa7Y6IY0LxPb917SGimO+P7u7tEwf29h3s0kk8f7tJHu58+3Ln3cPchTdDO/f39B5+m2ztEqQc0uv379+7t73/66d7BR+k1zein4wcPHn768FOCcO/gwS7R9P547174CU3xp/4nB592Ptoj/Ikmwd+7972/d3YepMAg+OghsNrZp0naf0Af3b9HQ9qnZjRvDw9oyHv3dmnSPsUQiSj3MT/02n0aAl58eB8E/vRgl0a6v3fvIN3eG9NM0GA+fUjNPv0UwLZ36d2HBw/oxYNPd+9RR/fR7gH1RS/t7n66u/8pmK//2V7k3R6++0TdHsL3H/QwvhfBeH+/h/E+TfD9h3v39/bBUMSIDx9+Sh9R35/uEEsQ997foWaAde/TPeJUgrf/KX22R3qAKE7NiEs+fbD/6d7eHqmkx3ethjl6PKmWM+9XVjmv8vNmT7XOR2lVz/KaVCNeRJNIQ+im2zbcv1VD6LlbNYQ2vFVD6EzbcO8jafG6zeu8Onojb+lfgyCgc2/VFzRz0NdQQ9bftwIpav5WQMUa3A4qG41bQT0IWm4Eylbodk3ZWN2uKdu02zVl03erUT0IWm4Eyrb0dk3Z5N6qf7HMt4IqBvx2UD8Nmm7EFQjcjlnEc7hdU3YwboUrN42yAP9Q3XTXeEr0a8+LuutcrOTxXXLejpL/Byx+rm7YCQAA</t>
  </si>
  <si>
    <t>48D77818CB7098C4FC97DEB6586C6864</t>
  </si>
  <si>
    <t>JChemExcel+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N//uy89eX6Qv8+5EMuTyZZ/UFvbaT3vTfLv1/e/ej9N3eZx/tj3d2dnfuPbj36f39g/3dnf20+8l9ItW9e/sPdj/dP3hwb3eP8O9+sNt76dN0b/zppw/u3T/Y26fPPt15sNv7hCD3X+uD7r7W/eDThw9Smsl79z598JDeONg72Lm3n24/HD84+HRn5+CA/nd/f/fTe6fbRHHinwe7uw93H+x/ur97/9MHB/v6cfj+/QdEoC7MT/ufPbjXe3WPmt0bf7p//+H9+zuE3739vfvo5H4P7wcfpdc0A9s74wfU3d743i7e3Hnw0HsO7qXb++NPd4PP0m2i0oH/0UNutcfvH+z4z/10+9PxQ4LyYPxp8MbD/kcHoNrePf8j0IHEaMf/7NN+s/t9YJ9yx3v+Rw/6H+1H4OOz3fH9/c6ru6CQ/9n9yGcPSTzvWvk8ejypljPvVxbYV/l5s6cy+1Fa1bO8JsWCF9Ek0hCSbRvubWgI+b8VRGiJW0GELrkVRGicW0Hc8xtugkhdH9yqIdTcrbqGotu5FUjRmbcCKqr1dlBZA98OKivq20FlfX47qDtB0xuh3m7qGdfbzSlT4HazKmbpdsM6EOvVh8o/VP7uGltKv/bs7F1nhJPHd8m8HyX/D2Pk36X6BwAA</t>
  </si>
  <si>
    <t>AFAD1AB421A12F16B6CC815F122A6826</t>
  </si>
  <si>
    <t>JChemExcelr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VL574X379B/L/S/k/RL+k8++/Kj9N3eZx8Rce7dv39v7/7Bwf39h/c+/TTtfrKf3hsf7Owe3L+3/+mnD/Z27xF63U8e0Fs7+w8e3Hv46b2DnfsHD/bvp/vj+w/CNvfGO/f8Twj03vj+/fsP6c+H9+8d3Hu482A/pYl/uHtvf2fv0529g4f3HhBFd8YP6Mf9T/fuf7p/b2dnj4i5vTP+9OG9/Qc7Dx4cfPrp/n3COd2mV3fvfXp//8HB3v29ewef0mc7NJqdBwcHe/sHBOLe3r17n1IP9x/e39+9v3fAyN5/+IA+erhLiDzcO3jw6af393YODtDDLvX/8P6D+/d39w92CCR6IPA7e3sPHu7s7RM6+OThg/29nU8fPNzf3dl9uPMQLx7sPXzw6b0Hn+4d8FCBxqf39gmhvQd79PLB7v4+ffTw/n0i2t6DT3cIt09p9vfG+7tEjP17u7u7B7ufPnz4KdGM8Ln/6c4+DWn34S6xzz6hSu/Tx/cO7tM/D+iT/Xt+mwcE6OCh/wlA7+59SoTapc4JSWLFHVBhd2dn//5DIsuDB3jrwf17O0S3nYP7hNV9mlSa0539PaIAwXlApPt0fO9gb+/e3s7+PSIyhrE/3ruHublP07dLmKMNDZIo+XCPPgRZP0qvidO27413H+4/fHhw8ODB/U/p2wOi3v74wT3/M6Le/TFRxW+Wbj8g5up99PA+sSBR6dOdhw/vERW2HxL19g9oWneITPcOHtyLftR98VN8tE80p8l7uP/gUyLXAyBB80BMQr19Cp79FB/tP6R5Pri/S7O7v3+PkLg3fnhwn+aXmHmXOPPBA2q2h2kl3t15AN4FzagZZnSf2HfnwQ4IgnHTtyRdxP1Etz3+bHe8v0/02ntA/LS/+ylkiFjp4YN7JAokCw9pIu7ff4B5u3ePZuABsSEJ6c79XTA0cdvB7sG9T2loxBv4iJiKmICm/NODXYJwD8D26dv7hCrIuXOPOmFmfbh/D28Ta5AggVd3dokDdokYRBbiEfq33+4AQ71HE/zp/gF1cUDE3O9/RFK/TdqZ8H9Aovlg7/69XWIN/owmlHj/Pgn9w4e7Oxj/3pjE6P6n1I7GvHPw8GDgXRK5HWKtB/dpEj4l0ZHPwIL0+ae7O5/uMjcQ197fJVHe3yFgB/ukzu9afX70eFItZ96vrOBf5efNnur4j9KqnuU1GSK8iCaRhlDMt2oIe3GrhrAqtuHehoawPbeCCAt1K4iwY7eCuH/bhjCLt2rIxvNWLcXG3mo8YopvB5Ut9u2gsmG/HVS2/7eDuhM03QgVCNxu6sXxuB0C7J/cDiq7MbeDyt7OraCKU3Q7qJ8GTTdCZTfrdk3ZG7sVAuK03Q7qPny72zVlF/B2COwFTTdBhT/pWGBj/+x63q5/NL2daH8KP/ZWLcXdvX3T200rN40qaf6hJuCucf/p115ocNfFDcnjuxSRHCX/D3lp5QatDAAA</t>
  </si>
  <si>
    <t>E36E34104560C48ABD9CBC8625EF03DB</t>
  </si>
  <si>
    <t>JChemExcelB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r/XvC/X9J//qfuW/mG//1ISFSezLP6gsDspLf9b5f+v71r/vwofbf32UfbD8ef7uzcf7B7n37sHDzc2Uu3D8YPPn147+H+7qcPdvb379Pg6KOD+/sPHuzc26HP6MeDdPvB+P6n9w/u7dy7f//Tvf0HO5+m25+Odx/u3t/d3/t0/+DBwwP6nj/b+XT33sHu3v293Qf39vHivYf3dx4c7Dz4dO/hw08f7Kbb++OHD3fuf3pvZ3dnd2//PpGNPvr00wP6ZP/Tnf29B58Stemjvf179z/99NN79/f27t8jYm/fI+i7u5/u7O3v7j749GCHiL+9O6bRPCTcPn2w9ymhRsB2xvcOAOoeAB7sf/ow3Rk//PTTnQN69z6h8en+Drfa393ff/jw/oP9+/f3HuwScsD20/u7ezuf7j+8v3fwYA8dfDq+9+kegb6/v79H4B7yR/v7Dz6lgR/co273dw7w4sHe7sP7Bw8e7H+6S/iCGA+JaYnIBOf+pw/37x8c4KOdvfsYz8GnO/f2dkCNh+OHRHjq7WBvh5C9R0MiUdj79N7evX1CYI9GTmTc3Rvv7tHI6bXdew/vfYpxUrsHD+89OKD5+/Thw4d7GBWJCXVEiOwc3Pt0d+fh/V1+994B9Xiw/4DoR/Sgge7eI0442KNBPTjYpVn/KL0m/iDK0aQ92N97eG//3u7DA6InKLyzQ/SgVz+lET7YJRHY3hvf36dBEDoHB5/SgB5icqiTe0RzGjTN/t6D+2j26cMdGjlR7j6xyg6PbrxLtCXa7T04oMmnPnjGdnd2Htwjtvn04P59wv8ezdnOzkOC9ymYdf8hTcYB90KTt0+zeu8BMdinD4VTaO7AijT/YJgH6PjhAxCfmJootPsQ5Lo3fvAAk0W9fnqfJm6XEYy22733gIhDhNqhuTlgpIkeRJb9HQzl/sP9A+52b484+uHOvU+JxYkj0u37JEz3CbNPd+5DhPbvsQDs3Lt3H+S8T+z5KX/08OHB3j0wx869fRoxPtq9D5kjvA4e7BPP3AewT3dBowcPmX6fcp8kRPceEgd/en/v3n0SR56L+4C99+AeidW9e3iRBvDwgDAgEd7fBReT6JDQ7hOFGBWiqAjd/gOaWcKFZnoXPEvAdh4+3IfQo+2nOw+Y5niRJprkkWTtU1LEj+9avXr0eFItZ96vrGhf5efNnuraj9KqnuU1GQS8iCaRhtDItuHehobQ27eCCO1+q4awAbfqGpbiVhD3btuQIB7cqiHh+PBWDdmI3Wo0aLl7K5hiEW/XlA3n7Zqyfb1909tNJgy2m82NQNmm34pUYvpvB5U9hNtBZUfiVlDF37gd1E+Dphuhsgdzu6bs6NwKAW56u3mF53S7aRXn6nb9o+ntxM+4av2m/EOV2l3jWNKvPafzrvNIk8d3ydc9Sv4fUhqepAcLAAA=</t>
  </si>
  <si>
    <t>08E8D1CE351B5D8CB26933AA1914A782</t>
  </si>
  <si>
    <t>JChemExcel6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av57YX8zf73Wz/Sbj9J3e599tL0zvn+w8+Deg4f7D3fu3/90/9P9dGf8cPfTB3uf7j/Yo08fHBAGu+P7O5/u7j64t/vp3v7O3t7OXnpvvLO/e+/T+zv39x7e+3T301365OHBwc7uw4f3Hj54+ODBw0+JcPf3Hjzcu/dgd//T3b0He/fSTwnQLgHd3/v003t7B/cepA/GDz998HD33r3dBwd7+/ce7qYPaToO9u8TIELt/qc7D9KDMX13/8E+/n14f+9TvEWo7N4/OHi4u79D8HcJ8u6D+58SZrv39vf29qn3/fGDh/c/PaCu7u1R7w8PCMP9nZ2DHRrV3s6D+7uf3kv3xjsHDx7s7nx67/4BvffpwQNqdG9n/96DnXv7u4TEp/u7NPoHnz7YP6Cu79H47u8/vEcf7RzcO7hHr93fv3//3sN90OghvUWo7O8/uP/w3r39e+jvwb2H96kBUe3h/t4B4bR7/8GnO/d37xEC9+8f7NFre/epZwJLXd3bPdg5+Ci9xszsjfcPHuwdEAb7nz6gXlL6hIZBNNujmbpHHxOyNH8Pdu7vHHx6QGTffUAwD/AZ6PSABnOwu0MDprnZGd87OHiws3vw8FNC+/4uoU2f7e/cf7j7gHrd23vw6acP6TPAO8C833/4KWG98yl3QbQmmmE29g92Dx4QKiQP94kddvapZ0L73h6wOyBqEwvtPNzdpT4+TbeJlDTrNOF793eJa+7xGPYe7u3TCHaJVx7Sfw/wGSG7Q9gRLvfv78lQ7+3d2yfIOzu7NFpiNEDb3TvYuXd/7x7N16egGs/Mwaf3Hhzsf0okp6nHzBx8+un9/QcPqcP9e8TFmIY9Ii7NF2DvPSQWpnm4v3dwf4cYkbrd+3TnIX2yf4/I8fBT4kUCfv/T+2BxYnsCv7+7i+YPiaEfEmvu3//04YM9Gs/OAxLxu1bGjx5PquXM+5WF/lV+3uyp3H+UVvUsr0k54UU0iTSEdrAN9zY0hA65FURomltBhD66FURorVs1hG67VdfQgLeCyHryViBFnd4KqGjdW0F9ELTcCJTV+O2asra/Vf/7QcuNQNl83Krp3q1bsjm6VUuxWrdrysbtdk3ZBt6uKZvKWzUVi3qrphjWbZs+FBvdb8o/VFPcNZ4D/drzKu46lyN5fJecmaPk/wGLxbDq6AgAAA==</t>
  </si>
  <si>
    <t>FDBA627AA1E3E3F002AD0FDAFDD87A5C</t>
  </si>
  <si>
    <t>JChemExcelJ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5r8v6T/31/B/X0rLj9J3e599tH0w3tnZ23mw/+DezsNPD/YIv+1Px59+enDv4f1Pdx7u7u/sPjhIt++P793bf7D76f7Bg3u7e7v7e/2P6MV9grW7c+/BvU/v7x/s7+48iH60R+Af3Lt/sLdPH36684DIsU0zc+/epw8eEqCDvYOde59GP9ofU38P7x98em9n/97+wcHD022iYbfh/d4n+9zD7v179x/u0nN/b//+g/v36OX7KY3/3r29g3sH93YefPrp3s7D/ShMgtBB+9OHD2If9ZHpDyQy3vsDdOmS7/6tpmI3+mL3o/1Il7HJ3x9/unNwf/fe/ft7D/f3d/YeEIUefJReE/fcG+/v04zs3nvw6b17Dx4eGKLujB98+tB7Pn2Q3iMcdz799OHOg3sHD+7vf/rwU266O76/v+M99/Yjbz8EpsSf3jMIMNZ3721qdm+888D/aD/erAvt/qfU8YO9ew/vERN+evCQyLEfHwhxx73d8JNeGwB7uPeQxvDp7j5ReW/ngIHdGx/cvwlYvw1N1J7/yf6t2nw63v20+8nDe+FbB+P9B/4ne723+vgwx326GxCPVOddqzuPHk+q5cz7lZXpq/y82VN9+lFa1bO8JiuAF9Ek0hBa91YNoZuDhmghiv3o2/KW/rUJxP1b9QULYBvubW744FYQD7oN3x97WKNb9cU261YtxbTdrilbwFsRhY1kOPtfa7S7t2MMscm3a8qm+3ZN2cLfrik7ArcjzV7Q9EYEDoao+N3bUZEHHHLN1wDCzs2tkGb/J2z6/lMvTtTt+mNf63ZN2SW7XVP23G7XlB28W809N73d3DMFbtkUw/pgNoHrOsgm8WnjH6r+7xq/m37t+eR3ncOePL5LocBR8v8AObBdKiYMAAA=</t>
  </si>
  <si>
    <t>A0F52AD3754ACC909185B5C68CD5E2A5</t>
  </si>
  <si>
    <t>JChemExcelq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L3/Sv4f/feC/8//fZS+2/vso73xp58+uHf/YG//3qf3P9359CClcdy79+mDh7t7uwd7Bzv39g/S7d3x3s7D3Z29vU/3Hty/f3Bv//7pNvW6vTfe2324/2Bn79MHew/v7zz4lD/uQrh3L725m3sP0E342YP7/c8+/bT/2X1GJejhwQ59tj/e2dklMPTJ/sH+7s6n0Y+6bxJJt+9TD/sPdj/dP3hwj3rZ3yN8d3Y+3b338NNdQh8v79JYiejXRESC+unuQ+95wBAO/I8O0HfYij66N955EHz0APjc2+l+1mt3L93eGT/4NPjs08i79/qYPEy3Px0/3PM/oR4ejANgD0H7brOHUWDdYT3sAzuIwCfWv2t5/+jxpFrOvF9ZGF7l582eysNHaVXP8po4Fi+iSaQhpMY23N3QELJ1K4iQwFtBhJzeCuKu3/AGiA9u1ZBwPLhVQxr1w1s1ZEVzu9GwProVUFFbt4PK2u12UFkJ3grqw6DlRqDo/3bzzgSITij/UJa+a1Q//dozC3edzUge3yVrdJT8PxXFCcmpBgAA</t>
  </si>
  <si>
    <t>6CB132FCB3E9BFF9CC7269BBEC2FF0D9</t>
  </si>
  <si>
    <t>JChemExcelx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F6n8/yR9rb/JX/Lbi/TL9MuPZLDlyTyrL+ilnXTzf7v0/+3dj9J3e5999HC8e7B77+Dg0/v39j/99MHO/fRgfPDp7t7O/qf7Dz/deXDv/v304fjg4e6nn95/cHDv3kN6HtAnu3vhJw/Gn+7ev7d7sP/gYO/Thw/vfUqf7N/fv7dPcPYP7j14sP8w/ZTe2qG37u/d29l5+IAI0Ptkv/fawa0A7Y8fHHz68ODT/Z1dGs+nDx5GPrk3vre3d+8+4fbpzgG9tJfujfd3H+w+2Nl58OD+/U8f3Nv7NNLo0/H+A/r1/j79uLcv3T94uLtz/+H+/Z2Dh/u7xEI7O5/u7R/s7+4+3N/Z2733UXpNpCXoBw/2QI/9+/fuEcIEHJTZo74efvop9fbpfbDfvYOdTw8+3SFYB9SQ+9t9sP/gwd7eA3r1gId7f/f+p/ce7NI8Pdi99/A+je7T3Yfec0CwD/aDT+7R8O7tdD7aHd/fT0ke0u2d8QMauPfsp9ufjvf2Hh7s3f/04N7uDtHl4HSbuJPeueeAEJgHBHln9z4hQ9S7d+8BEfEBAX3wqd/qIbrYf+C3ekiIPyB+29shYt3f+/T+wwcHu8Rvnx7QvO7t3n/wACQABR7sfEpk+ZQ4kybj0z2StbtW2I4eT6rlzPuVpe9Vft7sqQB+lFb1LK9JS+BFNIk0hJjeqiGE2Tbc29AQIn8riFAMt4K45zfcBBF65lYNoY1u1RA661Y4sma7FUhRgLcCKnrydlBZnd4K6kHQciNQ1s+3a8pq/HZNWdvfClUe1e3mHkBvN/liZW7XP5o6BvCg8g+VvrvGLNKvPZN519nT5PFdstRHyf8DlLJ59sUHAAA=</t>
  </si>
  <si>
    <t>4A062F796FD211F09F3832EB92053940</t>
  </si>
  <si>
    <t>JChemExcelxx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0ozQvcwz4zfUqJ/ql8t8L+k9+yv+/1M/lv9f095deC/znt/jS/iW/4d8vP0rf7X320faD8cGnnx7ce3D/wb2DnU8P9g9S+ujew52H93f3d/b2P324T4Pbvj8+ONj/dGd/5+GDe/ce3vv0U3y0v3PwYPfBw71Pd3Z2H+7TR5+O7+3Sqw/2dvfv39u7d/9evxV9dG/8cJ8A7RxQJzsP9ncArPsZdbk3/nR3Z39398Gn9MnDew+Iztu7470Hnz64t/fp/oO9+7v37sU/6r251//sXkoceJ9GR+/t33/w6acPHxIesc92QY1P9+7ff/jp/s7+g3v399O98YO9/Xv0x+7B3r29Bw+6H3z68F7vNWKBfYL+4OHBvYP9nZ1Pdw527qX3xnsH/id71OZgz//kPgnDvYe7n3669/DT3QN6iH0+pd7u39vf26Fp2/30gMZyQJAf7uzt7u3cv7+/TzTsfXK/+9anBz3I++lD+mTvwc4OjYHI9pD66tH3/qd9Yu4OzGqXa/bS3U/HO3s7O/cP7j/Y3dl7uLOb7u6PCZl7D+jth/TNwwefRj+6N75338NsPwbpm4P9YHz/0xDSwfjevZs+2R/vH/iffJRek4TdGz+4T1R9+On9+we7D0H3PZr1h/d29j7d28GU3CNNszt++OnD3d2DTzEz9x8ekGLYGd/fISR36a0HD3b39x/QZOyMH+yThO3fP3h4n5oxZ9OrBw/2DnYefEqEJzKTPqPP7u/67UieiLX3Dj7dub9PM3ePJJswuU8fEq95Hx7s9dodEIJ9gJhxDCP4DExwsBd+1OvhHg3/3j3/I+KUe2QQgo96je4/6IH69F4PWaL0fu/D/YcHGMC9nfs7NL88DJp4FuxP9/YOoKowFSSofQJ/2ge3g/nqNjzAZx2CEDGJIDv3fXgHfbJ92msFie5S5EGPIg/u9xod7APW/v1dksAHD+8/fEhq90Bmbx8d39t56D/c88F+9zNqfS/47ACa/eAeafVdEvgdEG//dJu5lpUhWTyCcz+NvbhHkvRw98HO3r2HpKl29ug9pjzpwwcPd/dIX5IevH+fJ6j3WbRXMvJ3rZU/ejypljPvVzb7r/LzZk8t/0dpVc/ymtwTvIgmkYYw17dqCFt9q4bwNWzDvQ0N4ZHcCiL8lls1hHdzq673/YabIMJZulVDdqlu1VI8r1uhKQ7araA+uHVL8fhu1z9Qvd2si/94O6jsZt4OKnujt4PKTuvtoLJvezuo+0HTm6Du3Y4FxKm+FQLc1E3sjU1vJ8ziyd+u6T4c/ts15bjgdk05fLhdU44ybtf03u2bAoFbTizCmNtNrERBt2vKwdKtmiKEut283ttH1HW7phyc3YqxuOntJosRuN0MSER4u6YcON6qqcSXtxoWN73dDADX/dtNgQS1t0MATW85W0AgKlr8Q92AuyYxQL/2kgZ3XUYheXyXchVHyf8DIsroeMcQAAA=</t>
  </si>
  <si>
    <t>093D8EDE577DE1308FEBA68A1FDA7B90</t>
  </si>
  <si>
    <t>JChemExcelO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sO/FdGPvyS///lR+m7vc8+2qYR37v36YOHu3u7B3sHO/c+Temjh58++HR3Z3dn79O9Tz99eG//dJvQ294b3zu4/+mDg/1Pd+7de7C7ox93IRzsoemnnz64d/9gb//ep/c/3XmwdxD57F66vT/eoW7uPaBP9g/2d3cepNv3Cdz+g91P9w8e3COQ+7vp9qf05sG9h/TSw939nd0HD/of3eu9eO9BH/x+un1AH+3tPNh/cG/n4acH9Fvaxf/e/bSD6qcP9tMuqHtpv78uUnu9T/pvHUQgR7rvfvRpD+09mrl74wc7Bwf3DujTT+8RrHuf8hR1Xz74KL2muaf53CUw9/d3/Oc+IXTw6cPd+7uE9qf39jDLBHpn/ODTh95zcECv7tNzsHf//v7+DsF+IL11Ie4C+3u7/kf3eo0+7bU5uJ/eGx/cDz4i1D7d8z/pt7nXbUOCBuSZG/Z39x7s7B3s7+3sfkpN7cge+BB2dsHTRKdd4n2SACL2/m6cCA/3WSp2gs8wDTsPgo8+5WbB8Aj1aDtgfyugoP/9e+HrpInuWlV09HhSLWfer6ybXuXnzZ6qp4/Sqp7lNelQvIgmkYZQYrdqCFV3q4ZQiLdqCLV5q4a7t20ILXyrhtDVtuHehobQ6LeCyHr/ViDFPNwKqFiRW0F9ELTcCBT933rOd2836WLjboWpmMLbQWWLeTuobFhvB5Xt7+2gspm+FVSx5reD+mnQdCNU9g9u15TdiFshwE1vP7G3bCr+y60Q2FU3pw+Vf6hWu2ucMfq156jddV5c8vgu+YdHyf8D6BzuSDsKAAA=</t>
  </si>
  <si>
    <t>BAADB87587CC57DAC599C26C8AB94688</t>
  </si>
  <si>
    <t>JChemExcels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Kn3X5m+1l+/5H9feP8GzU7Kj9J3e599dG988On+7s7+wf69h/d39w8e3kv3xvfv7ezv3X+wt7e7d2///v39dHe8+/DTB/uffrqzs/fw/v7uw/v9jx70X0w70B/2muzfT7d3xnufPjg42Nm/t//g4cPd3U/399NtAv/g3s6nDx/s3btH8Pfu3+s3fLCHzx7s33vwKaHx6e69T+/f+5Q+2xvv3d/Z3b1HTfY+/fQ+YUYfPdgjTHd2DujH/g4RnHr49OH9+/cOHu4fHFDjB/u7aLb7YJfQ293bIVo8IGJQM4Kxd+/+wb3dT3cP7h3s91vRi/fGn977dOf+3u79+3v7hPHBg/5nD6nT/fHePRr3g3sHDx7c2995cJBu36cO9g52DtCQxkd8sP3p+MGnD+m1A6D/6YMH9NGD8d7+/R0i80MaOn6g1d7u/n1689N9QoRaA/wDGuG9e/fvP9whFDHyg/GD+7s0yns793b39vcYhwcHnz7cozHt7B48JLQ+Sq+JE/bGOw/2DvbuU8f7Dz99eEAvk1TseB893AFz9FrROHeDj+6l++N7B/6LsTb3x4SD32Z/vHNw8ICIevDpwb39/Z0D6uxgv4fSffrt3sMH+/u79x/ef7BzP90Z7xJNd/ce7Dzc+fT+zr17D8AWuwcPAOwhscr+PaEOzTjNxMMDmooDeoipmDEI3j7xDjHL/s69hzxHn+7eJxwefrq3e3D/waeYo/s7D8Ctnz64T7QFX9Ac3b+HKbx3QKMhADwhD/xWQut7nY92x8TUn2KW6JsDmrkDoAty3aNJIq66R1zF7Yi59qnZzqf3SAoIJWBLXL5DY9ynJp8SPZjNHtx/sP+QoBEFiHgQqXtjEop7Ow/vfXpAIB7c+5RFgNoQ75HU3SOOIx4kyhGHMivu3T8g7tv9lFTaXavTjh5PquXM+5WV3Kv8vNlTPfdRWtWzvCbmwYtoEmkIbWgb7m5oCJ15K4jQrLeCCP17K4i7fsMbID64VUPC8eBWDWEabtWQDcitRnMvaLkJplik2zVlw3W7pmzfbteUzeDtmrK1vF1TNqq3a8q291ZkFRN9O6hsyW8H9X7Q9CZi7d1uYsWFuBUC4mncDio7JLeDyn7L7aCye3M7qDtB041QgcDteIApEBVr/qEa8K7xAOnXnnd417mOyeO75JQeJf8P7CMdS7AKAAA=</t>
  </si>
  <si>
    <t>E2803BA44408CCDBA2A31909A8D2CC80</t>
  </si>
  <si>
    <t>JChemExcelJ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7epx+leZljIG+uV/lnH307PUlf0P/9/8zfX/JvX/InX+pnr/mvF/wT3+G/k5L+95EQtTyZZ/UFAd5Nd1L8/0P+296l/32Uvtv77COapnRvZ/zg053dnb1PP915cP/h7v09fLR7796DvYO9ezv7e3v7e+nuw/He3sH9ewcP93cPHu7t7PYbEUH3dsf3Hx7cu39/79P793c/fXh/P/bR7sH4YGdnZ//h7s7B/Yf79w7upbsPxvuffnrv04cPDz59QL/cT3c/Jeh7nz7cOfh0/yE1oWnb3R8/ePhwZ3f3wf69XcL3wYPoR/fGe/f9jw6iH+2Ndx/s7Hz64B5hcrD38OF+9KOd8acHe/f3iSZEmQf0IT7aO7j3kAj28GD3HjU6SB/SCO/R1zsH+/cf7Nzff0CfPHy4t/vgYH93f2fvYJ9YiBh+/wE1Iep9en+XWu/jowMCeUBkoZd39x/cTw9IcGgSdu/t7u2A2OmD8X3q/YBoQ73f/5T49dPxzu6new/vE5w9ohO9dH/86e4Deoe+P9i5/ylNIDV6uPOQ5vP+vd39/d1P9++n+2N6t0fTr0/33nt798cPHoTzDObCGD9Kr5XVtvfGD/b3dx4Sjgeffnqwe//ep8SKY3DRPfqMuOvg/v4BfUaNHxKV9h4S9T/d3aWfRPnx7v39+/fu7R4cPHjw6R59QrPzgNB8sAPM6FPCld48+NR/E9BoYnf8Hh5GOn3Yb3awH21HDEA0+JRm+9Pdnd19Guxe/zOidu/dh/fRx/4eTSMxwKcP9+4f3ANrjPceEuPdpxERug/u7QPcwUPigXsPqRmx1X1A2yEuI9rtHlCjXZoIYqAxDXLn0wPisU/BjMSK92ha6CWSRXqHNNQ9osYB/XF/Z//TfUKKZPT+mCaJSEbTuEsctA8ECJH9gwc7D+7tEaz7e5g6GsQD+puY594+EfLhAcZI7QnRg4c7NEmEDLHGGIz3kDiBBnnv4NOde+neGDywv0P8DHEgePQRMQUxx84OMdS9T0kyCNjDBz7Bdh70aEjopNv3xjS/Pv2JhvtjGp//Wf8jzBKxG3Hpw+Dj/dhnZFbuWrty9HhSLWfer2xoXuXnDfEwG5qP0qqe5TXpYryIJpGGMEe3agijdauGMG23aggDeKuG996j4cGtGsLq3qoh22bbcm9DSzHhtwIqlv52TdkhuF1T9htu13T39k3ZE7kdBYDA7aZe/JrbNWX353YIoOnt5lWcqQAq2rxu8zqvjk7kPf1rEIh4Y7fqT5y2WzVl1G435eIC3oo24ineDio7lLdryn7n7RC4FzS9EertBBnysXe7KRe/+FZNb99ylx3tWzUVf/xWtOKmURbgH6r075rAg37tBSV3XcSSPL5LsdBR8v8Ak72DKScNAAA=</t>
  </si>
  <si>
    <t>A3C67D3DED0E2210AF7A72199F34837A</t>
  </si>
  <si>
    <t>JChemExcelz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FP99mb5I5Tfzt/nthfdv8F9J//sofbf32UfbRIp79z598HB3b/dg72DnHnXa+4yQ3h/ff7i3u3P/4MGDB59+ev/+wek2ffrpePfhw/uf3n9wb5d+HNx7eJ8/7r7/sP/Rgwf00YN7Owf39x7uHuzc33nw6f2H/PLD8ae7+we79/YJ5u6DBwzy09779x+ke+NPP31w7/7B3v69T+9/uvOAyNv9iKi5P97Z2aX+6IP9g/3dnQc0//fu7T/Y/XT/gNDe292/R8P4lJH/dOfh7v7O7oOH6QG9tbfzYJ8wfPjpATUitO5Rp/fvEcIPHn66t3+QEpd9+unD/Xt7Dx/s0wd7B/vp7h69d293d4/e2r+/d49mePfeOER8P/pR98VP++D30t398acPdvYf7NwjLHcI43T3U3pvf3f/4f6nuw/vfbpPbLP7gKA/IMD3D+49+HR//9PYJ93XeqAPqNEBfbRLM/Ng5z5N/v7DB5HuPkqvwUU7Y2rlPffvp9t743u7/mf76fa98c6B/xFx9zZ1vOd/dq//Jk1jrwcaKb26e//gU8zlg4f7B/fuPVTuu3/voffc3yO+oHn0nk97jR7so9udT4kdadAHND2fEg0YXvflg/7LB99Yo/1b4Pqpjnz33t7uAxKST/d3dxnTHpGYljsHByQKNDSSsR16Kd70/sN0+2BMIkLS/ikJJP3/QbTl7s5ub4Z20VN3ch/0J5I4nZTL7sOHO/s7B6RGHt7fJRanbvZ7g9z9lPTtXatwjx5PquXM+5U18Kv8vNlTJfxRWtWzvCZLgRfRJNIQqvpWDaHQbcO9zQ3v3woijMOtGsKE3KrrXb/hJoiwSLdqCLt1q67Zut0KpBjBWwH9NGh5I9DbzbgY39s1ZRt9u6Zsym/XlC3+7ZqyY3C7puw/3K4puxm3a8reyK2aitNyu6bs29yqKYZ1y6aMwO0mVpyqW/Gg+F63g8ou2u2gsid3O6js8N0O6r2g6Y243o4HQIF7UR7gH6qC7xr/mH7t+c53nWOdPL5LLvtR8v8Ar18Jz84LAAA=</t>
  </si>
  <si>
    <t>24CC03A1D1E995D2A9389EE3D627AC7C</t>
  </si>
  <si>
    <t>JChemExcel5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KT9Ev6/4sUv5n/wr+6/73Q//Dmlx+l7/Y++2h7b/zp3sP7Dz69v7f34N7BpwcPPk23ifYHwWf30u2d8b1d/7ODg3R3vLe3s793b//Bg71Pd+/t0nj3xrt79z/d3aN2Dx7uPthL743vP9zZu/fwYGfn4ODTvfsP0v3xQ/p79+AhAdrdp3F+OqaP71OL/f37BI2o0P2k/1IMcKfv3YefEoaf7j8k5O4/BKR7Ozv30p3x7v69ew8e7h08vLdHwA/u3+fB3du7v0Oj2tuhgTx4eHAfVDi4d3Bwf3/3gLqktrspEevg04f3du/f29t5eO/+wQHNKn127+E9Qml3/yGhvP/pHsAdHDzYOdg92N/f//Rgf4eYYHt/fO/B/U8/3aP/doDPPXx0cH/3/v7Bg4cP9nfu3fuUPvp0fO/+g4OHn+7u7N2/R1D30+0HY8KCPt2jBvwuWj3c3dt/sLtDo6PB71Or++P9HRr7PZDtPv23B/AP7+3gExrE3u4uELtPQyKK0ow+2KGuP33Yb5Vu3xvvf0p03Ll/nxAgjO/1P6Ieb56RT/f7E/lRek1MR+J6b+cAVPz03r3dnf2DnU/T7mcPdu7xHBByB3v3HxKdHn76kHrrffZwZxcU36HR3CNC7u/eJzbd3X+ADwmc3/A+9UJD3SVyH+zfp/52Hu7f77U7eHiAWd15EHzGM32w3/8saPeQRkKfYVJ393ZITO7tg2/2x8RW94hce7tgvP1PmR/u3bu/d4949gGxHWDdHxPj7d7f2f2UCLh3QKJPM727e0CMsPvp/oP9vV2dVhLAh7sEkDj24UOenvs7D/c+3d8h/iPGIFmgj2hqdg54hPeJngcAv/dwf+fB/d17D+59+uk94PXpmOb9wc4eSeo+dfrgPthth/A5+HT3AbHbzt4e8xYx+P7+vV2i2QGR7T6z8z5RYJd44iENev8hcxKJAL1EbAllcP8eKPEpvbBzf4d4lfokBUizt0902D04eAhy7YLWJJIki8QdNGbq98HBp/js00/9ZkJrErvOZ0TGA5/+wHb3fjBLvY8ekma/a1X70eNJtZx5v7Kuf5WfN3uq7j9Kq3qW12ST8CKaRBpCR9+qIUzHrRrCwNiGexsawgzdCiKM1a0gwqTdCiIM360gsnm8FUixorcC+mnQciNQNsu3arp/65Zi52/XlN2B2zVlr+FW4xfn4nZQ2Qe5HVR2VW4HlT2a20HdD5puhAof6HbMIq7UrRAQj+t2UNkxux1U9t9uB5XdvNtB3QmaboTKjuPtmrJ/eTsE2A29HVT2Vm/XlJ3a2yHwadD0JoVx73ZqQLzpWyHATaPCzT/UXtw1YQP92gsp7rp4I3l8lyKZo+T/AbeTXk/lDAAA</t>
  </si>
  <si>
    <t>E6972127650658EA39142E0F3524B161</t>
  </si>
  <si>
    <t>JChemExcelj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sa++9F9FP+r/wofbf32Ufbn453Pz3Y+/T+w3sH+/f3P/30Qbq9Pz64t3//4NOD3U8/3fv003v4ZOdT/xNCc/v++NMd77O9g3T73vj+zs7DnQefPtx/8PCAQEY/2qMeH+ztHdx/sPfwwc79+w/20+0d6vLe/f2H+/d3d/f37u/RWPufPei/+zDdQQe7ew8/fbDz6cH9+7v37vc/ehDtYBcfHewcPHi4h9f2CbfIR11g93d7H+333ztI7wHTffpkd//e/u79g/1P0316b5c+3bn36e6nDz+l+b0PStNXu/cfPHz44NP7+71P7nff2otBBkfvBoA+Sq8xu/fH+3t7O4ScPJik/fGn972P7mEmaWYefLq3T2P5dPfep59i2u7tHuzv7O/t7t7fub9Hw8JnBwf+izv7mI97+/5nBG13TJPjfbT3abRZF9peH7P9PrB95pWdewGw/U/3aU4e3COKfGqf3dhHe+O9B/5H9x8QNXf2/Y/2QfCD8JP743v3P7zN/V5f9+/1Meo3ooHskHK5a7XL0eNJtZx5v7K6eZWfN3uqcT5Kq3qW16QW8SKaRBpCL9224f5tG96/VUNoQttwb0ND6MtbQYRWvRVE6N5bQWQNfSuQ94OWm2BCo+/eqqUYhts1Zftx+6a3m0uxRrdrykbrVqQS23Y7qGwCbweVLeXtoLJBvRVUsbu3girm+XZQ2YrfDiob+1tB5WHdcmLvDzXlH6pW7hoHh37tOT93nWeUPL5LPtdR8v8AYDQLd48JAAA=</t>
  </si>
  <si>
    <t>17C0646AA6D4E9D36F02CE48F1459945</t>
  </si>
  <si>
    <t>JChemExcelB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D1JX6T49yR9nX5J/53Yv+Rv/rb8KH2399lHe+MHew/u3du5d+/+7sH9gz0CH/mIaPDw3qf3d/d26cMHDw7uP+x99OmD3os7/Y/isPbG9w7u3d/f3723t/fg/s79B3vpznh/594DeuPh/v7+zv3dT/fu02c79x8+fLC383D3/t7DB/d3d/Y+jX+4vUuv7396f//h/r37n+5TJw/Sbepl5+HB/v7ePWp8f/fh/Xize+OD/U6z+4Rf56NIq/5H++OdT3d3dh7u33+ws3vv4P6n6cF4bz/45KP0mmYBbHjwcPfTTx8c7O4/eLBzkN4b3//U/+TBfdDyYfARkXLvfvAJ0+3A/+ghBkn02zm4d2+PpmBv7+EuPqKp8D+6B/R3dnYePNx98On+3v3793cf8JDCzw4i0B70+nyAjx5+un+ws0cU2T+guf6U5mRnvHfgv7kHYPf3Pn346cP9h/d2Dx4+IH7vt7q3H/+wN/gH/XEJK/TGSjxD8njXCuTR40m1nHm/soS+ys+bPRXSj9KqnuU1qRa8iCaRhhDlWzXc7zZEC9EWR9+Vt/SvTSDu36ovqJVbNYTyuVVDqCjbcG9zw4e3bbi7c6u+RSveCuh+0HIjUFazt2vK2vhW/YvSvh3Unds3BdTbzbxYi9vhiqZu9m9s6ub/Bo7adQzQ4fNvR/mcf6gg3jVmlX7tmdy7zh4nj++SpT9K/h/nkOLLBQgAAA==</t>
  </si>
  <si>
    <t>230884F3AF63FC697EA14492A686B05E</t>
  </si>
  <si>
    <t>JChemExcelq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mL9KTz35fe7+G3zz5K3+199tH2zvje3s7uwf7Ozr2D+w/v7T88SImqu/TL/d3dBw8/PaD/Pu19dP9Buje+t/9g98H+3r2H9NmDvb399N7404Odg/v37n26++ne/oP7B0TWnd39+/f29g/u7d/fe/DwXvopvXawt7v76c79PWq89zB9MN5/uPfp/f1P7316nz6mMR+MD/Y+vXfvHkG4t79PDemT+zuf7u4/fHB/f/9g/8EO4Dx8sH//4NOde/c/3X1A/09pgun1nd29gwMCsrdz8Gn/o/td2Pv9/u+nxAr7D+99+nBvZ4f+R6+nu3v02oN7D3Z39+4d7B3s3t+noe3v39vZ27u3++mD+zv7e/Tep+OdTx/eI2IQhgcPpNHup/t7O8D0/n36/FPQ6N7ep/v3HlC7g4dEBfpkZ+fTPXpx5+E9osmDvQf00cPdXbzz8MHBwT3QichNX+zT8GkO7j/cfXj/04/Sa0zgp+NdGtD+g3s793fv7ezcf5jSRwTZ/2g/3T4Y79/zPvs0vdWLt231YEwkJDT37x083KOx8Ee7991HD9Lt++NPiU6f7u4S8an1vQN8tH/wcP+AIO3c+3SHOOR+F9SDnd10++F4/9PORzSze/cC8J1G/SbENNs0szR27zOmzO4+TSMN6NN9TN0BYN3ff0jTsX9A801zKR0+eLgPVicsaSL4E6ICjf9g9yFBuEcMQC8SUMzcLs0w/cbDISD3H9KUE6vuPdxlJA4ePDygSXy4s//g4YN7+6Q07lqtcfR4Ui1n3q+sRl7l582eapKP0qqe5TXpP7yIJpGG0De3bbh/q4bQXbdqCA13q4YPug3RQrTp0XflLf1rE4iDW/UFbWsb7m1oyDr5ViBFdd+q6YNbt0T3t5thsRi3GpMYlttBZftzK6gHQcuNQNH/7XhC7J5teu8GooaT73HMt2/HP2JebzVcscK3GoQY61tBFZt+O6hs+m8FFcPymm6EuivORL8p/1BFdNf4PvRrzy+665ym5PFdcseOkv8H8qwxTqoJAAA=</t>
  </si>
  <si>
    <t>3D79240ED3EC2013C658048E4405CD1F</t>
  </si>
  <si>
    <t>JChemExcelG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79z9K8zLHIN5cr3KiSWr+e+H96//3Jf0XfvLafvqaf375Ufpu77OP9scP7+3u7T/8dP/+wcH9g/v76b3x/YcP7j/Yub+3v3P/wQENYG+89+m9g4e7+zt7e3sPHxwQ3jv02s7e7t7ewc7+zu6D/Qd7vY8+fUAv7j74dOfhwf793Qf3Hu5+ev9eujt+sNN7cffT4MV76fbO+N7u/U8fUK87D+/RL3uffppu07sHO/d2dh7ufUo/9nYe0mfUxc7O/sH+w72HBwcP798/SLdpAJ/e393dpTFR12iNz2h0ew/vP/z04GD/3v7+Ht58sL+DD+8RjjSm/X30sPfg0729+w939u7v3nuwe7APVB7e/3Rnf/fg4cGn9/fvPdjZA7idT3d37n36cH+XxvkpPtodY4APaZg7e/f29nfvPUy398f39+5/+um9hw8+vf/p3u69g/sA92B//+EDosLB7t7Bp9QbPtvdPSAo9x88ePBwl4Zyf5cItb+79/DT3d393Z0H9/d2iaH2xjv3Ht67d//+A/pw9yGNA5O1f//Tg70D6mF/jyhBnzzY+ZS6e7Dz8OGDfQJ2H/NHvz/8FHO6Q/P8ANOw96kPav8AIyDMqX9C6t7e3r17BzwNAPJg/979hwegwgGT/P79+/QqcQsRZf/BwYOUhHG/w0a3/IjI9sD/6H56MCZW8z6591F6TYxKIz34dJ9Ifm/v3gHxyD4N62A3+ORe2m10f6/X6v4DDP5B8NGnxIP3gAY+JrT29h6QDIMgRKMHmFOShXvMb5HPYu/ujA/2H+wSDXfv7xJf7H+KWbh3/97+we7u3s69vd0HOw8woQfEfsTdzDq7xKj7Y5oUmhNi1AdEBiLt/fG9Tz/dJYG8t3OfhJH0xD4RaGcPzP5wb3+feJiGfe/g3kPq+j5NJrEFgf50fPBg7/7evR2Ao2lKH4zpJZKH3U8f3icmIB6jjwgfCMjOg519UgO7mNt790hg7hO7ghn3WJxIJHf37kMc9x/cowefPdwBg+3v7BDH0hDTbcKTeP4+fXT//v5DtMdnNCtAaIc+JoLQmw9I2Em5EMEO9h7c/3T33n189oBwIFLR5O3u3dsnaJ+OP6VRED33Htx78GD3010I00NqtUua5OBTgkXMQ63ukdQ/AH/u3wePotXBPZLMBw+J1+m/B5gxVmoEhbAibr9HAPYPTrd3wQj3Wejv75D87BODE+b3ScToy0/jr5B9uGsNxNHjSbWceb+yxXiVnzd7ajQ+Sqt6ltdk2fAimkQaQtPfqiEM0K0awkzdqiGMmW24t6EhTN6tIMIw3goizOetIN6/bUO2xrdqKUb7dk3Ztt9qROIC3A4qewq3g8oOxe2gst9xO6i7QdONUIHA7SZfHJ7bIYCmt5tXeEa3m1dxsoL+0eZ1m9d5dXQi7+lfw0DYS7tdf+zM3a4p+3y3Io24hreDyh7k7aCyo3k7qPdu3xTEcjO+sSl7uLfD9QCO8K2giq98u6bsUt8KAW56u9niptHZ4h9qHe6aUIN+7YUhd12Mkjy+S9HPUfL/AKjLOWMZDQAA</t>
  </si>
  <si>
    <t>FFAABF4A4BB7CCA4885749637C384FC4</t>
  </si>
  <si>
    <t>JChemExcelt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pK+SPHvSfql/nT/fUn/veB/qdVHMvzyZJ7VF/TqTnrTf7v0/238s/NR+m7vs4+298affvrg3v2Dvf17n97/dOfBQ/p6fO/evU8fPNzd2z3YO9jZ3+t/lPbeu9//aO8g3b43vn/vwf17+wf7B/cO7j/Y2T/dJmJ0wN3b+RRd7D/Y2X1wsLt//+Dhzr39eMv9T3sf3U87HX/68EH3owe7/dfQ6OHOw4cPDz69t/Pw/u7OQ3T5aUps1BswWvc+up/uj3d2dnfuPaA+aIS7NIz+J/fptf0Hu5/uHzy4R69GqAngPeJ9lF7T9Dwc79176D330oPx/qf+J/fTT8cP9/xPPqVPdu/7n+wTWp/uhp902xwAzr0d79ntvXWQ3hsf7PufPCQa3gMNvU92x/f3QzgH44MDmtn93YcP6M+9+3tM5+2d8YNgKA+VDDuf3tvbJVo9eLi/d8BNCWRABsIfb3P7TvcxuJFmNDbCaYfY7WDn/t7DB/u73FF3fJ/ep49IKLxn/wGphLtWJxw9nlTLmfcrK4lX+Xmzp3rio7SqZ3lNygwvokmkIbTJrRpC59yqITTTrRoSxE9v1RBazjbc29zw4FYQoTEDiGjxus3rvDp6I2/pX4MgWOPeqjNRzLcagOjv20FlNX87qGwNbgeVjcbtoO4ETW+Eeru5ZlzdbN9IgdvNt9i+2w3rACbyVlDR0s3rRilTe6tN77mm/EOl+K7xAujXnodw17kPyeO75JgcJf8PyaE9p7QIAAA=</t>
  </si>
  <si>
    <t>5423CCE786512084B7A218D52DCC8A38</t>
  </si>
  <si>
    <t>JChemExcelzi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4htXtI7R5Su4cgM9MZhN7Z/SjNyxzT+eZ6lRN3pPjvhfd//Pcl/db9/Uv7iWn7pf37hH//Uv+LfSrvm5+uhf93+K38fB385r59zf8C8mvp4SNh7fJkntUXNLCd9P+b/+12/t6mGXu399lH2w/H9x/ee7h7f2fn4GDnAbEAfXLv4c79ezsH+w/39z/9lDh0+8H44aefHuzvPrhHTQ92SXDoowef3tu//+D+g/379z89IF7YPhg/PLj34NM9evfB3v4eid02aYP9HWqx++k+fb73gMQAn326u3Nw7/7Bzv1Pd+89JHbe3t0b7xC0vf2He7u7+/TjAOAeHOzce0Agd+99uveQOJA6vXefEHm4d//+wT1Cbjfd/nRM39472KcGn376YBcdfDomNB8Qvvcf7uwd3AP8/fGD3b1PH97fpUHcO/iUtALQ2NnZ+fTg3r29B4TxvZ2HGPqDhw8I0u6nB7ufPtx5iGak/HYffLqzv7u3f+/ep/s7MoIDwnKXutx/+ICAPuiN4P7OXp+SMtB9AvXw3t69hwf09j7QJbLcv/fpA3ru7xzs8EcP9x8+3Nt5SGPf3dshxbR9f3xvb+9g/8Gnn+7heYAx7e7s3d/fe7Dz6c79/YekOeijezv3H+59evDp/f3dT3cfoMd7452D+58SsjSc/QOSc/pkl8iyd4APCPcHpFO2d8fUPxGU3n1I7fdIv2zvjB/cI57Y2Xlw/9P7D0ESbkdTR+127+3sPDzYIx1IqBHNPt29/5Ag7u8/ACHvjx/eowY7u/s7jBGpmN7k7fBn9z8l+Pf2d+/v0ggO8Fl3+nioNCU7Dx7e279HdKEp68/oPsZFf9Mo7h0Qn+7RN4Tv3njvwR4G9GCXmOnhAbj50/H9/Xu7NMbdg3sHD+8DtwjrHozvP/iUuG6PJoA44AEmL8IyxB97NFEHB0CV0N4Dz+yNP6UBPnhwjyaRusHU0GcH+wc79Ad1SAgyPKLmHkH+9NMd6nRnh5Q++tjbIS57sH9AtAKW3O7gHnHVzgOa04PdvQcxKaKP9mmwNOl4eZemYwdseW8MNsNE3b9H9HsA9IhQPF27Dz/dIa66D0ElQt17QDxCDHifpG6PwR1Qkx2Qilj9PqB1heE+KPzpg4OD+/eoP0J2fw8IE5M/uL//6UMi8y4pkJ199DDep5HTqGgS7z/cpdkEh5HMHNzHLB4Qnzwg4Ul3xiR9JEeAfm/nU+on3R3v0pv7NGs0sZ8SVQ9S6nXn4S4J3P09YnaaY/qEKANZ3CXxoCHvpjT0PULh4X0aFfHDAfE0jXyPGO8+sdGnUCtkJu+PiQAkEJ/u7RMhSTN8SsgTjqDsA5I44vBPia47O/vgBXplj+TgwXifYAIhYoR9ej8lYu1/eu9TsDtxFXEvtTl4CGQ+fUh8Rf88SA9IYom6NDzq6YDGlD4kf+gBiTANgbQeORs0rSS6RLUHnz54SGMjn4WITvNOfRNnEi8Sb9IE0su7mH7SQDSuvZQmi4b0kLTKfVIJJIcP0t37NM00eBoa8SHxDT7ZIU4g/v30AOBoCggUTxRpoPsPMCQC9YBmgF7ZhViS8iHRoo9onNTjHinHHSj0dPfheO/gAGpqf4/EgciCjz69vwOFfZ9o8ZDUcrp7QMJMZKB5JDo8oC/TPWLwA+r7wQG4D2THiw9IbZBY3N8hzqLW6R6x/M4uKShiPEKGXKY9muAdUng0paQW9/eJp/ZI3+3SRNDckAF6eI9Is0d6cheakpo+IP1Iyn/vU+IDsmz36U+aVRrOHk3N3qd7mCviZWIk/oh00i4NZv+AOiVeJEYksSGBJVRJyRNnPUzv3SMt7F7cvc0HxBif+n0RE9KEHvgfHXyUXsMW74xJhRzsk0RAoRH3QwqJiz4l4b1Pqp94mQjA4kUalIhF6nBvn0wfq0jSx6TfHtwjPia1vcdaE6Qirrj/gCixz63IlNKfMJd7ezCDRNV79DdJwg6p5gf70EukC4irSKj2ecrBqNuQivsHB+BE6oK4Asp751NS8mSidu6T6HGj3b17UC3EXJ/eewD1sE/+BU3EfZqSPUjVPTZ4JP4kPWRDCPt7bNjJAtAkkciRFTmARSKVTA4HOOzBDmaOPRNSSKTHPwUZSFOJeYZaJFXwgKwM2QyxsUQd+vr+AxLtB/e4FfHpAQkMtOPBQ7xJ/PuQ9Cw5M2SzSCKZ1qRlSKgOiA1pxg9AsR1oPKIqmVNyLvag+JhCu6Qzdu6R7D+E1gB2pKXgHO1hIKQ5Pj0AC1ELmlKy7sSTuzRaEhxSJqA12UyaFsLqU1ZdxOI0CySvNHkpmIjUM2lpEt6HNFfUZJcEBNr0UyLHQ6BGTgjxA1HiAYj+gAwLWHYPioXUHXj/HkU68Ddg7EltkVyQpBBwaC5ic3JxdmHxDkh50SBI/ojviehQA6QWiQj37oOp6AOyRvdTWGGaLnI3SDHs0HiAJ/kPZBx2yeiSm3OA9zBa0i7kjtEcfYpPyJsgNUSsckCEJlIR49Bck0Enq0kKjQBRXEhC9+Bgn4i9RySGOidR2QHj3iP5/5SpRJaXrM99zBipQ5CSjD1A7gH7e2wEyO14uIPBkcwSde7DChB/E3V2oXz3iHlpIIQdsdGDHXLU9kFU+oiUJk0Z+QrE39BEpPXJSaMOyWySbScN9IAGQlML6byPr+7RW4TJfVCJbOB9CB1Ft2S04bBCx5GAs5XD7EIJksjvESft8Yc0UHRNOoB8h302wuMdeC/EuPeALikHmlFW1GRaHlBbUnLMaFCeBGefKA7l9AC+D2kTCBMp311yAtABscf9/R2YSLg5e/zmPuaCdCqFbMR6YGQi3C70M5Qou0fksh8w+5IvRV/cYye1i9o9Nvw0ow9JQvfghNxjjzEcKdG4R5H7/bF/CqsfjpN66k3vbo8F9uEI+DN+wATq6FHytqN6lEwtyRt1STJ6Dx7hkLh3xYpcnLhk78IXfYA/7pFEH2D6SDJIqOBXwQU9AM1JAxyw5oSpgw/D6O2yj05cRaaL9CK6uA+7tkdCRJxJE00mfQxXmqwSyQipi10mL6k1iCXhTwMkftthC0huCatqcsx5WPtwngkgKfo90k5kKWHeHmCENGJiZ4gFez3AjchM6pLaYDD34E0jXtlnaSKmIKNAeJKTsgNdRZ4kmQqabXLi7lFsSOJFvhU8S5pPAo5PqPudXfhZ5CMiyoRvcp+UDfhghzzJh1BLPKM05B1igXv34feRy05Oz0O8B5+ZCXUfKgxahxQH0ZtilP2D0+1dUOc+cyoFUTTHFPQgKiLppS8/jb9CaaW7Nq909HhSLWfer5xoepWfN3uaa/oorepZXlNCDC+iSaQhEkS24d6GhsgO3QoiUkO3goi80K0gIil0K4h7fsNNEJE6ulVD5JBu1ZCTS7dqKbm+2zXllOCths5N3UzehOrtplLSkLdrytnK2zXlpObtmnLu83YEQNPbzRUQ2LvdZCHHeru5krTsrVDlprebK0ny3q7pPnLBt2vKKePbNeXM8u2GxQno20HlPPXtoHI6+3ZQP719UyTDbzexkke/XVNOt9+uKWflb9d0H8n72zXlHP/tmvJSwO2a7t2+KaDejgdkDeJ2TbEkcbuJBbH2bzmxMGm3m1hZH7ldU15GuV1T4Hq7iZVFmds15bWb2zXlJZ7bNb13+6aAeruJlbWl2zXFUtPtJhbEun+7iZUFrds15XWvW+ksbnrLid3HKtqtmkLB37/dxMqa3O1wRdPbzZas8N2qqSwE3r7p7WZLlhVv15RXH2/f9HazJWuZt6IrN73dbMnK6O2a8gLq7ZryOuvtm95ytrAye7vZksXdWxGLm95utmSpOGg62JRXlG/XlBeeb9eU16dvNyxexr4dVF7tvhXUA14Uvx3UB7dvCgRuN7EHvBp/O1x50f52UPextn87qDSxB7ebWMb1lk2BwO144AB0vR0PcNPb8QCl7LOHt5PYh8QDD283sbS0lD283cTSelb28Hb6lZJU2cPbTSw3vZ3EQsE/vN1sUeYse3g7pUkLcNnD20UbaEqJ1/doG50E/qG5mbuLqsyn6zKnX784meeLYpqVr9t6PW3xydNqul7ky/YoeXx3uiiPkv8HwricO84kAAA=</t>
  </si>
  <si>
    <t>8B10A0B3DCBA135149A4D0E200D0F2AF</t>
  </si>
  <si>
    <t>JChemExcelO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L3/Sv7xZfqC/n2Bf+mD8qP03d5nH90b7+zd29n5dGfn4f6DTw8eHNxPd8efHjy8t/fpwcGDT/cPDvb376c743v373+6/+DBp/cP9nYOdg4+jX/WezXtwn/Ya3N/L93eGT98cLBzb/fefWr4YG+PQPU+u/9pt8vdnYfp9t743u7ug90d+vTg3v29T3d7H91/SNDujT/dv3/v4OH9hw8//fTe3sNIB/c+7X/2YDd9MN7bCUbwUXpNhKNeDh7sf+o9D6SX4LN7abQdMcs9/7MH6JlG5n+0G2l2LwWC9++5Z+9h/9VP93rN7h0Q3R/sB2/e7320f4/ma++g89H+eOe+/9H93if3lMCdoZPIEIPftRx+9HhSLWfer8zyr/LzZk+5/qO0qmd5/dlHe3gRTSINIRu24e6GhpCgW0GEnN0KIqTxVhB3/YY3QHxwq4aE48GtGkJR3Kohq5NbjQYtd28FU3TTrYCKCrsdVDR1U3nDnO9G55J/KO/dNZqYfu1p6btOhSeP75JxOEr+H85RMcM4BgAA</t>
  </si>
  <si>
    <t>4395BC0846D483AD8FAA0FE34E549161</t>
  </si>
  <si>
    <t>JChemExcel4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R9wf/Hv+a/F+lr+buk/32Uvtv77KPtvfH9g/u7+wcP7+0dHNy7n27vjg92vQ92dh6m2zvjezsHBzu7n+49eHD/3v7+zh4+291/cEAfPNy/t7e7d3/vAd69f3//0wP67OHOw52D+w/2093x7gF6uLf34P7Opw8O7kU+IRx2H96/t7O///Devf2D3Qe9Tw56b+3tDqHw6e7e/v39g72H+7v3Hxwc0JAA7cGn+/u7u9Ty092HB71mD3fuRcHdGx/cv7e38/D+g10a/AE+Ohjv3PM/uvdRek2E3Bt/+mD3/s59wm733sGD/f176f54Z+f+7sH+wYPdh59+SmDvE7xPD4ikOwefHuzuPNi/t4vB7xJJ7z3Y3X+4R4R9uEtDpX52iNa7B4TX/fsP6JN7B36bnU8Z2/uf3gcGOw/uP3yw83B/Hx8+3PM/fPAQo9//NPiMqHRvvHfP/+yg34zffLi/R1Ows0fjfbC7d7DPhHvoNeNZ2MeM0Aip9d7ewcNP+3gcRBCmN1ISLRKEu1YSjh5PquXM+5VF41V+3uypdHyUVvUsr0mE8SKaRBpChm7VEJJmG+5taAh5vBXE3ds2JIif3qohlMCtGkJV3GowUCi3gshq51YgRTvdCqgosdtBZV13O6isEm/XlDXn7RDYDZreQP1btjyA0o615B/K/HeNyaBfe+bkrrM1yeO7ZMWOkv8HcxwTKeEGAAA=</t>
  </si>
  <si>
    <t>E17217B8556569B846D7A975E4C1B5CC</t>
  </si>
  <si>
    <t>JChemExcelr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Mv0xPtP/noR/BX770X65Ufpu73PPtrevTfe33tw8On9ew9393b3H97fT7d398Y7D/d3Dz7d+/ThvYNPHxKKvc8I1f67n0Y+O4i8i3Y74wef7tzfebC7/+D+/QN6Ip9Ru4cE7tODvYOdvfsP7u0c3E+3DwjYvd39g4c79x7u7B0QHbc/HT+4/3D/04cPDvZ2HuzTv+n2fXrv/oOHO59+urO3/+mDfQK1Ty/u7e7u3r93QMg8oInZ3qMXD/bv7e3vfnqf2j64f4+woDep/3t7D/cfEMb7OwSN2OnhLoHefbD38N4+4ZjujvcIsZ39h/sHB/TRvf5Hew/30r3xfYJxsL/zYOcBUePT/fvpvfHDnYcPP723+3DvPpFnZ+fT7ke9t2hO9sYHDz/d//SAcLh/sHOwi94eEoUfHBCtiWT7NFBq9OnuA6L83u6n92h89w7S/TFNAf358N59Ak2t7xPz79zfp+Z7e/ceHBDEB9Ron+h7b/cBIb3/ALPYbXMQodSDj9JrMNDD8acP7xP2n96nD3ceHjzEDNFAvI9ohh6M7x10PvqUsPU+eriLSdt54H+0h0kj0obgO60isGI9ftpvdb/f6v6tWt0OVqTVp9FWXXrtg+1Dqt6Ltrod9lCHxDzEA7uf7pEI0Iv3xgef3ntAHEdydXCPJA4TvH//04dgg/v3d0mySGfRZ3uEBVh+j3iOxBJv3ifh2UWb/d2Hu/fuYYqI4z/Fawe7BwcPiO0Ii3v379+n/+8RgANiq/6sfUra9K5Vp0ePJ9Vy5v3K+vVVft7sqYr9KK3qWV6THcCLaBJpCEV8q4ZQ17bh3oaGUOq3ggjVfyuIMBC3gggzciuI9/yGmyDCKt2qIduuW7UUE3e7pmwJb9eUDebtmrJdvV1TNr+3a8pW+nZN2Zjfrinb/FvNqbgGt4PKHsStoIqjcSuo4o/cCiqG5TXdCJU9nNs1ZUfoVgiIv3Q7qOxW3Q4qe1+3g8pO2u2g3guaboTKbt/tmu7euimk4F5UuPmH6uC7xv2lX3uu8V3nNyeP75JHfpT8P1VFJ0mtCwAA</t>
  </si>
  <si>
    <t>D3E7ED826CBEC03AD57A52CD0B3287EB</t>
  </si>
  <si>
    <t>JChemExcely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pJ+qf/Hfy/s7y/0//Lfs/Tko/Td3mcfbe+P9z699+n+/s7Bw3sPdvf3P72fbu+NH+7u7917uPvp7sHBw4P9h+n27vj+w08PPt17cPDpwf7B/f37D9LtnfHe/gP67eD+w3uffvpw/8HD+/zh7v39vYf3dj59uPfpp/fvUUuaiU8fPtw9uL97/9MH+/fu7z9I98b7Bw/v7+zu0zcHn97f2adPHjy4d29vb+/g4c4uYXM/3R/v3rv36YMHBIOgfbpL83B//9NdAvTw4d7evZ29g/TT8YPd3YPdg08f3Mfb9x9SG0Jkb/feHjUlSPce3KePdu7tP/h0/97+7qcP7x18+ml6b7z/kJB+cLBD3R082NkDQoQIDeNgd+fBwcHePWC9+/Dhzs4+vbf38MGDh/Te/fGn9/ce7hI2D/iT/f30wXj34N59emnnwd79B3v37qcH4x0CTuTa29m7v0cDpDb7Dx4cYFD3iIj3dh6kD8ef7n16n9pTw3u7nz44oMHuPCBa0aD27+3u3Nulmb3G/BDt7u19+mDn4b17D/cPCCCT+OHO/Qf3CXmi596nO/cwPzsHB7v7nzJFH9CHn6LdPfqAiLyzR1NH0Pfu86Dufbr76cHOzi4ItYdXd/fvfbq3u/Nwf/fgwd7OLr9K5PuU6HVAL+0QYdKdMRHg4YODewe7NF00k7sE69ODg4MdIuWn93buHeztAPzOg/t7Bw8IP3qZqLhHhN052H2wt39vZ+fBLg3u03sAv7+7e/8AU7m3hxl+8CnwIOISyxEmB8D6PuP2YJdaHNC0H+zs3iOuTLfvjXf2QHqarYP9vU9JLohhiYSEOUHf2b9HVH7AzUBjcOU+zf99fnOP+OLThzsHD4i9P6XhowfizIcHDx8Qdfep5acHPHqi5UPQZG+fBk1TSF0Qag93SE6Ilvc/BZUI3N6DTwmphzRvJCekIR7ftQJ/9HhSLWfer6wBXuXnzZ4qgY/Sqp7lNWkqvIgmkYZQFbdqCIVyq4ZQO7bh3uaGn94KIlTYrSBC0d0KItThrRqy0rxVS9Gtt0KTm95uekRT3w4qK/RbQX1w65ZiIW7XlA3JrVD9NGi5ESgG5SZ/Y1M2YLfqX+zc7aCyObwd1L2g6Y1QHbPcwIF7UV7hHyr/d41zQL/2HIe7zqtIHt8lf+Uo+X8AHOtUV8sIAAA=</t>
  </si>
  <si>
    <t>397A22F4B48FA8BF1DEC0DA97AE1885F</t>
  </si>
  <si>
    <t>JChemExcel4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TI98f574f3f/fcsPSltQ/mK//oofbf32Ufbe+NPP31w7/7B3v69T+9/uvPgXtr7iBDbJrLdu/fpg4e7e7sHewc79z79NPLZfrr96fj+waf39w52Hz442H+4f+/h6TaNudtyf7/30b0H6Hhn7/79nU/3Hx58eu/B/u7DfXr7ftrB59OH6f54Z2d3594D+nv/YH93Z/9+7KP+e91PDnqv3SMeuXdv/8Hup/sHD+4RcoTXp/TWwb2H9MLD3f2d3Qd7kU/6b3Uh76UH9MnezoP9B/d2Hn56QL/1PnkYIX663YV00P+IXuxgQOPvf3QfExSgftD/ZK//4qe9Hnf7eO0Sf17vQVzv33voPQf3wSoHBI04CXyxRxB5Yrd3xg8e7HgPiQwRgIjhv06McW+88yD47F6k3T2G96n/2cNd7vr+wcGn+5/uUf+f3nv4YJ9ZkpDffUjztH//3j6N4dP7/Gkfwv1+Tw8jCD0AOT7d7TQjOj7kL/aCUcoXnY8+HT+8F3xEPT8YP5Av+Ff/2539Ptw9xuuAEd4NQEUoza32Huze272/f29nb49I9IAnpTd9aXf899N7YxJu/xPQMxw9KYhuqwf7PVAHpIwf37W69ejxpFrOvF9Z2b7Kz5s91bcfpVU9y2viMryIJpGG0Mq3agjdbRvubWgIDX8riLADt4IIa3EriLApt4J4z294A8SHt2rIhuxWfYu9uxVQMYu3gvpp0HIjULazt2vK5vh2Tdlq3wpVMe63g8o+wO2gsqtwO6jsUdwO6n7QdCNU+CCOBW4a1t7tWABOzu3mVfyi2zVl9+l2TdnLul1TdsZu15R9tts1Zdfudk3ZA7xdU3YUb9XU+JO3aIphxZvyD1XWd43TTL/2HOq7zttOHt8lP/4o+X8Azss3j+MLAAA=</t>
  </si>
  <si>
    <t>51C7F5B0F90E35D368F1944DDAB7F499</t>
  </si>
  <si>
    <t>JChemExcelqg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b2P0rzMMcA316uc6JX6/72g/38ZfCKfmX/lp/+7++skfU3v0n8fpe/2Pvtoe2d87+Gn+w8f7j48uHewe2/nwb2099n9+/vpzvjhvQe7Dx4+3Lu3v//pg72H97of3SOK9V6l0W/vjh/c29l9cHBvb2dv5+E9+rz32f7t3qSP7o13Pr13cP/B/v7ezr0H9x7cj7aKjaD34f6nsZfv9/vYvxf57KA/CGKNXruDg95nB8RO2/uEzIP79z69T998ep9fvU/gdvd27396cP9TgnZ/t/cROu2+SLg9IPj7Bw/3D3Ye3N/bpd/SvfHeg52D+w939u/vPdh/QAPtfkKs2J3Sg/4sf/pp70WSg3vjT+kvGsenD3Z39h48fND75GG6T5AO9nYJ6sHDezsHxPXdT3bTTwn07gHNyS4hfkCjSR8QnPv3H9y/f2/v/sGnD3dIkCIfdd97mO7eI9Xht7p324/2x5/udz7aHd//NOjxo/SaRIXwx3za/+3SqPfv+Z/sEbE+/dT/ZD/dHe/uhZ8QG94P3nrQa0S6pAtp51Pw2+7Bp3u77n/7+Ozhff+zBwf9doQY8eD+w6AdOInm1/voPviNOvJ7SLc/Hd9/cHOrCKwD0tb+R/v46CBADPjvjPf3/M+In2kGdgNk70Xa9aH1u+yDIjJ2Z+3+/bQ7tfQRSd5+OLcPxnvuT/7kYLwTzOR+r00fzv3eW5+mD8f3H4ZtaLT3gunvN/q0B+hBr/sH4AVSfffGDx7sPiRFQuqC9M/+wen2LrjuPjPQ/Z2DB6Q/iOn3H96/9/Aefflp/BUypHetJT16PKmWM+9XNq2v8vNmT63rR2lVz/KaXAC8iCaRhjCJtuHehoaw1LeCCHt+K4iw+reCCN/gVhD3/IabIFLXB7dqCIfkVg3ZbbkVkmi5eyuY4gPdCqi4SreDyh7V7aCy43U7qOyf3Q7qbtB0I1QgcLspFcfwdk3Zf7xdU3Yzb9VUvNHbNWWn9XZN2be9VVMM65ZNGYHbiTP86tuxgLjet2vKHvqtuEUc+dtBZX//dlA5LLgVVIkebgf106DpjVBvxwISttwKAYlubgd1H0HQ7aByrHQ7qBxS3Q7qXtB0I1QO0G7XlOO42yGAprebWG4anS3+oVb4rol96ddeXHzXBc3J47sUjh8l/w9ayqOkqg8AAA==</t>
  </si>
  <si>
    <t>8C8DF6A4488199582A576C3BEA63C0A7</t>
  </si>
  <si>
    <t>JChemExcel/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v34KM0L3MM5s31KifapO6/L+k//2/3+Unvmy/tp1+mL/Cz/Ch9t/fZR5+OP93be7jz6f17+wef7u7ev0903Dt4uLf3YH/33s69e7s0gu4n99J744f379/fP9h7uLu3c3/n4EG6R3B2Dz59uPvpw3sPHuzcv9f9ZP/h/chruwT6YPfhzs7+g/v7D3d2738a+ygCqtsfTUTkxW3imH3q8OHOg/29Bw939nZokraJTR7Qi9T2090depcGtL03frC7d7D/4N7ug4f3CLWH0Y+6b9KU3a4LNNynhp/e3/t0/97DB58SGff7HxH5t++P7x0QlPv3P929/5BmhAa7/Smhcu/gYP/Tg3v7uw93HxLCB2OM81Nqe39v/8Fe9JPua/tx6LdA7F6Uavvj3U93Ht7b3dnfe3jw6f79g0/po4ODew93H+ztP/z0wadEO/rkIU3QzqcPdh4+pH4fgnv2CdT+/sG9T/cIGL3VZYyDg7TLmAcpiT+h7n/0UXpNLEyY0byDD/YfEirU6R4m79P7/mc8pl1hF/2Ip4T639zqfhRWt8v9TyOf7YI5iPL+Z/fSnfH+3sG9nU/3wFLEGPfAuQ8/DT4Cfz+453+032u0v3+bRge9/mJo3SdR7La7/6A/pE/vRd7tN7vfB0YKsk+MT/sN96EAOmP4tD/Q27Ui3tt7EKAR+WRvvLNHTLdLsnOw+2D3AdH1HgkJCf3Og0+hUB7ukUTvkCh9unP/wf7OgwfEtg8O9qgVqcR7Ozv3dg9ISPZYvD4d39/pMVTIY7sEa4eMzl1rdY4eT6rlzPuVzdCr/LzZU0v0UVrVs7wmc4kX0STSEObjVg1h1W7VELbvVg1hIW/VEHb0Vg33btuQIB7cqiGM960asom/VUvxBG7XlB2G2zVlv+J2Tdn9sE33NjVlL+V2UNmZuR1U9nluB5Vdo1tBfRi0vJEAt2yK/m/HARjV3u1YQJy8W42Km96OBcRlvB1U9ixvB5Ud0NtBZT/1dlDZnb0d1L2g6Uao7CDfqinY9ZZNxeW+Fa6Ql3u34wHI9r3bqQHx82+FADe9pRpA09vxAEZ1Oy2ASCTKAfxDrdVdE0/Rr71Y664LxJLHdynEO0r+Hw3kqt3+DQAA</t>
  </si>
  <si>
    <t>286B3520779783F2FCBAE53A6B7DC659</t>
  </si>
  <si>
    <t>JChemExcelWh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v9vY/SvMwx4jfXq5wImN72vxfh3yX/eB18+CX/9yL7SGaiPJln9QV1spN+k/9t79I/NBfv9j77aHtvvP/w0939vft7D+7v7u8+oMFv3xsf7D082Nv9dP/hvf09IiN9snPf/4RIvk1M8Om9+zs7Dx7s7j7Y2dv/NN3+lIA92H3w8ODh3kNqfpBuPxgf3Ns5uP9wZ3f/YO/Te7v37/c+A/zuixHwB328aIJ6n6GD7pge9j462Pk0/mr3s8ir+0RAwo0GfG9/5/6nB/Qd8O1+9umDdGe8+2CX4D7Y/RQvHtzff5Duju/v7B883D+49+Dhpw8f7hEj7xE9Du4/uPfw/sMH9N/9T9N9enFv7z5RiWDef/iQBO4+TcC9vb2de/v393eIi7uf3E8/JTCE6O49wvRgb+fTnfvpAcG5t/dwZ3+fiLiz83A/8knktYcE+1PCjgby8N4BfdNF6OBhD2kaWo8EJFgdEjzc/fSgR4KDeylovP/g4MEDevHgwe7DA3rx4YODXeqDOqaWDyONHuwTqIefHuw8+PTBvU93P73/6aefosd9mqYHewT7/h6hcZ8mYm/88D76+vT+/R2a33v376Xb++P7YDUz0zuE170xtffH/VF6DRl5MN452P8U/z3cvU9N98Gw93b9jx4A4MODnYeEyj5ReH/304fg4fv7fquHvRd3e412dwFqZ8f/6B4Yc++e/9Fev1Wv0Q4RjSbl04cBDvQmEXcvwB70/nT3/j38R2N98OAhKU5S8QfeRzR5IOSe/9HBg5SI9tB/kTRyp9XDPbB9AOsh6dfui3uY4d6LvVYPeq0isPZJPvbuhZ98SuQKXuu1udeDQ6AjvUXQvBn4Xn8qiIF7UwG26bYjjUBa6ODB/r37+w9J996/v39vj3kC2u3Bvd2d+xBLklwCR8xPzEsq4gHJGE0aJIl07MHBpzT1n+7e2334Kc3G7sOHn+6Q6OwdfErCtYMx7e6SfD4AqE9Jo3x6D4r6UxK9vfukqom19/b3CdYOmey71mYfPZ5Uy5n3KxvxV/l5s6d2/KO0qmd5Td4HXkSTSEMY39s23L9VQ3gOtuHehobwL24FEV7IrSDCV7kVRHg0t4K47zfcBJEdpFu1FD/qdk3Z3bpdU/bKbteUnbdbDV98vNtBZVfwdlDZY7wdVHYsbwf1XtD0Rqi3m1fxaAME0EY86aM38p7+NSw77BLfqj/xnG81YHGwbweV/fDbQWV3/XZQ2au/HVR2/m8HlWOE20G9FzS9EertphwUuHc7WZYY5na47gZNb5Lle6HYe1z27dvxnIRVt+pPoq/bNQVtbscdEsvdrun++zW9HSNJEHm7phxr3moe0XT/dtwBkxmdcf6hpvuuidXp114cf9cF+cnju5Q+OEr+Hx3QcotaEAAA</t>
  </si>
  <si>
    <t>6F92FA4DD1884C444ADCC4FC21BB9EBD</t>
  </si>
  <si>
    <t>JChemExcele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Da/+/L+F8fpe/2PvvoYLzz6cO9+w/37+3vPNzfO9hNH4zvPXxwf2dvd2dn9+DBw92H99NPx/s7+w8e7KLB/sGnB/fS/fEBPbuf7j482Lt/8GCXPrj36f37D3c+3aX3Hjx8cEBUvHf/4N7ezgNqv/9gj9D/dHzwYH/vwaf3d/ce3ntAwFPq/eHOzsO9XQJ9sLvz8NP0IcHZf3Dv3s6D+5/uHdy/t09tHt779NODg4c79/bpu5371Ia6PiDYBzsP7tHnB0Dn3v2dh/d3Gcg+IXhvfG/34e49Gten93eox910b/zg4X366GCfxnv/wYMH+/TRvT2C+HCPhvnpg70H99KdMUHYv3+POqYm93bu7abbO+Pdgz1C+1P8s0vI3Lufbu+OP6Wh39u79+mDe/d3CYc9epdpeEAI7B8Q5T69l+6OD+5/+pBoR8N8cPDgUyLL3pgQ+PQekfHT/d2DnZ1P94Drg72DT9EvDfTBvYcfpdc0NffGe/s7O4TvvYf3dh8Q/RkcEXD/3v2HD3bu79+7h3cJx/sPP927v3P/wc7u3h5G9eDTnftAeOfT/XsPPt2n9+7t7u0SyR88PKAvdu9joLuEw+79PSLswcHO3n1qtkPTfJ/oevDg4OHuPnW8s4/R30f/O/sP6YuDXcwaDXRv/+Eu0Wd37/7+pw95nDv7e0QzmrLde5/uMF57Ozv3d3bvATGi/wPQ7B79SX88pIHf29nbu4fP7h/sA82D3QfEFQfoEmMi0u/v0aj2CO5DYLFPc723i9n+lLrc4Xkhet4j6hIbPCQEDw4wgocHhO0+mJCYBd3ujGneDoiZ9nZ2iQ8P7u2AIA/3fXBEM/rDh/UptdkhMJ8e3D94+HCP5hxTR5O7T0z+YIdIub/z6QMS8LtWwo8eT6rlzPuVRf5Vft7QZELkSUFU9SyvSVd9JC1EWRx99/Fd7y/5Iw7iXgBiqCF0y60a3u82fH+koMFu1Rf03K0a7t22IdTmB2IPtXurvlg536rl3q1bira3Tfc2E293b2is377dWMWo3A4ztj23woyb3r8dVLZkt4PKBu92UNku3g4qmt5uvsXK3gqqGONbQb1/65a7t29qHIH3EQT+oarqrvFk6Neel3PXuUDJ47vkXB0l/w+82oxFeAkAAA==</t>
  </si>
  <si>
    <t>2DC492E529E83ACAA6010719AD626C5A</t>
  </si>
  <si>
    <t>JChemExcelI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Br/78vIJ/zfR+m7vc8+2iZC3v/04OHOwc7eg093H9zfv5/ujOnXBwcH93Yf7nz66d7Bzv10d/zp7s7+pw/293cOHu7f2/30fro3fri/v7v/6f1P9x7s7d27TyPYpxcfHOwRvP3793fuHTwg4n66u3t/Z/9g59N7Dw72CftP6bX7uwf3Hu4d7O18un//4H56QK8dHHx6b+f+zs69/f2H99KH9Nre/f293Qe7B5/u3d97SJ88eEB9fLqzQ3/tPyAy0aztPXhIr90jzPb2Hzygj/bGO/v+R5+mu/fG9w929/ce7Ow93Hu4+5BoSi/u7D7c3yHon356b2/33j4+unfv4f2DT3cPCMDu/gF9tDPefXh/l8a6/5BGtPfwAB/d371/b496v0ej+nT/AV58+ODhw/v7uwcHe7s7NC4gcW9nZ/fewe5DGuBDag8kHlDrT+/v0buf7u/Qe/vjnYP9hwSaUN27t0/TvHt/fH//4f0Hn+59SjR78PD+pwBFeN7f+XT34UOi0N69e0QrQmXnwd7DB/TFw/t7fRLvfZReY2IPxvTSA4K9A0ISOdNtIuKn/kefpr1WD34uWj0Y79OY7z/89ODT+/fv0QTio939+w8fECvtffpw/9N7/OL+g4ef3qeB7hMhP32AT4iYxKA0cJqCA6IYdfjp3v4OUeve/Qf3HxzcP0i3aY527+3sE9cR8x48eLhHH+2NiZWIu/ce7H9K/P0pPrs3/vTTB3v36cWHB7v01S59tj8GB9wjRHZ30TF9RPSmiTt4gLceUEM0+3RM9L334N4eZOj+fUB7MP703u6DvR3wC0kD8DggTfTg051PH+wQIntEBf6MJGz3YPfTTz+9f++AJHz70/H+vfufPjwgMATsHr3LQ7i3ExCNlM1dq22OHk+q5cz7ldXPq/y82VMN9FFa1bO8Jr2JF9Ek0hB66lYNoc1u1RA671YNoRlv1RD681YNoWVtw72PpIWo66M38pb+NQjioQ9iNwTx3VuD2N25Fb5iDG7XlG3G7ZqyaQnosLHp7ab14a1bikkbIuK3b0dEsYm3649N59C8n9yyP7a9t+uPTfTtmrIlv1VTMfi3a8p+wa0mmJveTsDBjHvhDL//tH0qXsr7yA//UD1217hc9GvPHbvrfLXk8V3yAo+S/wfArHJ9IQoAAA==</t>
  </si>
  <si>
    <t>085354FF631CCF4E979304378DF23AAD</t>
  </si>
  <si>
    <t>JChemExcelA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0RXqS4t8X5t/yo/Td3mcf7Y0f3HvgP+nu+OGnwSefpt1GB+nOeH+v02h7Z3xvfy94Ip+l27vjg4POR3vjT+/7n+x+Gv3s0/HD3QCNj9LrPUwQ/bp3j6A+3N3Z39knXAi9/f379x8+2Hmw9+DTnd293XvA5eDg4e7uw/1d+mpvZ2/vYa/d7sM0Aq335r2D+Gd7Y0L0wcOD+/c+vXews3P/4f1YD8QjNKN37ZQePZ5Uy5n3K8/xq/y82dNp/iit6lle01DxIppEGoIZbttw/1YNwVi24d7mhp/eCiKY9FYQwcq3gkgNH8Ya8g+l6V0jUvRrT9zuOllMHt8lKT9K/h8sw2EdAQQAAA==</t>
  </si>
  <si>
    <t>9A4B16345F7A32183E89E33527B967A7</t>
  </si>
  <si>
    <t>JChemExcelv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IP/SvzvBf2G/3+Jnx+l7/ZAgt2Hnz7Y//TTnZ29h/f39wju3vj+vZ39vfsP9uive/v37+/HPro3Pvh0f3dn/2D/3sP7u/sPdz8FER4+eHBw7+Gn9x88eHh/70Hvk/u917ofHDxIP6XOdvc/vbdz8ODTnQf3P027OKbbO+Pde58+vLd3f2/3/r29T3fv732abu+OP93ZvX//4f37n36692CXgKXbhPgOvXpwsH9/9z5gbe+Pd/bDT7rv7dzvd7BP5L0mcm3TiO7vHezdf7h7f//hpw8PHtwHyHsH/mcH6PdgP/iIcdl54H32cOfTXjv60QP3cDft9fow3f50/OlDv1Wv0cN7vS4VjRA1aXfvUxruwwf7+7tEiAc7NIR74093ww66n+wwOQ/uHzzY3ds5+PTgHr3dR59Y/K7l8aPHk2o5835lpn+Vnzd7yvcfpVU9y2viTLyIJpGGkA7bcG9DQ8jQrSBC0m4FEfJ4K4iQ2ltB3PMbboIIJXCrhtT1w1s1hALZuVVL0Tu3a8rq6VZDFy12O6is7G4HFU3dbG6EqqrzNk13b990qCX/UO6/a6wB/dqzFHedGUke3yUDdZT8P3oSwT+8BgAA</t>
  </si>
  <si>
    <t>0B0587E7E3E1C1FD4E9DAB1FDF3EFFAE</t>
  </si>
  <si>
    <t>JChemExcelu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Sk85/L9LX6Zf0n/xlfna++yh9t/fZR/fH9+7tP9j9dP/gwb3dvd17D9POJ/vp/nhnZ3fn3oN7n97fP9jf3dm/n+6NP/30wb37B3v79OGnO58+TImS9+59+uAhvXGwd7Bz7z59srPz4ODB/r17D+/v793fu3+6TYPe7jWMfXYvPRjvHjw4eLh/sPPpp7s79/ce0tuf9nu5l273cel99KD/EfW6P97b8T86ACK7e8GLB+mn9OIBDeHTnYe7+zu7D+4Tajs79Ob+g3s7Dz89oAl7SFjdf3D/3sH9vQcPP90j+hDjffrpw/17ew8f7NMHNHG7e/TWvd3dPXpn//7ePaLr7r1xl2T9TyKv9WHvjz99sLP/YOceIbhzcO+AGn1K7+3v7j/c/3T34b1P9/fS3QcE+wGBvX9w78Gn+/tEd2r04EHY6P54757/yUfpNTHJ9kP6+KH3EKkejD/1P8FHn44f7gWf9Vs95Fb3drxnd7BVuk28+BAT9ele5w180fmIWu12gNwb7zzofLQ7vh+M5OF+vxmYgz478DvYud8f3+2ocLtWEVpRqwjdodN2btdsl7+hAR6M9x/wR/cf+Oz1Kfp8uPPpvb0dkrXdB7vEY6Tc7lrtdvR4Ui1n3q+s7l7l582earyP0qqe5TWpZbyIJpGG0Iu3agjteauG0LG3aghNbBvubWgIfX0riNDqt4II3X8riGwhbgXyftByE0xYlN1btRTDdLumbL9uhSk3dXN5Y9PbzSZauunciCqb1ts1ZQt8u6ZsqG/XlO35rQggZv9WUMU7uB1UdiJuB5V9jVtB5WHdTkYZgVvOKzs5t2vKvtCtcOWmt5NVbhqdWP6hGvCu8QXp156feNc5kcnju+SeHiX/D3ICRXi6CgAA</t>
  </si>
  <si>
    <t>6DCEB57C16A415F0091BCDABDB3A8A57</t>
  </si>
  <si>
    <t>JChemExcelB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1+mJ6n51/33gv//ovOp1/qj9N3eZx/tjT/99MG9+wd7+/c+vf/pzqeffpoSUe7d+/TBw9293YO9g517hOL2/vj+7oO93YcP7+3uU8udT0+3aQTb3aYP0+0OwAf79/H2zs7uzr0H9Mn+wT6RovvJzkG6fZ9g7T/Y/XT/4ME9grd/L93+lGAd3HtIYB7u7u/sPnh4v/dZ5MX71OqA4O9R5w/u7Tz89GCPKL39kJrdf3D/3sH9vQcPP927v9f/qP/evf5HB/337vc/IpoR93366cP9e3sPH+x/ure/B+x39wjavd3dPYK1f3+Pvot8dj/yLn10bxzQ+j4+2x9/+mBn/8HOPSLFDpHlXn8C9vrT9CmTY39/F53tHlDvDx7coxntz/3+ftqF91F6TXyz/WD8YMd/9jA1D+/5H9E8Pxh/+jB4uNVe56Nuqwf3+80e8EQ/BOt8uut/IRxw0Gnbff3TSC/9jyL93rvfh4/PumgwD+zd63wEDbQTvEqf7Y7v7/uf7TEP3Nv1P+s3O/i0D+7gQb/X3icH+2DifX+kB7v9ATz0CLwnv3cmE1+Q8rtrtd/R40m1nHm/sjp8lZ83e6oRP0qrepbXpLbxIppEGkJv3qohtOutGkIH36ohNPWtGkKf24Z7GxpC698KImzDrSCyBbkVSDE0twL6adDyRqC3m0gxcLfqX+zg7aCyubwV1IdByxtRvd3Ui5m+XVO25rdCVYz+7aCyb3ArqOJC3AqqeBq3gopheU1vhHo7aRYXxza9t1mo9m43r+Iv3a4pu1W3a8re1+2aqpPWb8o/VFneNW4l/dpzOe86fzR5fJc83aPk/wH5LucVBQsAAA==</t>
  </si>
  <si>
    <t>80BDE85C6A0EAF1F1F17F550D90B11A0</t>
  </si>
  <si>
    <t>JChemExcell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OW/F/rT/48+Kz9K3+199tH2/nhnZ3fn3oN7n97fP9jf3XmQxj7aG3/66YN79w/29unDT3ceUK/bNN579z598HB3b/dg72Dn3v0H+OzBg0/v3f/04N7D/Z2dvfs790+3Cbtu0/20A/DTg7Tb637vk/u9tx4+iIDePhgfHOw+oDcePiAAe/f3CIdP+/h++unQuKJjOBjvHgTYfJReg4A74/uf7n/qnv2H6c744YP799yz95DQfLDvf0R43qLV3v3btLrXa3TvIO3h9ekDIUHw2V6/3YP7H9Zub3zwIGhH2O0Qm9+1fH70eFItZ96vzPiv8vNmT3n/o7SqZ3lNAooX0STSEBJyq4aQo1s1hLTZhnsbGkImbwURknsriJDvW0GEFrgVRNYVtwIpKuVWQD8NWm4Eyjrqdk1Zld2q//2g5UagrBtv1/T2LYGpYxGvKf9Qlr5r1Dz92jMBd519SB7fJctzlPw/jZIWOpUGAAA=</t>
  </si>
  <si>
    <t>4A4F430B00461F17801A209D7C84A25E</t>
  </si>
  <si>
    <t>JChemExcelI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D6Ij3p/Pdl5O8v0yf1R+m7vc8+2t4ZHzy4d3Dw8ODeg4P9g/sP7t9P6bP7+zt79x/ufbr34N7ewd7+gxTNdu49oI92Dx7s7u49fEgffbq/+/DT3QcPdvcPPt2jz9Dq0537e/fp891P9w72H9xPd8cHBwR49/7BwacPPj2g4d0b33t4H4329ncJ0oMH9MnBg/1Pd+/tPNzZuUfwPk33xgf7n356/9OHezv3dx8c7O48IED37j1Eo4P7Owf37u1/ep+623l4/8HOw729Bw/v0Ws7+w/T7d3x7v293fv37u3s7N+7f7Dz6V66vTf+9P6DBw8/PXiw92CPOv003b43/vThzgP6fv/epwcEFM3ujfd2D+jDT/f37t1/+GD/HqDRH3v00YP9/f17+w9p3ESeTx883H+wc/DwIeG//yk3u0+/7RM4oiXB/5R7IGT3iWQP9nfo5fsPgcfOwwf3d2k81OPe/sFDYrZ7B7s80Ps04L39vfTh+P6nwScfpdc0UdRw99OdTx/sPNjZxbR8Cqrt7n26v/Pgwc7e3r2D/Yf4iAZ3//4uwccM7N7bJ7Ld3/v0/i4hDwoQye9hADsPqf3BDpocHOzsPUS7HZolmpj9nQNqfbAD8j64R0MgbPbu7xLRP32AV4kj9h58+oAoee8BscguBn/w4OAhscfeQ6LpwQOQkrr9dG/ngOZn995D4g+ehP1PiX579x4++HSX5vW+tHpwf+/h/YdEC/PiwcPdnZ1PP3147x6R+P79A+50n8j68NP7Dx9+em/nAckHfbT76QGR9QEGSpOGEdB74D5CjaA/eMjo7u7sHnxKlLxHPw+Ib+4RbxHahN39g09pUvbu8cTfu/8p0fZgj17feXCPGH57f0wUIoE4oHb3D+4TaYAcsRjN7u59ovCnhDFYkMT8rpXzo8eTajnzfmXBf5WfN3sq+x+lVT3La9JYeBFNIg2hIW7VEHrkVg2hbW7VEDrpVg2huWzDvQ0Nod9uBRFa8FYNWVfequX9W7cU5Rs0RRtR6Efflvf0r2EgrL1v1x8r+VsRUGzB7aCyybgdVLYst4PKBuhWUO8HLb8mFfd6QDZidjvu2rt1S6b37ThRzPGtmh7AaL8fZfiHKpO7xuOgX3veyF3nqiSP75ITdJT8P3SUPFIgCQAA</t>
  </si>
  <si>
    <t>1119A079E958CFAEE13BBE149D0DE36C</t>
  </si>
  <si>
    <t>JChemExcelZ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Xqf5b0j/440v+F79/Sf+dlB+l7/Y++2hnvPfppw/u3T/Y27/36f1Pdx7cT3fHn+7s7O/uP9z/dPfhvU/393qf3NtPu+8dECLbRNtPP324f2/v4YP9T/f29x7ci3z2abq9N97f2fl0b29/9+Hew539T+/1wD14uJ/ujR/e2995uL/z6cHO3u6nDx70W+1EsP203+fDyEcHfTTu93u4fz99QNPcRWMn3R+D6tdEwe2d8e79ew/9ZzelDx/u+R8e7HF/nwafpdv3xnv3go8e9Js9vN8H9/BB/10a5f74wYPOR13sCH/i2gMimnt2ida79z/lf+/7r99L740/fdj5aJ/w8z8ilul+9JBptP1gfBBSJvIRScNdKw5HjyfVcub9yvLxKj9v9lREPkqrepbXn320hxfRJNIQgmQb7m5oCHG7FUQI5a0gQnRvBXHXb3gDxAe3akg4HtyqIZHn4a0aQufs3K4lq6jbDRxN3TxuhMoK73ZQWS/eDiqaRmeTfyj33TWKm37tKfW7TuMnj++SLTlK/h9znadOZwYAAA==</t>
  </si>
  <si>
    <t>01E4DC0659CCDF90C931A5A6F88D6F2C</t>
  </si>
  <si>
    <t>JChemExcelq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Z6kX+r/T9IX/G/nv5K//lL/1IYfpe/2Pvto+2C8s7O382D/wb2dh58e7FHX25+OP/304N7D+5/uPNzd39k9+DT60f3xvXv7D3Y/3T94cG93j4ayvU+gdnfuPbj36f39g/1dGmG30f7DfqtbvXj/VlhRq+5wep8QnbcfEvD7D+7fO7i/9+Dhp3v3qRVxyaefPty/t/fwwf6ne/t7DyMf7fbfvN//6EEfCX7x/r17n9472N9/eHDvPv020KoHq0sIarVHeD24d/9gb58I9ukODYhYmKA/eEgNDvYOdvb39wGe6Lnz6YP9vfs7uw/3TreJiJ12e58epB1gn+59+lF6DcbY3Rvf233oPdTN7vj+fucjkq4d/yMexd69zkexZg/Gn/qfPMR8PtzzP7nHwz/wP9oDt3y663+0G23VhbXX7/De7VCNNLvfB3a/3+V+H7H9Pvo8ov37D2k2dj+lKXhwsEPTfm+886DTiuYjwIu0Qq8ZaZPYMCOE/ZqtSO/dtYrv6PGkWs68X1kTvsrPmz1Vhh+lVT3La9LYeBFNIg2hMm/VEIr1Vg2hfm3Dvc0NP70VRKjyW0GEwr8VRJiFWzVk43GrvsXG3Arop7duKUbrdk3Ztt0OVTaBt4PKlvJ2UNmg3g4q293bQd0Lmm6Eypb8dk0xWbfjAPELbocrmt5uYsXLuFVTAL2diMJDud20imNzu6bs/9yuKbtJt2uq3lS/Kf9QtXbX+H70a88vvOucxuTxXXJHj5L/B8fNGZ2qCgAA</t>
  </si>
  <si>
    <t>61B03348C86A396581473341E5748E91</t>
  </si>
  <si>
    <t>JChemExceli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ol/Yefr/lf898L/sb8Fv7Hn5cfpe/2Pvtof3ywf+/h/d2H+/v3P/105+HD9N743k7wyafp3vj+PffRbufvnYcH99Kd8cOHwVu79NG9vfsPHtDXn9IvO/cP9tPt3fHug/uf7j54+JC63X+4//BBur03vvfg4af3DvYPdvfv3X+we58+uzd+sHvv3u6DT3fu7X1678H+w3T7/nhn/1PC5gHBerj74ODT6EedF+9HwPexOHjYQ/bhvXR3vHdw/+H+/b2D3d2DB9TDp3jz/u7BvZ2dvXvU6YNPH9wD/IcHDw8O9gg29XJvj94kLO4RlE/37z8kQLs79+9Rp0Tpnf3d/U8f7H56sL/7gPiCXt3buffpp/uM8r1dYoFunw8OiNgHOwcP9vcfEJQH+3s7+w9oih58evBw9+HOPuH/6af39+mTvZ1PqesDGsHu3v7OpwTp0wOM7d7Dg/s0sp0DGuKDPUJrZxd9EnoP76f7413q/tOD3U9p7PsHwPM+vfdw71OMZffT3fv3d9OH44NPg08+Sq/3IKD79+iLB/f2dgnn3b1P99PuR0SevfED6vXBp/v793ZpiJ+CU4ggO7sHuw9pnECX5rv72d4+z9Lewd7+g3sHNGkE/t4e88+ne/d37xOD3d8HWT+ldjtjGsPDg92DnZ37+3sPdz59gHaYWO+zvX67B2BRENnr9yHoth98dD/e6uAeMfseCLxLuOyBXfap8e4OzfvOHpH0YI8G/+nDT+/f23lw7+HO3oP7B/cwdffufXqfWPEBIfCQiIm5o9/v7+zTFBNT3dvnSdh7uHvwkH7fo//du3+PPnmwT699ur+DHnaJPp8SpIf3iFlo3h4+vP/pAfhp/+BToEStiKUgl+Cx+4QFobazR/8d0KwTe+5DammiiB1opoiBwJ40Oupq59Pd3X0wMelNcBIpAwxo794BXny4t0MfPNy9R1jsPyCqfjomSPfv339ADLmLnu7jTeKCHYL0kJoTS4D3dkh73rXq8+jxpFrOvF9Zn77Kz5s9VakfpVU9y2viM7yIJpGGULy24d7mhvu3gni/2xAtxAgcfVve0r82gfj0Vn3BVNyqIQzKrRrC7NyKHmycbgVSbNitgIqpux1Utoi3gnoQtNwIlE3s7ZqyJb5V0/u3bimm/VaD4v5vN/niKNyuKfsTt2vKbsftmzoOuIGj90IGQJP3Ex9xgm5FRfGVboWZuFS3g8qe1+2gsoN2O6h7QdONUIHA7WZcPMNYU/6hCvaucW7p157je9d5xcnju+RvHyX/D66ifsmLCwAA</t>
  </si>
  <si>
    <t>BDE16999001646E1E60445ABB84E7CF9</t>
  </si>
  <si>
    <t>JChemExcel6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q/nvB/35J//mf4nP5jP/9SAhSnsyz+oIA7KQ3/7dL/9/eNX9+lL7bA+Hv3bv36YOHu3u7B3sHO/f2Pk17Hx2ke+NPP31w7/7B3v69T+9/uvPpg/3YR70X99JtavZw9+D+g9379w72H+zs7uyfbhOV6PO93XsP93cO7n26t3tfP+wCOADM+zt7D+iv+wf3Hny6v0/N9sb00v6nuw8PdvZ29vcffJpu3x9/em9n/8HBgz0Ctkv/Cryd8af79x4eHNzf3X94f+/TB0T6/fEOIXHvASG9f7BPvxHD3Lu3/2D30/2DB/eo43sP0k9paAf3HtKoHu7u7xC4yCe9t+5HQHdp9Gnvk/s9ou0c3ALHW7X5KL2mCSYiPPj0of/sg/r3doLP0u17450H/icH6fb+mIgcfkSdHNzQ6kEE1oP+m/TRg/H9T3fdIGjk2wc0CO+jXTQKsaf3Ho53aFIP9g8I4r0HxAG3wiuO/afjh3udj3o93u83ezCA2N69zkfdFz/tE//gXpxi3Yk7ALPs7dHsfnpw/+He/Xv3H+6Cz0lz3bWq6+jxpFrOvF9Zl73Kz5s9VWcfpVU9y2sSfbyIJpGGUHq24d6GhlCNt4IIBXqrhlCzt+oayvhWEPdu25AgHtyqIeH48FYN2U7cajRouXsrmGJ0btUUJsnN40agbMFuhakYuttBZXt4O6hsNm8Hla3r7aDeC5puhMr2+nZN2azfDgE0vd28wje43bSKK3Gr/rnp7STUOCb9pvxDdcpd4zrRrz236q7zuZLHd8mbO0r+H+Q9JNbpCQAA</t>
  </si>
  <si>
    <t>538752A182F290AA0E721231CA1B4315</t>
  </si>
  <si>
    <t>JChemExcels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+1P33gv/9kv7zPzXfyefmW/r3IyFXeTLP6gsCtZPe7r9d+v/2bvjhR+m7vc8+2iai3rv36YOHu3u7B3sHO/ce3E+398affvrg3v2Dvf17n97/dOfBvf5HNLrt/fHOzi69QZ/sH+zv7tBH9wna/oPdT/cPHtwjiPv7/Y/uRV/8lOAf3HtIoB/u7u/sPuh/FPmEQB0QqL2dB/sP7u08/PSAwKfbD6nD+w/u3zu4v/fg4ad79/do6Dv05sP9e3sPH+x/ure/d/Bpv9l+H6+H/XHvR8iDzzqv7vbHfT/6UZf8D+/1Ptvf2UefD3cfPnxAI9h5eI/w3bl/ur0bef9B//17B/joAb13/x71SZT7dP/Te/x6t+X+XtoZ3KcPH6RdstxPuwPZ/Si9JmbaGT/49KH/PEhJptH7/Xv+xwfMUDRjnc967YDh/v7DBw8J6/s7+w8+3f1Uxk09Pdjxn/3eRySDvU4eECXvjQ/2u591O75/0H93/0G/3b0+uP2D/mcHzPOf7vqfPQA7794PPrqPzx7u3dRsAFj44gFkYz+cjj6sh5GJeBAZwEF0cqLvfu12D0hV37W6+ujxpFrOvF9Zeb/Kz5s91d8fpVU9y2syMngRTSINoeVtw70NDWELbgURFuNWDWFXbtU1rM+tIO7dtiFBPLhVQ8Lx4a0asmG81WjQcvdWMMXK3q4pG+PbN731VO7ebi7FAbjV+MVPuB1UdiduB5W9jttBZefkdlDvB01vwnXvdvMqXtGtEOCmt5tXdrFu1VI8sdv1j6ZuXjdCZb/udk3Z/btdU/YSb9dUncl+U/6hqvKucYHp1557fNf5zsnju+SVHyX/D3EvgamxCwAA</t>
  </si>
  <si>
    <t>1D99B7136C46ABD66E2986EA5242AA5C</t>
  </si>
  <si>
    <t>JChemExcelh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9T/70Xwl/z3pf6/+639vPwofbf32Ufb98b7uwe79/ce7n66++nBPXrS7b3xp/v+Z4Tn9i4RO/hsN+29i3Z7452D/f0H9x483L+3v7P38EG6vTN+cH+H/v70wd793b29T4kcO+P7B3sH1HD/4b3d+w8e3HuY7o4JzP1P791/sLu7f+9g5+Fe9yMi8b3x3v2dvf29Tx8S5F16P90nSPce7hEe+w8ePjw42KVpf7j74NOdnYf3Pv107wH9nj4Yo+ODnZ37B/v37z+8v5se0Fv7D+8/3D3Y2aPXD+5HPum8tf+wB/l++pA+Ofj03sG9nb3d3b0dmuTuJ/e6n9Cwdgny3r3dB/t79x7uE/xP0+398e5BMA346OH93kcP7u8e3NvbIfI+/PTep0TcT4ne9+/v7u7ef3iwt7+/Q9PygKbl4e5DGgdRb2//3oPoR90X4+AP6KO9g08JzXv7Bzs0r8QJJHQHn97fP7i/d/8ewdg5uG2z3fvj/XvBwD9Kr4kJ98YPiC4PHhCld/c/3aUGNPX36OWHD4jU92hKHsY+oQ5AHaIbsdHOzqe7uw/vM7ftPiBW3aXR7Tx8eO/hvVs2PNiPN9wd33/ofwjOv+27t8CGOGuv125/F5K0d7/z0b0xkcn7aOdBrxl66LWDYJKgfOp/1kfk4P69PiKkk0j2SQyI8e/tPLhHrPFg/z7rCHqNphH8STJBArMzPtgLKNCfor0dyH6v2d743qedj+6Nd+8FH93rt+o1IkXabUQf3QaJPaC/Q5r/rlX9R48n1XLm/cq24FV+3uypOfgorepZXpPNwotoEmkIHX7bhvu3aggDdKuGMFO3aghjdquGMHm3agjDeNuGuzu3ailW9nZN2RjfrinbbNt0b1NTNu23g8oewO2gsqNwO6jsT9wO6l7QdCNUIHC7WRVH5nZN4dvcbmLFLbpVUwC93byKj2Wb3rsB6O2mVRy2W02A+HW3g8ru3+2gspd4O6jsTN4O6n7QdCPUB3BPb9VUvNhbNQUF7t1uXsUnjjXlH6qu7xqvnn7tefx3XTiQPL5LgcZR8v8AviuYp4QMAAA=</t>
  </si>
  <si>
    <t>A98A59DB55370E92A7919FECA421057D</t>
  </si>
  <si>
    <t>JChemExcelD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G/31J/52kLz5K3+1hoPfu3fv0wcPdvd2DvYOde/ufpvfG+7sP9w8+fbh7/2D//v7B7oPT7d1P0+3u53vyeRfC/XRv/OmnD+7dP9jbv/fp/U93HvQ/2Bl/urvz6cM9ArV778GDT/ceEpj9vU8ffHpArXbuf3rw8ACtHuzce3Cwd+/B/Xuffvrp3qefEqSHn94/uLezf/8+fXJvB5/s4Nf79/YO7u/SNw8I//sP7z/Ye7C3s7e79+DB7j4R5JqGuk3wPn3oP7vp9v3xw709Gg2NgNrvfHqgY7p/L2i5T/3c2wk+irQ6oI8e7t279+DeQ+C7++n9fQZ3j8b/kD7ce3hvZ2fvwf6DdH/88MH9ByDc7s7BvU/376WfEhnv7z/Yo3d2Dj69R7hRm73dhwcHu9To010icB/OPfrowd69fZoPakDjeHhAfHPXMs7R40m1nHm/Mie9ys+bPWWmj9KqnuU1MQJeRJNIQ7DcrRqCMW/VEOx7q4Zg8ls13L1tQ+r6wa0aQrJu1RDyZxvubW64u3MrkPuQ5Vu1NCLfb8o/dO7vGgVDv/aUz12nmZLHd0nnHSX/D1Go2bEPBQAA</t>
  </si>
  <si>
    <t>00D5DE0E701F50FE063EC111D9DF2362</t>
  </si>
  <si>
    <t>JChemExcelv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t6kn6p/z9JX/C/nf9K/h+1kDYnH6Xv9kC4e/fuffrg4e7e7sHewQ79kW7vje99+un9h5/e39nb3dm9d//h6TYhRh/vPtzbuffw4f29e/d2dx/e4497AO6ne+NPP31w7/7B3v69T+9/uvPpwUGv1X6/0b3eRw9jwLd3xw92H9x/eG/nYPfT+7v37326K+jtjvfvH+x/evDg0739vQf3d3Y+NZ+HMD79FEMJenqwm27vj3d2dnfuPaAP9g/2d3c+7X90v/ciodiDv3+Qbt+nz/Yf7H66f/DgHn2+f6/fJU1l79UH3MPBp/dpBAf7BP3+7oODT4fahfDu9Yi192naHcH+R+k1TTpN8M5D//mUXr5/L/iI5+zhp/s02Q+J0rv39h4+IIISNjvjB5/23945uH//4OHO3oOHn94j6IZl7hFp7413HgSg74G2n+6G3YFoBwHcfquHfWAPeTrD8Rz0m316v98sMpZPiQkf7O3s7H9K1CIup7Hcl6F0Wx7s9zvZf9BHGewWGdn98f37Ow8f3DsgRrlHE0Yk+XT8cM9vRKN4MA4pfdBv9TAyfFJfj+9abXT0eFItZ96vrJ5e5efNnmqoj9KqnuU1aQO8iCaRhtBjt2oIbXerhtCJtuHe5oaf3goi9OutIEIL3woidPWtGrJGv1XfovhvBfTTW7cUS3K7pmxwbocq26XbQWXzdTuobOVuB5WN4e2g7gVNb8T1dvPPFLgdB2Be9xwLbJQltum3GhY3vd3Eiodwq6bwK243rw/E2+i35B+qVe4af4h+7flKd50jlTy+Sy7aUfL/ALuV7qG+CQAA</t>
  </si>
  <si>
    <t>9B51F4695F6E3408898867B73949B55D</t>
  </si>
  <si>
    <t>JChemExcela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v++TOWn/PdCfpbBh/jgo/Td3mcfbe+OH+zd859P0+2d8cP7/kd799JeO0Jm+95479Pgs/10e3+84390b+fTfru9frPddPv++P6D4KP76fan43v7nTd7zdKd8f2DT73nwUFKE3Y/+Gg/3RsfPPQ/OriX3hv7H9BHt3nv0/u99z4lHtnb8T94QJ88fND9JGwTg0OcuBsg8OlH6TVN0x7R4eHB7v37D+9/urP74AG1HO/sfrp779P9B/ce0P/2d3je7u0+uL+/9+n+wQ79eHh/N/7Z7vjT+7t7e7sPPn14cECzSsy1vTd+eLD/cGfn4OHug90dgnuASaJpvn+ws7N77/69g/2dnfvxz2Lvdvv42gjv70WA9egR+QjkPaDP9h/sPiA4B4RZ7KPue/e7mN57+CCGPOkMkvC7VsSPHk+q5cz7lWX+VX7e7KnYf5RW9SyvSTfhRTSJNIRyuFVDqJBbNYSiuVVDqCPbcG9DQyitW0GEarsVRCjAW0FkNXkrkPeDljeQfHf3Vi1FO9+uKSvx2zVlXX+7pkDgdrMpluN2TdnA3IqqYoduB5XN1e2gslW7FVQxfreD+mnQ1IPKP1RU7xrLTb/2rPpdZ/KTx3fJmThK/h/Dnn9+aAgAAA==</t>
  </si>
  <si>
    <t>B689E324BBE123855C44377CE5ACA60B</t>
  </si>
  <si>
    <t>JChemExcel9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EV6kpp/T3q/n6Svg79O0mf830lJ//sofbf32UefjvcOHtzb39+/t7v/4P7O3v376f744f17n356/97Ow0/3P334ML03/nT34cODT3cPHhzsHjy8/2m6R299em/nwc6n9x8+3Hm41/1g9+G93lv7fcA79MHep3sPHu7v7366d3Bw737so+2d8b2D3Z37u7sPHtDbu/eJTrHPuq8Sebto3e9htRP9qPvep5/2oO887CNx7yFhuzt+QKS8t7P38OH+w3u7BwcHkc/S7Xvjnf2D/Z2H+3u79/Z29/Zoorf3Cd7ezsHBfczGw737B9GPum/e+zTdvk8d3H/wKaGx//DBg72H++n2A2pGyH764ODTg5379+6l25+O9w86jWhK9v2P7qckO/SOzxE0dGK8a2IW6gYDcM8Bet7b8z96iI+ire4D9U8PgsaE+t744W4HwC2bkRQ/6Hy0M/50J/joHibu3v0d76Exjh+ErXh67wUfPei32iNW2dsPe9wf7zBXdT5/MPTFUN9RpOLdhZ/0ED+gj3Y/DUa8xxL76cGnDx7u7u0e7B3s3Lt/j9n3YfAZoO2k2w/HOw/uk7a7a9Xd0eNJtZx5v7L+e5WfN3uqAj9Kq3qW16Sn8SKaRBpCUd6qIdTprRpC6d6qIVTzrRpCgd+q4d5tG1LXB7dqCKtxq4ZsW27VUkzQ7ZqypbpdUzZotunepqZs924Hlc3j7aCyFb0dVDa2t4O6FzTdCJXN9+2aspW/XVN2Bm6H627QdCOjsntxu6bshdwKAXFWbgeVfZpbQWUK3I5dGIHbCb84U7dvejse4KZRHuAfqi3vGkeSfu05mXedB5o8vku+7VHy/wAXtTyd9woAAA==</t>
  </si>
  <si>
    <t>73309DF9D39CE8D558FB3777A081F0F4</t>
  </si>
  <si>
    <t>JChemExcelQ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uK/L/X/t//vS/z3Ufpu77OPDsaf7uzfe7h3796Dh7u7+w/vpw/HD+8d7DzY3b//8MG9h/fv9T8gmu492H1wf+f+we79Tx/c//TTdHeP4Nzf33v4YOcetfl0Zy/60T0C9XB35+Bg7/7e3r1P7x2ku/cJ1t6DgwcP9x/s3N/99MF+uvspvfjp/qcPdj49oM8f7PY+2aEOH4wf7u/s7n+6+3Dnwc6DB/uE1kMCdY9A39ul/99/8OBBurdDLxKi+/v39tEdzQB99ODTg/0HB3ufPnjw8NN0b4/e2qe37j/Ye7hH3aR798b0gvvk/gEaUV/3PiU4D3fv3dvfwyf08/7+wT6N8OEe+todEy67NORdos2D+wd7+Oj+7s7ewcN9otPupw/vofd7n94/2Cdc9gmdB/uC48GnO/d27hFZ9nd3Hj7ASAjK/YMHNIqdnfsPd/HJwae7Dx7s3vt05+DT+8QduwdjmoN7ewf39h5+em9n5wFIQmR9sLO793Cfxn//HpPy4b29+7s0kJ1PH3y6e3CA93YefPqQOtzbpRm/94DH8vDB/sPdT/fv0zTvAqf98f0HhOPDvYe7DwgC5u7h+NO9/Z1792neaDIPiBev9yCr+zsPD4DEwacE/wFhRuO5F3y0n27vjB/u7OzS9O4Q+Q52ibO7L97rv/ew/96nkRfv9968d6/Xaj+lQe6Hn9wjCgaffNprdD/WiFj2/u4+8SvNMxGWmOo+kWv303s017s0i/dIIPbHeyRR93cPHoL1793bJUA7D+/dJ97/9ABTAoYd0xTvfkq8cW/3IX3DtLtPErWzQ0y1v7O3T/9nGuw/JO4nbEhSiOEfpNu744cHxGsHOzsP79PsEGuk2/fG+wc0hcT++5/ep+mlV2kaie1oYoVPP6WZ+HS8s3dv79N7DyAi9+j3dPvBeOc+8cE+yRbm9tP7aEXyc3AP6BH/7tGgt++PoQMe7hKLHjw82D34FOB36C8CQoy5c//+/n0gtk+Cc+/eDpEHWDw4IFKA4R4c7BD99g5IjaSfjunnQ+Kh+7vEhZ/ev0/q9a7Vr0ePJ9Vy5v3KCvdVft7sqc79KK3qWV4T9+FFNIk0hGa+bcP9WzWElr9VQ9gC23Bvc8MHt4IIu3KrhrA+t2rINupWLcWUBeNBGzGPRyfynv41DIRt4e36u9dr6vXw3Vv2xzb3dv2xab5dU7bgt2vKhv52Te/dvim7DkO0+fYtacO+x+36YxflVk3Fk7ldU3Z4bteU/aLbNWX36VZyJ17W7aCyM3Y7qOyz3Q4qu3a3g3ovaHrjFIQT6/HDbSXnU3ibHwpkX9zV9wHCP1Tt3zU+Of3a89fvOmc+eXyXwoSj5P8BhvVcNEIMAAA=</t>
  </si>
  <si>
    <t>17AECF5AAABA049BA77BD0667A31E36D</t>
  </si>
  <si>
    <t>JChemExcelx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T/g//PxSf5ffzDfmvxf0Hz6n/3+Uvtv77KO98aefPrh3/2Bv/96n9z/d+fTTtPvJ/XR/vLOzu3PvAf29f7C/u7NLRLt3b//B7qf7Bw/u7e7t3nuQfkpvHdx7SC883N3f2X1AIzug1/Z2Huw/uLfz8NMD+i19SK/df3D/3sH9vQcPP6UOIp/QbH366cP9e3sPH+zTB/Rxurs33nnw6d5D+ujhvYf3Dg720917NK2fPri/v7t7b/fg0/tEHGp1757/0T5gHdzb2d/59GDnYOf+p/uf0kfUiFo9JKwP9g529h6m2/vj/YNPP92/v3+P8H54f3d//3Sb0N/uNN3f2U+3O8R5QCPf7pBnt//Jbv/FT+9FOjhIt++PH+zfP7j34IC+2tknfBiXHtb30QkRjMhxb//e/qef7t5XrDtTs/9put2Zm4Pdfqv79yPNPkqviUO2H4wf7PjPLpruftr5iCA+jLR6vy/ujQ/u+x/t3O/3tYc37xM59u7f//Thp5/eI6EA7g8OaJ6p5cHDg/379BGx3+4ucd+Dvb0He5/uP6T3How/fbh7/9N7D3YPDj59sEvcNoRd56NeqyG8wmb3+iPij4gb/Rcf9JuRcui1k8/67XbH9/eDzw767977tP/ufn8M+/0x7JOiu2s13dHjSbWceb+y6nuVnzd7qv0+Sqt6ltekovEimkQaQkfeqiE06a0aQt/eqiG08q0aQnffqiE0vG24t7nhw1tBZGtxq5ZiVG7XlG3P7ZqyibpV04e3bgmYt5tLsYy3IqkY0NtBZTt7O6hsjm8Hla327aCycb8VVPEBbgf106DpRqjsVdyuKTsft0NgP2h6I9Rb8gCIdTuJFufoVk0xW3u3k2rjavWb8g9VgXeNY0i/9pzGu86jTB7fJV/1KPl/AJm36DXHCgAA</t>
  </si>
  <si>
    <t>6B06D7D0BB7C1064B29DB15CDDAEF1FB</t>
  </si>
  <si>
    <t>JChemExcelth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7/4KM0L3NQ4s31KifCpu6/L9MX3l8v+BP5v//3idfKby//Pam12Wv6l/77KH2399lHe+NPP32wu7O3e29/b+/TTx9+ei+lidn79N69gwf79/fu3dt/eH8v3d4d7+/eO9jZffDw4cPdvd29g4PT7X203N3buX9//2D30/v3HhwQPbdp2vcOHuw8eLjz4N69h/u7Dx/Q6Oj9e/fv7x4c7Nzbe3B/7+EOjR6f7e/Qrw8+fbj74N7uwUPqh9B5eP/h/d39vd0H+5/u7nyabu+Pd+/Tb7ufHhx8+unuw0/pzfvjnQd7BzsP9vfvHzx4QAhxqwcPCbH9h/uf7tDbB4CFgd3b//Tg/r29+wc0mejy4N6D+/v372MYNLh9Rnh/j/7cfbDzcPfhLg38Pg2Mfj+g8X/66b379+5/ev/TlDDb2d2h0dx7sE+w7hG/7Iypxf7+w3ufPqCGNAQe6M6DB/eJJJ8SBWhIDz8lYA8e7Hz66f69nd39Bw/v3T8A4R7s7+wRFkT7T3d3CUR6jyTiIVHu/oMd6meXgDJ8Qm2P2hIxiEJ7wPbgwQH98eDewQENleiOgRI+O4Tpw72d3fs0T9ru00/3du59en9/9/7OnhB3b+fhvQef0sB20PceE2lv58F9osSD3fsPCOyn8urew3v3PgUF7h8QCv3PiKOBHcZ172D3/v7+LuGCcRGL+J8R2e6HrXike2Gj/S6oyCf9t4iIBx3QkY+A5sODvb0DovPB/Z0Dwfvhg4f7xDo79/cf7u2D0rt7RJCdnU8J20/vE98RJ98b36dJOnhI7LgHBmXuvPeAgH1KjHNArPDpp+nD8cMA0fu3+oSU3/5D/6P99IAkLED9o/Sa5HP7YEyzurOz9+AeMdODB6Re6KPdT/f2aQr3Hhwc0NDu4aOH+/sP9vfAfCQuD2lmPx1/urdH00pscEAjoBkjuTn4dB9yfR9dkAjd52b7D/Z2d3d37u98Sl3tMfyDB4QT5G2HZvxTfvPg4afEWsSXRCjiV3qRaEGEenBAf97bQ5ek1fcJNVIj94lb9iGX9+hFQv3gU+riPsspaZRPSZOQjtmjCX3AdCbh2SfBIDGEymGhvwdRJjWyv08aYp+nY+/g3sMd+oAo95BUy6f86kOSFuLR3Qe7YOdd6m6PxHifmu4RFR8+xKzt3D8ged4nBvgUD0vpAfV5f2/3U8znfZpcFmbSLqTHqEvCl7XewT0S050HO/dIP+w/IO4hSbgHmSSQRFrIL80dvUv8RYrt04f7UC73dlgRkv57sPcAwg8ZIKOxO6ahf/qAaESK7CHpwnskH9AEJPPEoUTF+/eJ9Um17X16QKO4Ty+TLSF1R3PxgP6m10kDp5+O7x8EHzwg9ep/sEvs9DD4pP9B/50e2F7HhNsD/4Od2yCHl2iiiZfu7RB1P4VSeHCPPnmwR+yzQ0oPkrtDSowE6iGp3/2HB/sHDJlMBnHnAzAPcR8L4APoX1KGxLPQQjRH9/dJOTygDklMyUqRZtwn67QLct9nM0NS/4D4ntQ4GbN7D+/Rl5/GXyFv4q51J44eT6rlzPuV/YtX+Xmzpy7GR2lVz/KaHCO8iCaRhvALbttw/1YN73cbooU4RUfflbf0r00gPr1VX3CdbMO9zQ0PbgURbtitGrKzdquW4tPdrim7frdrutcd0vvTWbzM23XHzuitmt6/dUvxbm/XlJ3gW801N3VssREqu9S3a3rv9k0BNeQibza+fcu5YS//dv2h6S0ZDLFByGDvzzYSdNyqP4lNbjVtHL6EUL8GahwD3Q41DpVu15Qjqts15cDrdk05PrtVUwnjbkVGifZuB5WDwts15djxdgjsI8S8HVSORG8HlQPW20HluPZ2UHeCpjdS4JZNgcAteeDg1k0lTL/VsCAFXtONUBH03053QAr2b8dZUJb7HyrLkoO4VX+SqrgVbbjp7ZwGbhqdcv6hvtddkweiX3s5orsugZQ8vkupqaPk/wGakhHxthIAAA==</t>
  </si>
  <si>
    <t>00E9626658D1A9054172154866C2734F</t>
  </si>
  <si>
    <t>JChemExcelJ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UvNv+F/vm/Kj9N0e0WpnfH9/7+HO7r29+wef7t+7dy99OD54sP9gb+fepw8+3bu393A/pUYP9vf27lGbBzv7u3sP8MnOg/2d+3t7Dw8Odnboq/RgfP/ewb37B/v3d3epDWH+YPzpgx36+/6nuw8I0L0DanPv3sOdvU/v7z58+On+3oMH1Obgwc7ugwf7DwkJ+uU+tTm4t3Pv/u6DgwfUP2GAzu7t7D7EqwefPri39+BhStOyf2/n4N69Bw939+h/RDf6aOfgYPf+7v37ew8fHuwfHNBIPt399P6nD/fv7e0cPDgAjvsHDz799OH9/Yf7nz58SL3v7vi937tPU/5gd+/Tg/v79z69d29nf/+APrn3YGdn597uw4Odew8e7N1PP6VhhEjfGx9Ql3u7Ow/o7Qc7nx6ke+MH1M/e7u7D/fs7D3fv3f+UGu3u7hFdCZ2Dnd2D+w/T/fH9g3sPDu7fv3+P3rtPNNsd7z188JBGSrgQxAcPP0qvaZpoTvbvHXy6t0+tHxJxeCj3PyXE7h3Q1NGnBxjMwb2HRLJPD4h0u/cfYCxEZkJnd+8eTde9PfrkU2pPgOgHQaQp+XT8kDqnHg92Pr238/AB5oim7+BTGuvezs6nDz8lLPce3jt4SMPb/XR3n/5HI9mh8T6gFgefErj9B/QJUYx6+/QhvfXpp/ce3icK7D8EDamrnXv09v69dGf88CGRfpeg0izu794/SMF/u0SNB3sPPj34lKb7PtHg/gHN3z5hfACeeoj3iG47IBWN5cFD8GS3UR+rT+9HUQ8Q3b8Nmp9G0MQMP7y/s3f/3qd4f48Y/j6J/V0r90ePJ9Vy5v3KiuBVft7sqS74KK3qWV6TEOJFNIk0hMa4VUPolVs1hPa5VUPoqFs1hCa7VcO92zakrg9u1RDq0zbc29CQleytQIouvhVQUdm3g8qa/XZQ2QDcCurDW7cUi3K7/tnw3A4q26fbQWUzdiuoB7duyUAdA2xsyubzVqiKlb0VVDHGt4IKWnlNN0LdEfPeb8o/VKncNY4H/dpzSu46jyV5fJd8oaPk/wHanDofJwkAAA==</t>
  </si>
  <si>
    <t>86082EF7F6DC99DC8EB93C3327CEAF27</t>
  </si>
  <si>
    <t>JChemExcelE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5v++pP/c7ycfpe/2QLB79+59+uDh7t7uwd7Bzr39T9PuR/fTvfGnnz64d/9gb//ep/c/3fn04YPuRw92+6+h0cOdhw8fHnx6b+fh/d2dh/un2zQqInu63Wt9v//Z/kG63e2n9wmQ2d4f7+zs7tx7QJ/sH+zv7tzvf7RPn92nDvYf7H66f/DgHnWy3/vk3sN0+1OCf3DvIYF+uLu/s/vg0/5HBOqAwO/tPNh/QEP79IDmJdYoglaEShFSdF/8NO2ivvdRek3Td298sP/Qf4jm90Bz75Pd8f39He/ZTQ/GBwe7Dwjwwwf05979PZ6X7Z3xg0+DV5XaO5/eI9Ls7j14uL93wE0J5L2g5T763U0JHSD/6V766ZiafTp+eK/b8/6D9OF4L0BoLyVRfHAQtiTpI0Ls3hvvPLyxLUNF3/7HoDY15TF0SBIbK8b08ODevZ2D/b1PHxzs3tv5lIZ6n8T5rpXno8eTajnzfmUBf5WfN3sq4x+lVT3La5IrvIgmkYbQBLbh3oaG0Be3ggitciuI0D23gggNdSuIe37DTRCh8G7VEGox6BotXrd5nVdHb+Qt/WsQBKvVW3Um2vcDuxP1fbv+WMt/aH9sJm7XH1uTD+2PzdHt+mOrdSvO4aa3YwkehWOKmyZ073Zz/ykM6q1a3ofZvVXLfRjnW7U0NrzflH+olrlrPAz6ted93HWuSfL4Ljk9R8n/A7ZDOuQQCQAA</t>
  </si>
  <si>
    <t>B9CCA370CBBAF673BCF6F55F0D64AE08</t>
  </si>
  <si>
    <t>JChemExcelY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Bp+N+Xnb/j/32Jdh+l7/Y++2hnvHfw6acP9+/vPfj0/qc7Dx/u30u3d8YP9u89+PTTT3c+3b336f39nU/T7b3x3v2d3d17D3d39/DNHj56sPfpDj0H9GN/Z48w394f793bu7f/4N7Bgwf39ncO+KMH1OLevfv3H+482L2/s59u04wc7O/uPnxwj947eEjD3f50vPuAUNm5/3B/l8Dfe5hu3xvv7d8jHO7v3Xv44NOHnx4As71PHxwc7OxTFw8f7u7t7NxPt3fp1Xs7nz58QJ3sPaSR3Os13H3wMKVmDz99sE/Ad6jV/u7Bp72PHtxP98b3Cam9+w/29nZpIAQtvTc++HR/d2f/YP/ew/u7+wcH92MfdV+81wd1r/9e75NPH4BfHz54cHDv4af3Hzyg8ex2PyGW6b7W623/Ya//3d54P+1/RHPxKb23u//pvZ2DB5/uPLh/f58a7dyjnolHPj34lOZ35+Cj9Jq4h3og9O7t3KMeHuzs3t8HSfd3Hnx68GDv4c7De/sPP/30Hn1Ebx482N17SHOxT6AJ+12a9IcHNF0HB0LP+8RW4JJ7D/YPaLD76f6YhnyPgHx6cLBPc3qP8Nrf36W/94k77hHrPbxPjYgp9/fu0Rv3dwhrEpr7Y6L97kNCe2f3ADiBGXbuf/qQmIjev//w/oOdnYf7YJt7O3sHe/cfUpuHnz58uLMLlr6/D0x3Dj49IBruPMRHOw+8ZgcPAe/+Pf+jg92U+O3eg90HxM3793fu7ewS5H479NoDx4JEIwy72B/fO+h8RExwv/PRp+NPH/pDSLcfjPc/DT95ON4JholPHgQoHPQa4aMOJHzU6Y4EqAer/9FDEOfhw4MH9x4c7ND00pTsPSRNeteq0qPHk2o5835l3foqP2+IxaBbSRNX9SyvySh8JC1EKx999/Fd7y/5Iw7iXgBiqCGU+K0aQtXfqiEMwq0awmzctuHBbRs+vFVDWKm9IRJ/+3YkFkt3u+7YIN6u6b1e06+BGhve2/W3c/umbMpv15Qt/u2asmNwu6bsP9yu6b3bN2WPxDbdCyl+ckuKs0tzq/7E8xnq783t+hPX6Xb9sYd1u6bsiN2uKftrt2vKbt3tmu7evik7igEZNyIQMoNH41vKFNMm1C7ea7dUyxCheyGb3IgJ/1BTcde47PRrz52/63z95PFdiiKOkv8HCBpDPWEMAAA=</t>
  </si>
  <si>
    <t>4489448E89EE1034EC9CB21D8B42AF6F</t>
  </si>
  <si>
    <t>JChemExcelRA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PUm/TF+k+Cn/+v996f3E/wfalfS/j9J3ezQXO+ODh/f2P33w4N6Dg/2Dg5376cPxvU93H+7s7+wePDzY/fTTB+nB+MG9+/f3Ht4/OPh0f//hvYf0yf79Tx/s7j+4t7N/f3fv/v300/HDvfu793d3dnfvH+zTP/hoZ/fhw093H+zd27l/78HOPn3y6f6n9wj8/Xv3qId7NMKD8e6DBwcPHx482Nu7/+D+g3vU/87BvZ2Dh7uf7jw4ePDw4D5N8wOCuP8p9X7w6c7OHhF6f7y3Q/jc292///Dh3sHBXnpvTLjce3jv4P6D/U/39h/gk4f3dh58erB38OABNdq59ylBou/u3dvb2fmUnnv7QPLepw/u7+3S6HYf4jd6bYcGBJwe7n1KCNynTz6lL+/f2997+OkOEeLBfrpHKH364NP93f3dnQf3d2mqdwmj4JN76Q7RbQedf/qQyPspAaRWDx+E790b7+3tfXp/597u3j5R8t7BPYDa23lAZKPeiAY7e+n2zvje7sPdfWB+b/f+zgHNyjY1u/fgHiFObT/d28VotvfGnz789IAocv/hLg394QP+6IDI8Om93d1P74Gi/ObuLoHf27lPZD+gbjGge3sP7t9/uLf76f7e/r37D4ArccS9PcL13gGI/yla7ewf7N2jVg/v7+8e7GIi9okNqOXegwcPdh4QiXf2Dqi3vU/v7dA/+9zkwR645WBv/9P79/b2MaM7OzsPaMjEDfv79w4eEK32ec7vEwt+eu/hg/sP73+UXhOHbu/S9O/Rl8SKD3epXxI5fHZwcJ/m4j7mimh5jz57MN57SF/TZzSUew926aP9McHa/fThPeqK3idewmcHOztEShon8dMBTeb27r0xQdm7T1NELcFT9NneGPxNc0c90VDvo1siCdFhj6aAOP3hp5/u8bt71N3OQwx2nyhwQJ/tjB/uQBgOiPl3aID7/O4O8eUBkWDn03v0KuH3cEyjuv/wYP/Bwz1wKDUjydohbqGP9iFxxDL0Eb32ANhSn5AEvLj/EIBo6gj4AWmQ7Qdjml7Ckqi+S9Pz4AGNlSiHMe3tURcQL0J3f0xct7vz6e7eg50DEth70Y9IBqi7Bw93iKAP6ZtPwUbEB3ukEnZIXewQf8abEc+TzBNj3YN4kx6Qzw7uQW8Q25IEPQTJ96AciLkI4H1SBbv3mKHvE+uQqvl0b+8B8RzhS+qfOJVAUjNCjWT/4CF45cEuicXB7sGne/eJNPf7/X6Kd+/vET/TKw/27pO2uA/JIhRINEh7kUDuEJHx0cE9gNshTqGpuX+AF+/TzBEye0CQpKk/BhJTSO59YAktSNMNJqZ+SGOAgaEBPn1IhuWutSxHjyfVcub9yqbmVX7e7Km1+Sit6llek17Gi2gSaQgTYRvubW64fyuIsG+3aggreKuGsJW3agiLequGsLu3arh/24Yw0zu3ainW/lY0F6fgdlDZd7gdVHYxbgeVPZHbQd0Jmm6ECgRuN/XiAt2u6UGvKdqIZ3b0XXlP/9oM5HYzLh7ZrZqK43a7puzf3aopcL1lU4bquOPr0UZcztv1tw/P9HZN2YG9FYuJn3s7qOwO3w7qftD0RjKG3OER7tu3JCN76LdCTRz5W6Em/v7toHJYcDuoHD3cCioP63bcwQjcjjuYAlFVwT/U/N01URn92ovY7rpwLnl8lwLFo+T/ARzZVqxEDgAA</t>
  </si>
  <si>
    <t>1C1218C1719D7EC9387479833A10CA2F</t>
  </si>
  <si>
    <t>JChemExcelm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7epx+leZljIG+uVznRJXX/fdn5GX7+Jf//S/3pf/Iio/99JEQtT+ZZfUGAd9L3+297N/YR/fdR+m7vs4+298f37u/vPNjZebC/t3Nv7+Bhun1//OnBgwf7D3cffrpzb/ce0aP30f20++LD3XT73niHfn248/D+3r0H9/fu37/f/2z/U+qfoH36YHf34N7O/f0He7sPH6TbOwTuHsF5sHPwYPfh7sH+w3Rn/PBg59P9T/d37+3uHBzc39lP98b3dvep+/v39h/e+/Tg4NP03vjT/YOdnf1P73/64NP9h3s0w/v03u6nB/cePDi4/3Dv4f0H6af02v17n+49pIZ7Ow8fEgs8oPce4q+9vT36hSa5/0nktS7sKAK3wDIC6Ba9Pbjfa3WvB5t4uEe5g/587UUmJzL59OYDarW7v3dwbxdo3Pt0v//RXrp9QPDv7xL0ew8Jwv4O8cNDgnXw4IAQ272/e3+fhKXX6l5KmuBgL6Q76Y6P0us9aBxqeLB37/7ew/3d3Qef3uOhPfA/+vQeeOf+p5/S7/sPdu4f0HfCY/fu+Z/d7zejgXShYbjdNz99GH213+6Wzb4+OJKnLsL799NbEImGdbtW98Y0p/5HkKad+8FHsUb3x8QFPnTw6afha91PaMx744MHXTp0P9vfA58SM/ufPeh/dq//6l6fqrvM9eGbvRfBBWSiDoJGxJRg371gRmCR7lqTdPR4Ui1n3q9so17l582emqmP0qqe5fVnH+3hRTSJNIRtsQ13NzSEybsVRBjGW0GE+bwVxF2/4Q0QH9yqIWz2rRrCst+qIdv/W7UUN+F2TdmbuF1TdjpuR072TW4HlV2Y20FlT+d2UNkhuh3UvaDpRqjsYt2uKXtit0MAztjtJlb8ultBFffvVlBBrFs2Zai3k2bxO2+HK5reTqLh3N6OBfbh6t6qpXjEt8MUTW8nruJf3wqquOG3gnrv9i0B9HazKu7/7VBF06hk8w81FndNrEO/9uKguy5ISh7fpfDrKPl/AM1tVhWaDQAA</t>
  </si>
  <si>
    <t>9D4B2F203B7C5CB89ABEC87E8776836F</t>
  </si>
  <si>
    <t>JChemExcelX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2v/vy/RF75Mv05OP0nd7n330cPzw/oN7u3sP7u/t7nx68ODe6TZ1RqO9d+/TBw9393YP9g527vU/uf8g3Rt/+umDe/cP9vbvfXr/050Hu+n+eGdnd+feA/p7/2B/d+c+Ue7evf0Hu5/uH6CT3f3d9FN66+DeQ3rh4e7+zu6DB+kBvbW382D/wb2dh58e0LAe0kv3H9y/d3B/78HDT/f2qfcdeuvh/r29hw/26YO9g73+R+nuHgG6t7u7R2D27+/dI2Lt3huHWNN7++NPH+zsP9i5R73vHNw7oFaf0ov7u/sP9z/dfXjv031q9IDee0Cv3D+49+DT/f3796Mf9d+LAD+gj3bv7zx4sHP//sO9/Yf3Yh/tEf/t3N89oPE/2N/boYF/lF7T9Gw/HO/t73jPXroNXt3tfrY7JoS4tTbgP+499J4D+Wan89nXb/Zg/Kn/ycMH92/36oPbNRtABEPd9z8DuL3xvd3uZ7dp93CwWwjvXSu9R48n1XLm/cri/Co/b/ZUoj9Kq3qW16R28CKaRBpC7m/bcP9WDaFDbMO9j6TF6zav8+rojbylfw2CgA66VV/QVLdqCH12q4bQerdqyLrxVi1FhQYk2dj0dhMnCvl2TVlv364pq/fb4cpW4HZQ2VjcDirblNtBZdNzO6j7QdONUB/AmN2u6aewebdqakxjvyn/UDG+aww2/doz5nedpU8e3yUf4ij5fwDsa1fJXwgAAA==</t>
  </si>
  <si>
    <t>CF723FDF9FDB9DA479E13E40E7094982</t>
  </si>
  <si>
    <t>JChemExcel7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9v/7cuCzL/XfZ+nJR+m7vc8+ujc+uL/z8OHBzoN79/f29nYIq/vjvYcP7x0c3L+/f2/33t7+w/TT8f0H+zt7D+/v7ux/uvPpwaf30wfjBwcPD/bv7+4+2NnZv//wfvpwfG/n/sHOzsGnu/cf7t//dJ8+Odh7uLP36f7+AbXce/hpCtrv7z882Nt9eG+fOvz0IN3dG9+79+DB7t69+zsPHuzf36FWQOrep58e7DykH/v7D+ij/fHB/qf36M37ew927j0gou1+Or73Kb117+HDB3sP7316cIBW9/bu7T7Y+/TT++jw4D7A09j2dj99uEeY3dshihMSB7uE06cPPiUUqO/9lHgGre/t7uwePLx372DnHiH/4MF9GhHR4NODezsPdtOD8d59QvvhpwcPdh7e2yUSUD+f7j6kjqglDZso92Dvwf69PULg/s79ewSYEKJXdx8QNYnOOzT398Y71PuDXfr4wcHO3j3qap94cg9kuf8QxLoHQEDi4aefPrh3797+3u49zAq9jzcf3H/w6d79TzEpD2kQRMr7B/sPCC0exgOi2r379w+I7gT7AIPde7i79ynh8Oneg3s7+/dAkr39PRrbw3v3H9Bc7dz7KL0mVtjeG1Pv93cPdmg6d3YI+EG6fW+8+ylRiKbh0wf3iRL3U2pGSN/fvb+/S6M4OKAe0WxvH2R58HB/f3f33sEumj188ODT/d29HaL1fUIn3d4dE632aJ737n368N5Dog99tHf/YJcYgpiAJoTYj14k1ri/QwxHMw4CfYrPdkEZmo39B4Te/j66vEcY3H9wb+/+/Qc7n967h4926DdC6R6x3z4Nl97cHz94SFxNtP703qc0ABKl7fvjnU93iSfuPfx07+BgZ38Prx4c3DsgvqUZ37tHfPEAr9IgHxLTEBvuPyQW5Vc/3aGviXKE6w79g48OHlBvBI9kgyb7Id78lNrv7Ow9uL9Hw7jHnxDmnxIt9nd2QWC8R9NAUnEPc3/v3kNuRZ1B8kjw7t/ffUigPqUpffhwn0TyYHd3/94B4UqytwPGf0ATe3/vPsj46ZjkkASUOBSMvg9UPyVO2zv4FFQDv0sz0OHBfZrMnR2ICKNx797e3gGxH/ESYbfHHxFWNI8kvAd7e5+Srrtrld3R40m1nHm/svZ7lZ83xEPQfqQrq3qW16S2P5IWojePvv34rveX/BEHcS8AMdRwv9vQg/7d2/UFNX2rvqDMP3BcMAa36gsm41YNYVhsw70NDdn83AqkWKlbAeWme7eDyjbvdlDZNN4K6sGtW4qtvVXT+7duKcb7dk3Zxt+uKbsCt2q6f+uW4lvcqunerVuKs/KBAijezq04g5vejt/Ed7pVUx5FyEUe3rcUbdB3L+Sa9ycFmGRvUMncFgg8xZDTvsZw9sXNfB9M+IdahbvGf6Zfe771Xed4J4/vkkt/lPw//Ntvm+4LAAA=</t>
  </si>
  <si>
    <t>36D00F6EC8626E86741280F5964CB18E</t>
  </si>
  <si>
    <t>JChemExcely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7epx+leZljIG+uVznRJcV/L1L380Xwm/nGtfpS/w3++ih9t/fZRwfjnZ29nQf7D+7tPPz0YG/nYfrp+NNPD+49vP/pzsPd/Z3dB/eJpPfu7T/Y/XT/4MG93b3dew8jn3Tf2k/7kPfpk92dew/ufXp//2B/d2f/fuyjPYL04N79g719+vDTnU8fPkhpQu/d+/TBQ+rqYO9ghyjT/6T3Wu+Tg95bNBXbe+P9B/cPDvZ3DnZ3Dh4cPDw43aZZ3N4dP3jw6b37GNM+jeP+zn3zeQji008BIujoAXHCdndgn/Y/2u+9+SmRrdfD/l4Pb2I3gkb40UPv3n/44GBX8bs/fkhjv7+z9+DT3Xv37+/F0SaY3a4/7c3Fvd40P/ias0NsTEPde3D/HvVDHz842Hnw8FPGrNtp7JMOGvu7H6XXxLr0+vjeQ//BQD8d737a/SzW7t744L7/2af82c5B/7Ob2wHe7vj+vv/ZA/psh5io+2633f0BeN1+wRlfd7z3BuB1+421izTrj+LgIDLayGDR6YPxg53uZwckhP5nhMgeafld/7M9/uxBgMle5N0HkT4eSDvC8uF4L6ANfUNfBBSkjz4dP9zrfbQb0IVk4Wu/SbbmrjU2R48n1XLm/crW51V+3uypAfoorepZXpOVxItoEmkIq3GrhjBmt2oIk3erhjCMt2q4e9uG1PWDWzWENbYN9zY0hM2+FUS27LcCKQ7ArYCKn3ArqA+ClhuBsuNxu6bsn9yqf3FjbgeVvZ3bQd0Nmm6Eyv7T7Zqym3W7puyN3a4pO223aiq+3e2asgt4q6YY1m2bwpm8HQ+I73m7poB6Ox4QT/Z2TYHA7SZW/OLbNWX3+VZN2cm+VUvxxW/XlF322zVlz/52TYHA7Sbr3j7ihNs11XCi35R/qA26a4Ij+rUXON11UVXy+C7Fa0fJ/wMfE/uyyw0AAA==</t>
  </si>
  <si>
    <t>C318C8586A75ACC54BF79A502D166540</t>
  </si>
  <si>
    <t>JChemExcelW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89+X9jf315f4WdL/Pkrf7X320TYN5N69Tx883N3bPdg72Ll3sJdu7433du7vffqAPjq4d//+7qen29QrNd1/sLP74GB3//7Bw517+/vm4xDCp5+m3Y/2P033xp9++uDe/YO9/Xuf3v9059OHD3qt7scadT56sNt/DY0e7jx8+PDg03s7D+/v7jwEZp+mNIf9xr1OCGLvk/10f7yzs7tz7wF9sH+wv7vTx/bTXpv+J/v3P0qvicqfjh/uPfSeB+mn4937/icH9O6nu+En98YH+8Fb+72PHuK1PRrAPYzf+3h3fH9/x3t204PxwQFN3v7uwwf05979PabR9s74wafBqw8w/58S8e/t7d7b3XvwcH/vgJsSyHtBy3207HRMEO+Ndx4En6Xb3bHRR/fH9w5u/qiHHYa6Gwxsn6TqrhWro8eTajnzfmU5e5WfN3sqah+lVT3La9IHeBFNIg0hkLdqCLG1Dfc2N7x/K4hQAbeCSA0f3Aoi1MmtIELp3Aoiq6ZbgRQNdiugouhuBfVB0HIjUPR/u6kUBXu7pqyHb9eU1fWtRsVNbzelmAA3p5taqoXot+QfKih3ja2iX3t27K4zcsnju2Q+j5L/B1W3BJFaBwAA</t>
  </si>
  <si>
    <t>E074CC70EE1E9085A03C1F185A62C9BE</t>
  </si>
  <si>
    <t>JChemExcel2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tq/ntB///S/sX/lfZX88WX6Zcfpe/2Pvtoe2/8YPfezqcPH+zdu7f38P7eg3R7d7z7oPPRznjv0wcHBzv79/YfPHy4u3tASFKzh58+2P/0050darW/e7Df++hB5NWH9Cp9+GD/3oNPqeGnu/c+vX/vYUrNDj799OE+dffp/U93d4gahNve/Z3d3Xv01t6nn95/+PAg3b5H7XbuP7i/s39/5/7DvXsP99Lt/fGDg08f7u3do9YHD/cePryfbt+nbqnlwf293fuEALfau7dHSNw7ePDg3v7Og4fo4MEe4bqzc0A/9ullwvfT8YNPH+7ev3+ALgnz3XRvfP/ezv7e/Qd7e7sEAAS5Nz74dH93Z/9g/97D+7v7Bwf9T+733rsH3nr44MHBvYef3n/wgCh7L/2U2uzuf3pv5+DBpzsP7kdIQ6h3abP/ANR/8JCg7x7c26PB7356/z5epeGDwPv3Pj3YJbj3Pv0ovcYsE0fv7B3s3aeB7T/89OHDnQNMc/DZwcMHIMj9/YMHu3s7B58e3NsnIh3gs50HfjuaZ+rp/r3gM3y0c//Th/cePtjf373/8P4DoioYgmB8evBg7+HOw3vU8lOmCs3JvZ17RJUHO/Q+j4UGQd0+JBbZJ7wf0JDvEwLUxaf37lMvewf0ycOde5/u7tFkgtce3D8gUDROYgEax32CuEvSc298n3iFPrx378H+we7Dh/TJ7sO9/YdEJ0KTpmUHKHxKo6A2O58SeQkoKHzvwe6D/Z0DYiuCtMPUDMcITuvSgnnoAHgG5Ol+JqQNXn248ylYcmeXMKXxEY4HD/f3mXF3iTkOiG3v0UTSLKLZwb0H9x8e7O5jysGSxKWf7u3t7zzcPSCQxBwP7pP+uWsV0NHjSbWceb+yRnqVnzd7qpQ+Sqt6ltekOfEimkQaQnXZhnsbGkLB3Qoi1OCtIEJZ3gri3m0bQvfeqiE09K1wpIYPbwWRtf2tQIpRuBVQsR23g8om5nZQ2RLdCurDoOVGoOjfzfumpmwAb9VS7OStMBVzejuobHVvBXU/aHkT0D3HABvZma39rZrCF7ilHLPrcLum7GHcavzcNDqr/EO1z13jKtGvPTfqrvOxksd3yXs7Sv4fyIwgo9kJAAA=</t>
  </si>
  <si>
    <t>146B32F706753CF303DE00D5225E673A</t>
  </si>
  <si>
    <t>JChemExcelI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0/t+X+u+XH6Xv9j77aHtv/OmnD+7dP9jbv/fp/U93Pn34IO1+9mDnfrpNY75379MHD3f3dg/2DnbufYqPPr13sLO79+n+3u7D3d2dnd3TbcKn2/Leg/5H99DJvf0HD+7t3jvYv0ev7u7e47d7HT1Iuyge3Ev3x/QKfUcf7B/s7+7sRz7pvXZAc3ePOt39dP+AOt7bvfcw/ZQaHdx7SN8/3N3f2X1ACHQh0Ug77+3vRVp9lF6DnvvjT3cf+k+6fW+886DzEQ1+54ZWB0KjoNlBur0zfvCp/9GDT4m6O/s0gP37D+7v7t/f2du5L5TsNn24nz4c79x/eP/hvXv37+0dHBw8QMtP+y2JVP2+70VxfDB+sHNv7/6n+/fu3995SP+LQ3wYgfjwU4YYGdTDByQcd610HD2eVMuZ9yuLy6v8vCGKQ1xIuKp6ltck5x9JCxG0o28/vuv9JX/EQdwLQAw1hFzahnsbGkJ6bwURMn4riNAEt4IIfXEriPf8hpsgUtcPb9WQldSt+hZddiugovJuBfV+0HIjUPR/uzkXVXurpmDF20276O1bDYqbRqeef6hY3DUWh37tWaO7zlQlj++SETxK/h/4hrUjIAcAAA==</t>
  </si>
  <si>
    <t>0C13B6C9E226ACE6EBFCF9B0555B8E09</t>
  </si>
  <si>
    <t>JChemExcelG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R3678v0y4/Sd3uffbS9N97bub/36YO93YODe/fv7356ur17P93eHe8/2Nl9cLC7f//g4c69/X3z8b179z598HCXmu8d7Nz79NO0+9F+/6P76d74008f3Lt/sLd/79P7n+58+vBB96MHu/3X0OjhzsOHDw8+vbfz8P7uzkOg8WlKU9Bv3OuEIBK+92kQB/d29nf3Hzx8sPPpHgF4gM8/Pdj79GD3wYNdwuX+zj2G2xvefaLoNVHp0/Hu/Yfec5Dujz/dDT+5Nz7Y9z95sN/76CGheA/j8T4hDPd3vGc3PRgfEGIH+7uE787u3v09wW1n/ODT4FUaBka88+m9vd17u3sPHu7vHXBTAnkvaLmPlp2OCeK98c6D4LPIR9SsO9SHfWgHD4iB71oOPno8qZYz71dm6Vf5ebOnXP1RWtWzvCbRw4toEmkI3r9tw/1bNYQc3aohpM023NvQEDJ5K4iQ3FtBhHzfCiJrgVuBvB+03ATzAFrlVi1F+dy+6e1mUlTZrQbFTaOzyT+U++4aXUu/9vTwXaekk8d3Sf0fJf8PhUKRhRoGAAA=</t>
  </si>
  <si>
    <t>3A9D7E427A4DA262F8E9CB7B4ACA3B4A</t>
  </si>
  <si>
    <t>JChemExceli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sq/73Qn+a/L+m/1/zvC/q/981H6bu9zz7aG3/66YN79w/29u99ev/TnQd76f54Z2d3594D+nv/YH935wER5N69/Qe7n+4fPLi3u7e7fy/9lN46uPeQXni4u7+z++BhekBv7e082H9wb+fhpwfUKH1Ib91/cP/ewf29Bw8/3bufEtU//fTh/r29hw/2P93b3zvYT3f36LV7u7t79NL+/b17e7FP+q91QO8f9Bvt9Rp92oNN9N29R60+ffCQhnWwd7Bz7z6huU/80flob3z/U/+jT9Hq0wc7+w927tH4d4gWu7dDtEeVPuF6xL0f+6j33kfp9R7E4P69h95zcD/dG1MT/6MHaa9Vv9G9XqMHn/Zb9SHd6zV6sJ/eGx/sBx8Rl32663/y6aeRRp+Od+93P3m4F7zW+2QAJWJdbwL3053x3s6n9/Z2Dh4c7D7YpZkgZtgZP/g0ePFBur07/vTew3u79z492H/w8GDnYO/B6TbJ6Da1fbDjPSSn2zTw3XT73njnIPhGvgg+2h8CAJwI0Xv7ezSE3fvoi9TKXatXjh5PquXM+5UVzav8vNlTXfNRWtWzvCZOwItoEmkIjXSrhtBbt2oI7XarhtCBt2oITWkb7m1oCH16K4jQureCyLr5ViBFhd8K6KdByxuB3m4ixXTcqn9uervJhN253WyKubpd/2h6uxnlprebU5hJN6kbUWVLequmYnBvharY5dtBZfN9O6hs5W8HVZ2B20DdCZp6UPmHapW7xrOhX3tez13nEiWP75KzdZT8P9hzAX6ICQAA</t>
  </si>
  <si>
    <t>1A96F2397DCDF723489798A6FC3EBC9C</t>
  </si>
  <si>
    <t>JChemExcelEB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4/+CjNyxzUenO9yon4qfvvRfql99eX+smXwedf8v+H28m/r/m3L2O/fZS+2/vso/3xgwcP9u/fu//p/u7D3QeEeveTh+m98f7+Pfpsf3/v3qf3HhCZ92jOd3Ye3r+3t4OGDw7u9T56sN97717vk/vpDvVGHX26+/DgwQ5+e9D76F66vTO+f//B3qd7D/fu7e7t3HtIKMQ+675Jo+mi9TCGew+tg95HD/qofrqbbu+ODx7uPNzf29nff7h/sL/36YP+Z/0RETNGxk0j2v/0If3vIQ+Lvj9Apzs7Qbu9HUJld3x/P/yUhrWzt3dvZ+/eg52d/fs7n+KT/fu7n+7c3z94sHfvYIcn8uHBvd1PH+7tfLq7c59Eg7o8IBAP7u3Qj729B5/SR/TavZ179z492Dn49OAhjeQg3b43vnfv/v29T3cINaL17sFeur0/Pvj0Ad6jPg6IYejV++P9h/cIsT3+P+Dvj+8fHOwRE91/cPDw3gMGtUNE393du/dwZ+/TT+89vIf39nbplYf3qO09Qizd/nT8YP/Tvd17uzsPqM9P8dEDGuD9nb0HDz+9v/dw9x4JKr33gPB58HB3hybjwcEDIE/td2nYn356cHDv/gF63B0TUgRlZ4da79+LsuGnxBS7u/f2Pj34dGf34YMDEmfSap8Gn936o3tjwiD8iKbxQQAfE8v/3xvvgVM+pfmh4RF2p9ukvzDBwJz+pXH7/xwQRUnn3v8ovSbxJWbep7HtEZft7O0c7AMugfI+IUagWd799P5DYpwHxFZEHhp8rx2NuA9sb0xi5X/yKamH/fv+R/d7je5H2tAM7/mf7BHFiW+9T+7R8O7fCz/pt+nD6b61mz4kWodtup/sR/rq49wnGzEKzcmDneDDT8F1xAM7D2lyd++TZvmUpYOb3Dt4+CnT+WH0o+6L++Dpe3sk2CT1Dx5Sh3vM5iRin977dO8eCfZDksReK2iPTqu9h/chRvs7JC5EsvvECQ8wqE/He/v3SScQJvu79NsBS/I9kvUDkkvSmaQZIaX3H+4dkDZ5+Ok9wvoeRnlvTL+QVtqjgd8jRXAP+O8e3CdVR9qXvnq494BFcGdvn4ZEoEnJPLjHHZA9ILvx4B6pPtIy9yDN+8Q19/YfEC+SJnpAdpE+OyC5PiC8SD99eo/MJjqgn/T3w53dB6Qk9iITEGFwstgiPITzA7Ji9ObuPUJl/4Ck64GTLlJcnxIpPr2PUT8U0Yu/sk1STcMOsduFrvQ/o4HtQqX6n+0PtIt99rPeB/lYd62TdfR4Ui1n3q/sdb3Kz5s9dbw+Sqt6ltfkLuJFNIk0hLd0q4ZwlW7VEH7SrRrCIbxVw93bNoR/eauG1PVB0BAtxJ09+q68pX8Ngni4AcS3bw1id+dW+IqzfLum7FPfrim73rdryh76rZo+vHVLBno7XpHI4HZNMaqQDd5/apiKHzq/PGsPb4U0gpqQFd6/O46SvhEgt2Mfichu15QDt9s15fjudk13b98UUEP++Rq04ZDzdv1hwCH/DDblAPZ2TTnOvVVTCYdv15Sj5ts15eD6dk05Br9VUx7W7Zoy1NtNuQT/t2uKYQ2qjFsaBCbjh6oMnraQGd4fEwjm/ocqAtj72/EPegvZ5/1RlkzMrbqThI1tundTU8cCNza9nWxLhuh2TTmRdDsE0NQR/MamtxNYyVzdruk+Ely3QoCb3o6u3DRKV/6h/utdk2GkX3vZx7suNZk8vktJz6Pk/wHK0DQvEBUAAA==</t>
  </si>
  <si>
    <t>CF97BD28683CCB0F5962E2F779B00DFA</t>
  </si>
  <si>
    <t>JChemExcels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T9KXKf41/31J/4V/v+ZPYv8/Xn8ktCtP5ll9QfB20pv/294d/Gr3o/Td3mcf7Y0/vffQfx6ku+ODBzv+cy/dGd+71/loe2e8H755n7obP3zQ/azX7l6k3b300/HBXnow3r1/79MHD3f3dg/2DnbufZo+HO8fPLh3/2Bv/96n9z/deXCLJnu9T+6lxGwHe7s79x7QB/sH+7sEqPvRbuS1bmcHkU+AuE+aWPdfD87uHjXaf7D7KcBRw30axz2CfXDvIYF9uLu/Q8zZ/eTBw3R3n0Dt7TzYf3Bv5+GnNMj7UVDdj3b7VPq0D/4BMcPOR+k18Q5NIwGicdy/t0dTvX//AF/uPty5v3f//gG9tXf/wacP7vc/u0+9j+/v7e/tUP87n3668+kuiVXko14PD+Of3R/v39/f/dQ+++n++NMD/5P7vTYP0nsEKGyzN773IPjkU0L+4F7w0QEI8GkA6VMgtf/g/sE9+5B62N4b7+37n93rN7uHDkJon+7EXqUu7o0fHARdPEi398f373e6+HS88zBoFnmz34EQO0Rutz/UA1J3/Xd7RDroUfLgXo/cB/1PDtLth+PdkEKk0e9alX70eFItZ96vrONf5efNnqr5j9KqnuU12SK8iCaRhjAGt2oIk3GrhjAst2pIED+9VUMYqVs1hB27VUO2drbl3g0td28Fc5dN5+2asoW9XVM2xLdryvb6dk3ZrN+uKVv/2zVlJ+F2Te/dvimg3m5ageuem9eNfM9OzO2asq9zK27hprecWHhMt5tYcbBu15T9sNvhiqa3nFggcLvZEufvdk3ZR7wdrmganS3+oVrwrnGC6deeg3zXec/J47vklx8l/w8yA616swsAAA==</t>
  </si>
  <si>
    <t>76357C1304AE68BB81880979BBF17822</t>
  </si>
  <si>
    <t>JChemExcel/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jd/yjNyxwYvLle5TSgFP+9pv9/mb5I5a8T/uvLj9J3e599dG/8YO/B7oO9e3t7+7sHBw/2073xvYf39h/e29vZuf9w5+DeQe+TB5+m3deoFdHz/sOD3f2dBwcPPt072Nm7n27vjPfoq0/v7+zf2/n0PrU+uN9rdw/wd+4/2KE3dnbp3709anOw57fZv5cSqIPgI0DfPfh058HezsO9+w/2P929//DTdHt3TN19+vDh7t6DTz99uHt/70G6vTd+8PD+7v7e7v2DhwSLRoN2Dx/sHBzc271HbQ7uU+cfpddMkE9pnITF/v7Bp3v0UrpPw/c/2aUJf3gv/OTTMeEfvNWFs/tpD9AejXznIAS0O959sH+wu/fw/qf37u0+uHdPqBgM/d7+p/0P9+/33gUdQ2LsgI6E1969Bw8f3qMX7+88eEio7hL59z/dv7dHH+/t7hIf3rWMePR4Ui1n3q/Mma/y84aoBc4kPq7qWV6TSH0kLYSnj777+K73l/wRB3EvADHUECJwq4YE8f6tGkKcbMO9zQ0f3AoiRPNWDSHAt2rIYn6rlqINbtX0wa1binr5wCkW/XQrSnPT6DTzD+XDu0ab0q89TXvXqeHk8V1S8EfJ/wNCDc9r/AUAAA==</t>
  </si>
  <si>
    <t>9578282E312712FE7C9543852F2DD763</t>
  </si>
  <si>
    <t>JChemExcela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16k8tP/L/zsy/Q1/Z/++yh9t/fZR3vjg3t7+7v7D/c/3X1479N96nt3vPew89HeeOfT4KPeJzsP0m2i6v7uHn374P6n9/bvPby3v9//cPfTT+lTIvADevfe3sMH+wRn79P76fbe+MHOwad7BPXh3sMd+rj/0b2D/qsHD9LdvfG9e/f27+/d29399MED+jylKX7w0P+IWu2OgcINHz0c799/+ODBvd2Dhwf7Dx/Q/HQ/uZcejGlEOw/3dz492NmjFx+mn1JvPjnu9T7Z6731ICXa8P/3xnt7O/v7n+7sP9y7v3Nv997pNs/DfabU/f2P0muaqp0xfedRch8AOh/do7cO7n3qyHMvvUf0Cj6gKdn79NMH9+4f0F+f3v9059NP0c3Bjv/Z/kNQ//6DoF2/2YP7fXAH+z289u73Uf3/FPbbB+MH9zrQHox3H3Y+uj+mX25s1fuINMddqzqOHk+q5cz7lXXJq/y82VN18lFa1bO8Jp2HF9Ek0hBK51YNd2/bEDrsVg2p6/u3agh9aBvubWgIrXkriNCtt4IIDXwriKynbwXyftByI8lZ6d+uKduG2zXdvX1Ttja3awoEbjedYrtuRSsxcbeDypbwdlDZYN4OKtvV20G9HzTdyPlspW/XlI35rRDgpm62bmwanS3+oVrlrnFe6NeeY3PXeT3J47vkTx0l/w/SwhUcawkAAA==</t>
  </si>
  <si>
    <t>14C321B58433A3CD6E2CD9164BF3CD63</t>
  </si>
  <si>
    <t>JChemExcel/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Ov+9Tr/k/07o//63Lz5K3+199tH2Ho1wd/f+wf6Dnb1P7z14sL93uk0d06jv3fv0wcPdvd2DvYOde/f6H+0dpHvjTz99cO/+wd7+vU/vf7rz6cG9dH+8s7O7c+8BfbB/sL+7s080vHdv/8Hup/sHD+7Ru/ce3E8/pfcO7j2kVx7u7u/sPrjX+6T/2sMI6F7/6b3xvYc79/b39+/Tv5/eu/fwU8L74f7+vQd7O/c+ffjp/QcP79/vvfcwJTrcO7j/6YOD/U9psA8IOJNhm17+9MGnu9Tv3qd7n3768J79PCTGgwcAEUB9cI8+6+JMH3UGtr/X/+he/8WHEfgfpdeYwnvjnQcP/edTHs5uur0zfvBgx3uA+YPx3t6DvYe7nx7sPjg4oA5oQJ/2m+4cpNsH1HT3/s596urh/Qf3D1xL0wF1fSC/B+/eN9/sj/fvPaS39x7e29nZe7D/sP/RA5qg+/cC/HdB3we7hBD1vnvw6QFNywNly7ApMVwPcxINwmjv4cE+Dfjg/v79vZ29XZm1XtNdpuruvb37e/sPP723v3uwu3sv2tMDcNu9naDzSCMS/LtW8o8eT6rlzPuVVcGr/LzZU23wUVrVs7wmlYUX0STSEDrjVg2hWWzDvQ0NoX9uBRFa6lYQoctuBREa71YQoRdvBZG1561A3g9aboIp6vhWTfdu3VL0+60w5aZu0m+Yy1036zewx+7tpl0sz62656a3m3qxY7dryubudgiwVbwVVDGet4IqNvZ2UNUU3wIqhuU19aDyD9UUd40/Qb/2fI27zhFJHt8lF+co+X8AMmrFuf4IAAA=</t>
  </si>
  <si>
    <t>A445C13B6AAF981AD00C416B18AE4BB2</t>
  </si>
  <si>
    <t>JChemExcel6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l+mJ99+L3u/PUtPGffclPik/St/tffbR3njv/sH+/oO9vYP7n97fO3iQ7owf7PqffHo/3Sb63t+9f3/vwYPd/Xv7D3bvP9ihT3fH9x/6n+7vp9t743uf+p99+mm/3cFBH+LBARGn2zXRoIsfke3eePfTe/Tf/d0HOw/vf/pwN90ff0qNP71H8HYf7uwRye6PH366+3B/79MH+zu79FX6YLxHbfd2HzwkcJ/uPXwQ+aT70l4P8Kf73d4PHt7rov3g4cN0+9744U5Ah3SbgD3wPtrrfUIs0n1v5+GnPZpStz2a7tyPfLazBzrv3X9w8ODep/sPP9359FPqjybp0/Hert/vHj56eBDMcO+jnYOU5Gj/gU+zg4/S6z3I6oP7D0Gfe9Tp/u7Bzm7a/ejeHpGJSEsfUNe7Dz7d3T84+LT72X30u0MkeLB//9Mdwvc+McYes9Xe/u7uvfu7ewf7RF8Smu5HJD+9Nz992P+MO71372D/3s7up/ufHtAAH3Kz3Xt+s4c7aPfpvb37+/cePrx3b/9gd3eHkeu3I8J/+iD4ENgRQ/jdPug141a79wk2EfTBQ+KkHWac+w+os/29+zv3dojOD/Z7Y6AJ6VNkt0dLYpPOLBCvduflITH0zsN79w8I1AHNEj3g+nvhJ/fGB596n5De6nT26T0wagdPiGbY394O2GCHFOldq0mPHk+q5cz7lVXrq/y82VPt+lFa1bO8Jj7Di2gSaQgdfKuG0NS24d6GhtDnt4IIrX8riLANt4IIC3IriPf8hpsgwiDdqiGbrVu1ZMsWNkUbsZhH35b39K/NQG43w2JFb9eUje3tmrJNvl3TT3tNv+aAHbvc2N/tGObhrVuy23GrlnBUbscz4sPcimG56e6toIpHdCuo4jjdCur+rVuKJ3a7puyw3a4p+3W3a7p/+6ag1e0YQBzK25EVTaMswD9UZ981rjP92nOr7zqfO3l8l7z5o+T/AeXpWFTpCwAA</t>
  </si>
  <si>
    <t>1ACF742827A4CCBD9E42252354E88F14</t>
  </si>
  <si>
    <t>JChemExceli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tPvfl/Sf/PuC/vvyo/Td3mcfbe+MP/10/97uzu6n+5/ef7C3v7+X7tCA73968PDg3v17+3sP7n+6t5du74739h48PHi4d/Dp/sF9+vVe/7ODg9679x/0P3tAg+i/S33sje9/uvvppwf7Owf3du/R//b7n+1HXt1Pd8f79x7eoz4I+IOdBw/3+h8RpSIf7Y0fPLi3s3+w8+Dg4cODg70HhO3Bg3D01Gh/N/joXvrp+OF9/72Dj9JrIue98T4htfNw59NPH+7vEYLoYZdw3Hv4cP/+7u7+3n2aLWKXg85HNA+7RP4HOzv39w8O7j/Yp0HRZw/3/M8+fQB60I/OZ/fGe/f8zyLNDvrQQPF9Gn7nzS4w6mCP3vTx3Uv3CXwwgtgwiZK7D3fu7xzs3SNK7O3ef9j76NN9+miHJOGuFYWjx5NqOfN+Zdl4lZ83eyoeH6VVPctrkmG8iCaRhhCiWzWEqN2qIQTSNtzb0BBieyuIEO5bQYQKuBVEKIpbQdz3G26C+AB651YtoYV2b9US+ut2syiq7lYj4qa3m0m0dFO5sX9Wr7Gm/EO59K5R7vRrT/HfdVYheXyX7M1R8v8A1rBBtYsGAAA=</t>
  </si>
  <si>
    <t>FCCCCAA118E54D2744D10A23A688D3E7</t>
  </si>
  <si>
    <t>JChemExcell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7n9f9v7+8qP03d5nH23vjT/99MG9+wd7+/c+vf/pzoN76TaN7N69Tx883N3bPdg72Ln34H7kM2q3N3548OnDB58+PLi/+/DB/U/3H5xuE270+d7Bg/39hw/2793fefhw98E9+TwGt9v93kH8s/3xzs4uuv30/v7B/u7Ow3T7PoHbf7D76f7Bg3sEcv9+r9VuH9an0Y+67+31oX8a6ZDH9IB+e/jp3s7D/Qd79LIZ6v1793Y+3T14sHvwcP/+zj0hQZcC9z5KrzEJB+ODg90H1PPDB4TI3v09ak0d7owf0N/ew9jf2w0+o97ujXcePPQfHtKnu8FnjP9D/mKPXzngTw46jSLvfTp+uNf56MH40+ATgvVwvHev8xFkaOeGZg/6wITfiKwP9nd2d/d37u89uP9wTwl4P3gbELtU2j0gKbtrxezo8aRazrxfWe5e5efNnoreR2lVz/Ka9ANeRJNIQwjorRpCjG3DvQ0NIey3ggiVcCuIUBy3ggj1ciuI9/yGN0B8eKuGrNNu1Tda7t4KpijIWwEVPXo7qKxubweVtfLtoLLyvh3U3aDpDdy5e7upF6Nxu/7RNDqr/ENF6q6xcvRrzwLedeYxeXyXDO9R8v8AzeS8ipQHAAA=</t>
  </si>
  <si>
    <t>9A74E276750B89506D2903F0F7EFBFD5</t>
  </si>
  <si>
    <t>JChemExcelL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4r8X9P/X/O+XqXzi/ntNn30p332Uvtv77KPtT8ef3vt0b//e7s7uzsH9/U/30m0QZf/TBw/vHezt7R7co+6298f37vkf7dxPt/fGB3sH9+j3Bw92Dg72PsUnn3764N79AwL36f1Pdx7ce4A3dx7s0zt7+wf7e/c/PUi3iaD37hGsXXx6sHPvgN+8d3D/0wcH+5/u3Lv3gLo/3d7lLh7eP7gP8Ad79OX+/n3+vAvh3v200/WnD/ZT6pnGdO8BfUB90280mzSKB7uf7h88uEfvEno0+k8P7j2kNx7u7u/sPtjrfdJ/6yACOdL9vfGn9x/s3d/d/XTv/gPC9wHw/vTBg/1P79/b239w7+DBw0/7QwEZ740xYjTY/fQewb/3KY+628fBR+k1zeDO+B5R6OH+A+r000/3CPC9dGd8f/eAWny6s3Pw8GD//sE+dXRwf/fB/oMHe3sP9j7df3iPPrl/b/f+p0Tug4NPH+zu7z2gj3Z3H+5Tz/v3aPiYXZmHnfGne9Rwnz4GtnsPH+CzB58+9J9PiS4Hnz7cvb9L1PuUxkjvfope9nf8h8E9YM7Y3917sLNHfLGzS5je4/b8ZfDCLliGBrz76acP9z7d2/n00/1d2zREYZ85aSf4DPTceRB8JAy320Ur1m5/vHf/IU3H/v7ePs3OHuMdfvTprTo9YHqH4ElL3LVq4ujxpFrOvF9Zb7zKz5s9VR0fpVU9y2vSb3gRTSINoWBsw70NDaGGbgURyupWEKHSbgVx77YNCeKDWzWEHr1VQ2jbWw0G+nbnViBFdd8KqGj420FlQ3A7qGwvbgeVzcrtoLL1uR1UNlK3g7oXNN0Ilc3e7ZqydbwdAgcwordv6ib2Jh64ZVOx3rdqCnbZczzgNeUfqivuGveDfu25Jned35I8vkse0VHy/wBDnZVHLQkAAA==</t>
  </si>
  <si>
    <t>B6A94038B92C59C2200462A65472DE3B</t>
  </si>
  <si>
    <t>JChemExcelo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dv970fvE/ld+lL7b++yj7Qfje/fu7927v/tgZ+f+/u7DT++n25+Od3Z279//dGf/YG/v091Pd9Pt++O9e95H9x+i1YMHfqu9dHt//OmnDw4efPpw79N7Dw929wjWPYJPYB8c7Ozfpy4O6MU9Ar9zf/fg04O9B/t7O/f3HqTbO/Tmpwf3HhK4h7v7O7sP9tPuRwd7/Y/2I2/eT7sd7Ec+6b728EEf+qf99+6nvQHdS7vDvpd2KEjk6tK091IUMrHn7oH/2kfpNWaNpoPYg+i9v7//0D0H9zFTDx4cfPrg4e4eUexg594+5mB3d/fe3s7Bg4PdBzTF+5/is08f+K/yvDzc8T968Ck+270XfHa7Zg8xL/cfBrgRfWlydtxDRIh8tDsmrvI/2qNZ2D8IoO8T9Xb2go/u00cP+N8NX9xnUD70nYNehzv3+q3uEaY7JNV3rVgfPZ5Uy5n3K8v5q/y82VNR/yit6llekz7Ci2gSaQiFcNuG+7dteP9WDaGCbMN7GxpCUd0KItSZbbj3kbR43eZ1Xh29kbf0r0EQUIe36ouV5q1aim69fdPbTZxo6ts1ZYUeEGawKev920Fl83A7qGxFbgeVjc3toLJNuh1UNl23gioW7lZQxRDeCiqG5TW9abbiTfmHSvxdY/Tp155DcNd5C8nju+SHHCX/D3cDSAGjCAAA</t>
  </si>
  <si>
    <t>CDA35B4FBCD0FE8DE81D33BE010444A8</t>
  </si>
  <si>
    <t>JChemExcelV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9/76k/15kH8lIypN5Vl9Qy5009t/2brr7Ufpu77OPtvdpQHu7Dx7sPdy7t3Nvd+cg7X30MN3eGz94cLD/8GD3wc7+g/s7D/YJxHh/f/9g9+HO/sGn+w927h3cj3zWf/Neur1D8Hd37z18uPcp2u7sPbif7o739vbu33u4+/D+zs7DnXt799K98f37n+7tHtzb/fTg3oOdTw/Se+ODg4cHDx/s3zv49NP7uzv3HtB87O3du//g0/uf7uw/vEdA+43Sh+P9Ha/N/kfpNUZOXe4+3P3UPg/20p3xvb2dg3v2oQkg1nnof7S332u1d/Bp2oP26QN8RoiEn90S3C2a7T6MQushckBv7hD73bX8d/R4Ui1n3q/MkK/y82ZPefKjtKpnef3ZR3t4EU0iDcG5tuHuhobg71tBhBTcCiJk5VYQd/2GmyBS1w9u1RACequGEONbNWRhv1VL0Qm3Gziaunn0oPIPnfy7RlHRrz0ldtdpuOTxXdKdR8n/A2aR2EVXBQAA</t>
  </si>
  <si>
    <t>B344766B8F24A460A2747DC909A43194</t>
  </si>
  <si>
    <t>JChemExcelR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Cp++9L+s//e+i/L6XlR+m7vc8+2t4bf/rpg3v3D/b27316/9OdB3vp9u744GHw0b2014w+ujfev+d/tJ9u7493dnZ36NNP7+8f7O/uHADYvXv3Pn3wcHdv92DvgL570P/s4AAd7O3u7x/sPaS3d3Y/3b93uk2UwsfUcufhzsHuwb0H9x/e/1Q+74L49NPIZ/v4bOfeLgHd3fl0/9ODvd3dA36/2/Teg/5H99LOoD89uJd2R7gf+aT32gGx4L17+w9oWAcPCJ3dew9jsLsY0Oz3PmKK7u88eLB3sLuz8+D+/d0HDw2lCIt79/eIjJ9S6wcHn8ZHej+GX28QkVb3IpN5v88Zu/sfpdfgrN3x7l7wxV66M97b+fTe3g5ht/tg9+Gn+/sY4v17D/3nU+qayOR1s79Pbz741G90AArSrPrP/fTe+OB+5yMCvx989CB9MN7f2yNeI84+uHf/wadgNWKfXhc8uHs7wWfM9zsPup/F2kXgPRg/3CcGxzx++uk9osBAzw8jEB9Ee/50fP/hPZpVCNvBPk0/Q+wOevc2xNolLvh014f/kMDv3u9+8hC9Uif02174Hb2/xw1CsH28H5AmvWtV6dHjSbWceb+ybn2Vnzd7ql4/Sqt6ltdkFPAimkQaQgnfqiFU9W0b3r9tw09v1RDGwTbc29zw4FYQH3YbooUYraNvy1v61yYQuzu36kzs2e2astm7XVO2jrciCxvQcJa/3nhvxwBir2/XlM367Zqy9b9dU3YSbkeae0HTGxF4OETF796OihjwXsg27w9EHJ9bIc2+Udj0/adeHKzb9cd+2O2asrt2u6bs1d2uKTt/t5p7bnq7uWcK3LIphvXBbLIrbuv7TBv/UHtw1/jl9GvPZ7/rHPrk8V0KFY6S/wci+Ez1RgwAAA==</t>
  </si>
  <si>
    <t>B7C8CCD8D2AEFD6F9A0ED479039540E9</t>
  </si>
  <si>
    <t>JChemExcel8S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7h/Y/SvMwxaW+uVznxQOr++zJ9YX9/wf9/0flU/jKfys8T+695z/0VQjZtwzY+9O77PhYhLPz88qP03d5nH23vjw8eHOw93N19+HD/wf79h5+m2/fH9/cPPj3Ye7DzYGd/58GnRJ/tB+Odg/379w929j59sLtzj6aV3vz04N7uw4ODh/sP7z249+nD+3j13v179x/Sa3v3d+7dJy7Y/nSMFp/ef7C3t/vg3i4xIgG7f//hAT55+ODewz2iPX304P4+Abp/b3/vwaf3iU23H473Hu4c7O0f3L9H7+/QzNBHDz/d3dv99N6nu/d394hHt0mc9h8+2Hm4++nB7u7B7sE9fLY33v30wT4hd3BAP3Z26M3de+MHO/fu3T+4T+PYfXAfH+2PCe0H93d2dgkb+oWQ3b0/frjz8NO9+9T0U/qHRACv0kt7n366t3Pv4IBGRR/tjHfvf3pv5+DTTz/dAdpAjRB9uPtg9/4B9UxdM26fPtwjnDDW3Yc7n6KDPQJ272APwz7YObiHj+6NHz58eO/e/oOD3U8f0mzcZ9x2aUoe7N578One/s7uA+CxRwT/dIdQpikg3BiRvTF1RaN6eP/hvf1P90gUgBx1+SmR5NP7ezv7eyQ26GN/j3rZ29+/T5TaU5IQSvd39j+994DotIvJQr80JdT33v7ezkNtdrDz6f4ejelTmtYdHtn9McE+2Lm/T6O7v7uDGdwnAhzs7nzKs7+zi4nYGz+8v7d3bxecdG/n/qekCOizPUzTwwefAh6RAR8RgAfgvoNP9x7sfnqfmz0gmt07ePjpp7tEG1Iv1MHew3s7hOYB2pFw0icPP723v3P/AY0dvPIQ3HZvnyZzd/fePn0MXGn2HhBZd/YJlQcHDx+SpiE2/fTevQfEfDs79MEeJmaHeHLn4MEe+rxP/EGKZYdou//pLvES/bxPVONm9+7ff/CAutgnAt37lLg23R0TV5HEEHkPaGKIgVKaZaIxTeUOTTZY5T61ooGBkw9Isugz0lDERbsP79P4MK/EI6SAqAOWwv39fRrI/gH1gc92HlCvNPz7kJZPia8JHMnEvZ29e8S5+zRTDx9Qp/f2CAgRjHhw/x6/+HB/lwgPKbi3t/MpY0bMQxJDBCHykEokst7fPaBx7tEYSX526ZOHezRtNEN7u/f3SSLZbD24Rwx071PiK9KpNNn7nz68d0Bk390jtXBAcIlrdmhSdx4SixFd009pwNTp/b37kNd7ZB1I7neJsCQJ1N/+A5pUUg40xocP6I0DkhJM/cMxsRXxCskaTSLZHBL6vZ0dkIJG+4D4I4XQkwbZI9Z7+HDnwR7RjQSBNBP1RELw8OGn0DwQeZLRBwSDEHxAM4GPDsBXpC9IMCAlKbHyDokFqEtyv0dzn5IQECHuEbmYRYgTID40YaQ6HuwAM7Jw6HB/B0rhYHd/n6YFn9AvhDQx6b39XZowQv3BHum0+2ApHkJ6QLxCipbeusezcI+Ico8G8vBTwvXh3gNSa/TW/b2HB8QzRFGaAzKJJNIE5QHN0Q4U6w6pWii5B/Q7sepDYpZPP+XRkeYkbUHYEwN/SkqOhkK69IAo+5D+t7P7kMlCgyWdTHjvgjuYeLukkYhpaDj0kINwQLxPUkSI7j4k7iTzd0BYkcqlKac5JHbjidknlQU2fAjlhaHs3KdWxGukGIlI98esNx/QVN8n1UPqBCJLNoCGSipll0aTQuPe36XeQe2dPeLI++N9zCTJCA2CPtoH4Pv7JMG7n+6QaiKGTvfIjfo0nLY9EuHOTEZa7YK//I8OPkqvyRACDRIaYlRSkMQR5GSAdgc7u4QXCQF0NT4idUMCR3z3kOhOw0rvER/sE2V29h+Q2OzCNEIhkI4g3D998ABWg7qFWDP6JFnEQ+QPQZUcPCC1T/xIqvQ+CQ8Bo9kjqh5AFEmrkcYkwYJY7YFgDx88JE1DwO7D7pJxIcX0AGIDdbADdrhH+oHAU1uCT9qa7CeZFJKnew9Yc9OHJPbEV2TbSTvRrJM2J3qTRfoU6oZEahc+AHVBCvUBTPgD2GPy8Vgn7xH/oSENffcBppMphP8IS8KDfAeYHWLePdY7+9SEqEAI7cNsQxlABdHA6YX7JM/0KX10jxjwU+Y0Yj767gG9BtkifUy6lvA6AKPsUa/E8ERrUu17pDzIVJH5o/kgc3efGRDMDiEhtPcOwDhEWbLipBbvEzokbg+JR2kuaQAktiSd9yBcpNZItAkTeDb7rGDIxNyDKadJ3YcdJGYnb2Gf/RYSjAOYB/p+h1AhnMmcEIV2yN4T35NuIj2xj2YpbBvNNzELGWkaB2t4Yg7qfPch+QSkguDY7MKSQUhJeRCnkxKGVSTbT78S9mS07pP3TrYMNh5WCXN6f19nhfju3kPIFRnCB2wXoYTgXX3KMoxPDmgUzNmEyacwpzsEax/6g3QcuQE0yUCDJHUPRpUMNHVMVN/G1BChiLCkm4gPiP+oHb1Blp4IT0x5APO/M4ZPcw9CTjJM8wNVMyZ6Ak0yUnuk9h+CaOQRkQkhrUzzDIhEol2ox0/3mRp7NLGkoQ6oK5pZsj8YAgSDuO4BtA9ZigdgENK25KFAyuiLh9AkNEhYBdJopDruk6iBOGTx94ldaZLuwW9geh3AWSRtSJ4j+VgsALDTn5IVInHchckF19J/hBX5NKRiH8JpIIYh9icK7sF/5Y/oF+LT+wfsTRAHErmAzqdQE3B4CACawfeFw7QDM7oDP4is4w5EiFQw6X8iInvPsEy7n0J0aPS77D1jQshWE9cTTHjPn47JnyJFfA9+zUP2SlirEjHJQD9gTcKeOL1HrL6DL0jdcZ8HNB6YEWLgvV2KxbYhIGQcITLwcmg6yJMlX5QoQRqHlMF98AoxP1icNA3xHYxwun0wfviAppvwIBqS1We3HnaItDvxD+ECb4ZMMIEh+SGpoNHusbdHvz7cIRSIAYhL8cn9T9EPcdw+5GKPOYx8U5pwUj4IE9RFIzcGjuo9GFyoL1ZU+9SORJNUGpGSpJbdHqIX0Z/MB03KLhln+J2EB6nqXYwONpPFCYqaaLRHnixkgX1WMsQPaFzEH2QO0A5+GqkCclHu0/x9ep9dgo7CJaUxRixENIJZh797Dx4ZEZ9klhQk2W8oG/D/A3jhOzCJBBW6j4w7KRAa26foCMqPqEBiBHWC9w5gSR/CB4O/8/ABvE5yZYgv2JGk6aWZhxEgKJ9CN9L0IlJh3iaDCZsDNEiJfHr/dHuX6dZpe2+oLeUe7trkw9HjSbWceb9yNuJVft7saULio7SqZ3lNWRO8iCaRhsgi3Lbh/q0aIn9wq4ZIHtyqITIHtuHe5oYHt4KI1MytGnIC51YtJc9zu6acDrpdU84a3a4pJ5duRSfJQd0OKprebppAKzdPG4Fy3ut2qKLp7eZKsmi3airJtts15Zzc7Zpy6u5WTRnX2zWVZODtmu4jZ3grunLT282rZCBv15QTlbdryvnM2+GKlObtJhaJ0NvNq+RQb9eUU623QpWb3m6y7u0jcXu7ppzfvV1TTgPfrilni2/f9HZSiKb7t5ssUGD/drMlmezbNeWE961mi5vebrYkfX67ppxlv11TTsbfDlfO2d8OKqf2bweVVwBuBVUWCm4H9dOg6UZcgcAtJ3YfKxS3aioLGbdrCqi305nc9HYTK6snt2vKiyy3awqotxNDWbK5VVNZ2bkVBbjp7WZL1olu15SXk27XdB+rTrfDlRenbgeV17Bu15SXum6HAK+I3Q4qL5zdCqqsr90KqizD3QoqhuU1vWkKbtuU1wBv1fQBLxXerikQuB0PcNPb8YCsT96uKS9j3q4pr3beDldeFL0VVFk7vRVUWWK9FVTgetumiLRuN7Gytnu7pvtYAg6GtbHp7SZWFpRv15TXnW/XlJenb9eUV7FvNyw0vZ1wY1i3bCpL57dryivst8KVm0Y9Iv6hmYm7i6rMp+syp1+/OJnni2Kala/bej1t8cnTarrGMv5R8vjudFEeJf8PZm3bc/EhAAA=</t>
  </si>
  <si>
    <t>BE18B73470908BCC2FCBC1A99B895AB8</t>
  </si>
  <si>
    <t>JChemExcelS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79z9K8zLHIN5cr3KiSYr/XqTy8yT90v7m//068pn3V/lR+m4PNH94f3fv/s7Bg4P7u/cffErI3Bvv339w/+HB7sG9T/fvHxDa98YP793bP9i/d3//4cG9vf176d744c69nb17e3u7uw93Pt0hXIngDz/9lF7c/ZQ+uE+NdsYP93YeHDx8sL//YO/e7h4R5t74Hn2w8/Dew737ewc7RIa9MSDvH+zdP3hw7/69A8A+oC7u7e/f29l5QI3uE+gHD+/R13sPP6W/dz/FW3ufPqS+9j998Onug/sH+w+o0R5BJfzu3aP3H+7fT7d3qNWDnX3CYPfezv3d3fsH+OzB/t7De/d39/c+3d+7f+/TA8Jz7+DB/b37Dx9Sk53dHRphuk3gqINd+vP+zsMHD+5/+iDdJsx27h3cf7C/u7O39+Bg9wHDIwp9Sl3fu/cAdPj0Ht59sPfpwS5RZ2/v4c4Dolu/3f4e9fspxniPOsHfoEb3I+IrmqEHn356QKDu0ft79z5lKhKWn+4SjR4+3Nl7QFwV+aj74oN0n6Dv79B/9DHN7g6hf49IFKCabu+PCZD30V66fX9MrBF+9CnN282turAI/IPxwUHY6gAT7qH18KP0GqxJ83L/4c7Op4T8pzt7B/vpQ+LDAxrQp7sHBGr/4af06j7NxsP798GrBw9pgh+M72Hi9u7f39vfvffgwS598inRhOh2n7j73i6J5UNSD/v3P71HvHqPGOj+PimMg08hB/d3qcXDPZqwfZrDHaLe/sGnOweE2wGReO8+Mfb9fWKIA0gNceHu7u6nu9QR9bh/b+8eeP7T/U8fHhAj7396/yGYH1O/TzJAtKGPHty/9/CA2Wb3wQNCh3jwAQnMfRoDOJhlgNiYpATyRj3s39t98JBaYW4/fbAH5rq3t0vvfPrgHpC495CZdWdn9/49cPvOw10SMGbWBwef3tu/92Dn4Q51/uBTmQ1Q/QBsTOP8FHMGRmYMMF7SX9SKBNNrtS9c4n8EhibUHvqf3b/Xb3ef2akHDoxyw0cRbB+gFU0jqY+dHSge4uvoR5Fh7o0xKfd3SFXcp0mm4fY/i7x5n+Zzh4zCXWsVjh5PquXM+5XNxKv8vNlTS/FRWtWzvCb+xYtoEmkI9X6rhrA6t2oI23SrhrBgt2q4e9uG1PWDWzWE2bxVQxjXWzVkE3yrlmKpbdO9TU3ZoN8OKtv920Fl9+B2UNmLuB3UnaDpRqhA4HYzKu7L7RBA09vNqjhDt4PKPtOtoIprdbum7IHdDoGDoOlGqOzT3a4pu363QkA8xNtBZUfydlB3g6Y3Qr2dXPNs3Y4HxNG9Ha7sD98KqrjNt4Iq3vXtoLITfiuoGJbXdCNUIBDVA/xDTctdE5zQr73A5a6LapLHdyleOkr+H+lNzB9LDQAA</t>
  </si>
  <si>
    <t>5CE9732835F428EAA60B238DE498DBE6</t>
  </si>
  <si>
    <t>JChemExceldh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7+w4/SvMxBpDfXq5xonvr/fZm+CP42n+LfF/qda/El//9L+3f4hv9/86+2/yh9t/fZR3u74/sP9z7dvb9/f2dn/8HBw3T34fjhwcP9T/c+vf/g04Nd+hIf7dw7uH//4f6DB/sPdmgsuw/GBzuffvpwZ+/e3g599/B+uvvp+N6D+wcHB3v3qemDT4lCu/vjg/09euX+vQcP7j94QBO0e2+89/DB/d2HOzs7B7u7Bzv04t54/z71/+mn9x7sHjzYebiXEjPRN/f3dvZ27u/c272/Qz3ujB/cu7f76R5a7NK/B+nD8b096v3hwb17n+4/fPDwU/pk98HD3U8Pdvb39z79dC99MH5A3z44eLB7797Bg31iDPpk7+GnQGd/n3rY2aN3dvY+vbezu/tg/+H9A+IV6uneQxr4pw8J4/293YcP8dE+waAu9j/dPbi/c3CfUSQMd4kahDt1/wADuX/w4NPdh/f36WPq5QCtHh4wLQ8+3dulfkCA+5/u8Nf7O/eIFNTo/nhn51N+a+fep3sP74GWO/s0uPv3Hu4e7H2KTx4Q3WhkD2imDvb3eVYOxp8+/PTB/fufUp/793aAwQEhRdTY279HFLhH/+HFT3f2idyf0mB27u/dY+g0qIN7e0TY3Z0HOwfp3g4Rbn/3wb2dezuAvfMAmN/fe7CzR6Pe3d3bf7DHqO/QbBKz7O3sE3KfMq0OQG2av/2D+7skiTQpu/f2d/d2HtI/1ME9psHOg3tEOOpjjwbwEJB2D4ijHt47oL5oLg/AK6D2Q8KZ/wde+XS8d3Bv5+DBPeqdvnqIwdBYaYQP9mnAO7vMmUQempmDhw93dj/d57Hs3CMeJKpg3J9++ik++pQG95A+e0hTv0uCSB8d7BwQ++zu01s0Zv6IENonyhDdifz76d4eoUlM+imx4D4m+QAfEUscEPsQRg8Iuz18tLe7f594l7h/h2b0fgqp2tt/SFxHbPPpgQDfI4wPaJIJAUJrnxE9OCDkqcEevfUQ07cPlic2f7hL7xFvECTqiThm7/4eidY9UArz/vDTg0/3dx7sH1Ajlj0iPjHIvf2DBw8+/ZQ0IzHVvft7D2mQByS1u5CWhzRgGsz+Q+I/QonkdXdvD+z6YO9T4pb7+OTePgn1g4eEFbHMfnpAen2PppUA37tPcryHeboHHiP2PHhIorBz/6P0GopkTLSg4ZPAYhoPDu6le2Pqb/ceZuP+pwcElhAlZtw5gHQSmxMWuylNDcnrzqe7xKB7B/u7JKOgy70HxNkkXcT+Dx8QG28ThxJ4oiqJ0sO9g11SPmh47z4x8qf4gmhI+ufTdJsMEamuBwf7RJn9PSLIPWpIMnvvUzQmgpEc7AOTBw8IEKkJ4rV94ijC9x7UAqbk4e7DB6Q/7o0fku4hMu8Q+uDoe+n++FOiKJESupF0yQFRbY8YlHAn2YI8Q8lAb9wjobxHDL1HduZTmkXiBhr6Q6IjsTTBOSASEyUJa6IYcds+vbXPk3/v4X2a4HtkVe/v3qdx7O6SzJMyBknB/rtEm91PQRtiLBIbUoq7RL/dezQeIE0/qRWpHVLjNAV4jaR192CfZJ6mDBqZWpEYHNBnD+6T4Nx/yK1I4mmeSRWRdt4lWu6MH0ItkXTsknEgfQWSkwgd3P90j5jkU6ICkZI08x5J0cE+2JlmjWeLhkrWhJj5IUSXyEpUuX8f9CAG3CXZJOtK3EXNaMgk9Z/SkPEJsR5pVJJvovJ9MisHND7i/E+JPYglHn66C52zdx+y/umnGDOpX6gY4l8aCLEM/aBh46NPSQGSeBOyhMSeqjRSLiR9D5gaAEV2g9iEjAzN+y6UI6FOOo8+IMYi9UpEJxQ+JSRpGnZp1PdgVkh3QsfS/JIVu08TRaQkpiFe2X1Aqg/TSzoTSp1ehM0i3r9HqpLYdwfcSs8uIXkfzMRiTWxC8g4agW3pOyIDlCorVAjQ/Qf3yKgQdVmhkhh/ukNcQnqBlNU9mB6CekDmYY8MOQQBOpa4hhQw/UfIP9xhBU7qG8oUNp9m4QAvknHaI3VOwGHv9tlEP/gUAkMCQlZvFzJPBN8jfiGCEGHUSMIcEQeQKBL3Qw5Ayx3YzV28BiKQafiUpIJm5CExJAkdjYUYc4eI9xAidR/iSlqM5OsA+oQE+GCPnMK71is8ejypljPvV3YTX+XnzZ56ih+lVT3La3Jn8SKaRBre6zZEi9dtXudVOq2Wl+SLsfv7xdPnH3kf/GRWrslB2zeQ5Y2N3ezbbvY24HPfb/izhw+851vhAx/7VoSEJ34riNTw4a0gsld/q5bi/N+qd4kRbgeVQ4nbQeWI43ZQOTC5HVSOX24HlcOc20HdC5puhMqB0+2acnx1OwQQYt1+Ym/ZVAK7WyEg8d8PQcokyLwd+hyL3q4ph6y3a8qR7e2acgB8u6YcJ9+u6b3bNwUCt9MM4PZ7t2MLieNvxRbc9HaqQbICt2oKIb5lU4Z6Ox7gVMQPw1BIzuN29OPUyO3Q5wzK7ZpyouV2TTkfc6umkra5XVPO7tyuKSeBbtX09i0lq3S7poB6O83Ao7qdZmBa3XJeMQO3m1dJjN2uKefPbsWD3PR28wrGun+7eQW73r/dbElu71ZNIe73bzdbcBru32624Ircv91swRe6f7vZQpYyOln8Q73wuyaPS7/2crx3XQI4eXyXUstHyf8DGVMW7nYWAAA=</t>
  </si>
  <si>
    <t>467E7053FD642366CCD6CFAB18B2529B</t>
  </si>
  <si>
    <t>JChemExcelKx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v9vY/SvMwx4jfXq5wImJ6kX6b41//pf2J+d//1P5VP9N+P0nd7NFv74737Dz99sPfgwf37uzv3CaPdvfFD+uzhvU/prwMaTv+D3fH9h3v3dvfv39s9uL+//+l+SjO5d//g03v393d3dvY+3adRdz+613/v0/SAQO8/vP/p3sHB7sODew/vpw+ozS6hs/vpp/ce7BA+nQ/uP4y89Cl19eD+w4Od/f37+3v3aB76n+zTW/ce7h483Nt7sAsE7433CR365ODBp7sPH9zfT/fG94EtBrtz8PDe/v1eG8KHqHFwb3/nPiG0d7B3j54+6G7vvVF8uhsZRYRivU9uQTAi8wP0uUed7+7tPPyU55TeoD8f3KNZ3L33YL/f6qCH9UFvYH0q9ih9b6eP0n7vE+L+cCT73b939nqQ92g67j/cof4PdnYODj6lebrf/ehTktf+3Peo9lF6Tdy//XD84AFNIuF2f//hpw8P9lL6iCjtfXQ/3X4w3v/U/+hBuv3p+NOH/kcH/VYP+7AO8FHY46f9jw6iL3bBH0SQuB9FjPTo/c5H++N7Bx1c98cH9w8eECccfErsTVpo+974012v0UP6aG9879NPH957+IAaEPEf7BCsnTHoT5O783Dn0/s79/Y/RbuD/QD+A3y24w/zYa/Vw36b3X6jnU976D/sjfFhrM3NI9xh1MMhks6nId6/F8Aisbz3YPfB/g7J1M69nZ2HpCpInh4En92DPtn3P6LZ7rYilusCO9g/6L35KSRv5yD46H7vo957ZMQ6beiTGMPB0vqkOHhARvOutZpHjyfVcub9ymb0VX7ekBTBjJLRrepZXpNF+UhaiAE++u7ju95f8kccxL0AxFBD2OtbNYRVv1VD2P5bNYSH8OHDDEFs6OvgVg3hsNyqIbs1t2op3s+tmt7vtfSo8O3b0YS72/tQIPc2Abnl7Iird6uBi0f4of2xS3m7/tjzvF1TdlBt071NTR/2oH4N0oMUt+NB8Zlv1VRc69s1ZQ/8VgMWR/12UNmfvx3Ufbj9t4PK0cGtoIIbvaY3UuCWTYHr7RhJIpjbNeVA53ZN792+KcKmkF3enz0l9roVxSVEuxVqEsndDioHfLeDuo+48HZQd4KmN0K9HXdIQHq7phjW7biDiXW7KZco+FZN0fJD3Y4DibXfh8H4h3pCd03ygX7tJSbuuqxF8vgu5UOOkv8HLtbNJCsRAAA=</t>
  </si>
  <si>
    <t>3463EBBBF84B853F6F1137E2D6C98198</t>
  </si>
  <si>
    <t>JChemExcelE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Kn896X9+UJ/c5/jM/x8kb74KH2399lH2zvjh/c+vf/g/u7ezv7+wcNP76c7492HB/fv7+3s7Hx68PD+vft7+yk12713f/fTh/f3Hu7u7d6/94A+pFfpoXcf7u3QV5/yR59++unevU93Pt3b27l/8HDn03RvvP/pwQF9sL/38NNP79/bf0AfHezs3d978OAB/k+N76W79OKDfeqROrn3cHfnwS612tnZ3d3b2z3Y3b+/Q2TYH9+7d3//wYP79N6n+wSBZo1Q3t2/93DnwacH+w8fEt0+HR/s3j/Y39snMA927t/HJ/sHezS8h/f2d+8/3D/4lAA93H+4+4CAP/z0wb2dTz9N740fPLx/f2f/wcOHhNjuzs4D+ujh/t6n1H6HRoJeCSEayAPC794O0Wr/AJ8c3LtPg7x3b+9g/wFBp3HcP9h9uPfg4NOdg3ufHnz6cI9627v3YOcBAXrw6ac7u3v3gPf9T/cOPiXC7O0QbjsE/MF45yHR9uAeUYTosPeQPnl4f+chkfzg/u7OQ6Jmuk1U2tknUuweEIa79On9j9JrzCLx7u7u/t7BA/S+82Bn5x6mbI+6Jeo8eEgN7+0/PCDs9u7RmHYf3Lt3cECD5+nZe3Bvf+dTEOPBAUFhYhA5ifJ79x/e/xTTuktE9UDd39mjmb63Q7Q72PuUXn2wc+9gn7skyD4wwpk6uBdAYw4jQuzSu/fuEVCaqU/xLtGMGICIRRx5sE+8T5/tPDjAiDHd+/fv7++Dwvt794llaWYIFRrwAxD9wR5N9cP7uw/uf7p/b49GRUz5Kb16n+bqwaf3wDy7e/c/vUdc82D/4f7O/U9pEnZ2wb37+7vElPsH+2AV4nv8t3//4B5x1T2ahP39T/cf7IB5D2hwu/TJLvHZ3sODT2n+SEDuUWcPwXz3CMld/u2ASEjM8ODeAfH3wUMC9ilLy6d7xOMkPTRBxG57YHoawsG9/U+J4ITwHimPu1Z7HD2eVMuZ9yurk1f5ebOnGuWjtKpneU16EC+iSaQh9I5tuLehIbTTrSBCh90KIjX89FYQoQ9vBRFa81YQ927bEEr4tl3v7twKpGj02zVlxX+7pmwfbteUzcjtmu7cvikbpls1/fTWLcXSBU3RRizq0XflPf1rGAibytv1xxb1dk3Z8N6KN9B075bMsQ8zPjTgb99uwOIH3K4/uAoh23wNAu99A0DUZ+njzD9Uz901Lhb92nO/7jrfLHl8l7y+o+T/ARVfcMMRCgAA</t>
  </si>
  <si>
    <t>120178466E3CA7A1177FE7C33DB6ED0D</t>
  </si>
  <si>
    <t>JChemExcel1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v34KM0L3MM5s31KifapPjvhfdv968v9af7BL+9ps/lG/nty4/Sd3uffbRNJL1/7+DB/f0HB3uf7t/febh/P93eHd9/GHxIn+2N733qfbZLI+9+tvPgQbp9b/xwJ/jsIN3eH3/6wP9sP93+dLy36390Hx89PPA/+vR+v9mDPrCDfp/7fdQ+7Y9q/9N+s3t9YDQlvT5pKnvg9vrQiCt6BN4jttkZH9zfvUcD293Z+/T+w51PD1J6dff+w/2dg/379z7d2d+nXrsfUafdF+8fpPfGn+4//HT34cNPH+weHOw/oDnYByH3Hj7cOXi4s/spvdD7ZL/32kH6KXX36UPCcpd63L+/f5A+GH+KWXhw797epw/27h/cTw8IDqFG46CR7HxK3H0w3t/z29wjOAcH/iefprv74/3Oa7f86NMxkdr7KN3dGz/c9z/Z+yi9Jj6+P97fvXfv/i4N7cF9IvxB2v3kU0Lswf6DnXs7n977lPCkWSGy7DwgAuzde7j3cI/G/rD3CY15j167//Dhvb0HuzsPDx7u72Gywo92e+896PVPvND9iIZDn+zd293f3X+492DnIQSo89EuzTnJ0Kf3iHMeEA8QJ5GeIObbIwj7+ySv94glPhX+Dj/b671KtAST3j+gX+/tUQvipYefMsvv7e3v7N27d7CD3vcize6j2cG9/U93mOuJMXYhGffG9+77ze6x+jjYDT5jablHGNx7QPjR2w9IHvDZzr7fjliu9+4+9xv2sb8PidzdCz7rfxR589PI8D9l8X4YjB/NdvZ8YrK8Q2wePNh9uLtH83OPNML+wen2LuZMhkPK6MGn+wf3P72///D+vYf36MtP46+Q0blrrc7R40m1nHm/shl6lZ83e2qJPkqrepbXZC7xIppEGsJ83Lbh/q0awvbdqiEspG24t6Eh7OitIMLa3goibPKtILLlvhXI+0HLTTBh8Xdv1VIchts1Zb/idk3Z/bhdU/ZSbteUnZnbNd29fVMgcLvJFy/qVnPFTW/HAOKT3QqquG63gioe3u2gsiN4K6iM6+2aMtTb8YB4oLfDlR3V20Flf/Z2UHeDpjdCdTywsSk70rdryv727XBFU8cDNza9nXCLg3+7pvuIA26FADe9nQbmptEp4B9qhe6aOIl+7cVQd12AlTy+S6HbUfL/ALZ+xUjWDQAA</t>
  </si>
  <si>
    <t>A97753659418C95EB67583B9FECC35F0</t>
  </si>
  <si>
    <t>JChemExcelbA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w8/SvMyxyjfXK9yIlrq/vuS/vP/dp+f2G9cC/Op/P8FfpYfpe/2Pvvo0/HD/d3dB3s7nz74dG///sFDIvKnOw/2H+493L//4OGn9+/f737y6W66P957cO9g997B3r2Hnx7cp5HuEZyd3Xv7D3b2dvd39g8efNr7aL/7GhFtl0B/uk+dHOzc293b3z+4F/uoC4moG/mo++Kn99Md6nDvwQP69ID639/dOUi3iR0/3Xm4s/fpp/fu7d/7dI+mYHtvfI8Gd7D7gJB6sPvp/YfRjyJvdjvYu/+g327nfrp9b/xg72APH3/68OHDTx/uf9r/jEi9fZ/e3aWh7ewdHBDge71PiHt6LxLH9D6jUX1KQ6DZerh7f4fm8QHRY/sBtaKJJEB7RNiDnd3oR5EXux9FEIuMHFO+/+DhLnHNg/vEQgcHD8FOezRp9MoBTdIOSRB98PA+db+3Ty/i7ZQGc//Tvd2de/Tn/YefkoR1Oe5B2uFcAkzKYXcv+Oij9HoPCoj+pNnceXCw8/DhLjjz/j3/A+Lf/fHOg6DN/vhg3/9gF2MJ29zvAdpPu33tgaHDjz59ALbZCz6iZts74/v7Dz6l8e7tPtzZObi3x4y5c+B/dg8fHdwPmt3vN9vrN9vtt9rt90k6rovbwf79CG73e8N6GB1Vb/CRgZKyu9VA0+194sIbxhkh2l6Utl1sH9DYu9g+6PPKpwNY7O7v3ru/u7v/KakiYtB7kMj7O7skDfv3SLju75NEAI+De/fv3X9A0B7s7z54CGm7R+Du3SehPaD/EfcSJ5O0Hfid7vbYkdDfISt215qxo8eTajnzfmW79io/b0gCYNfIClb1LK9JHj6SFmIRj779+K73l/wRB3EvADHUEAb0Vg1hZm/VEMb4Vg1hsm/VcO+2DQniwRDhvns7wj38RkDs7twKX3FUbteU/ZnbNWW353ZN2TuyTfc2NWUn6nZQ2de6HVR2yW4HlT23W0F9GLS8kQC3bIr+H96uKRzI27GA+KC3GhU3vR0LiEd7O6js+N4KKub1lk3Flb49ArfTGOKY3w4q+++3g8pu/u2g7gVNN0LlwOFWTSW+uFVTSOG92/EANMa9UA2gjWqvW9oRCXduRRtueksFAdTCKfeQuaWaBSVCzfE1hofg7f1g8A+13HdN9Eq/9iLbuy7sTR7fpYD6KPl/AFk1VKpsDwAA</t>
  </si>
  <si>
    <t>D8726094A75B0BA00141D10C2A1F5C27</t>
  </si>
  <si>
    <t>JChemExcelyA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f+ejNC9zjPTN9SonwqXuvy/pP/9v9/mJ/ca1MJ/K/79MX+C38qP03d5nH+2Pd+9/ev/B/Qd7O/sHuwcHD9PuJwdE/P2HO3v39w/29+7tPHxII+x+0ntpL90bH+ztHTz89P7Dg0/v3zvYP7jX/eh+ujveP3i4t/tg/8GnB3v3D3aJVpGPupA+jX7UfXHnIN0hpO7T1/fu7z98+ODBg/s0f9u7490HB7v7Ow8+/fTgHo2Bxre9N76/u3uw+5AG++n9g72H+/fjn0Xe7fbx6cN+s0930+1744N9NNnZJQJ9eo8+7n9GzYjPHzzE2/f27u3u36Nx9T6633uRkOt/9oBe/ZTGsHdAk3J/f3d/b3+HOnhAzYhkn957cP/hgx0BF/ss8mr40b2HD/u47fUH//ABMce9T3cf3j/Yf7C3R5jd3yf+2TnYf7i//+mDg4f3790nOQGkg517+7v3Hu4eEHB6af/+/Z39Bw/v7e3TvNL76b3xp/cOHgLIfcLiIfWafjpG43v3Hn5Kbz54SKC7nzxMSXPs7AQffZReE+t/SmgdPCTGPNjZe0hDR58He+6TT+nvnfve3zvg6vu7fovd8YN9v8XO/W6TnT0QoAun+x5J/854byf4iEi+Mybm2bm/S+R7sEPDovERY+7u+J99io8OHgTNPu03u99vtn+v3wyfdXulz7rI3Sf11ceuT4/7B7Fx9UYfGSoE6TZDTbeJU3ZvGOn9KD0i1O0hS1zRxXY/OsdxNHbvEwd/ekCcvkdSdMCye393n4SNOPHTvU8fPoSI75AAHhAoUh/39++RPIAb7u/uPCRR3P10//5DgnYPr5JYUfefHjx4cEBSv9elN6nDBx0mpo8I1g6ZvbvW7h09nlTLmfcrG8JX+XlDUgFDSGazqmd5TRb8I2khJvTou4/ven/JH3EQ9wIQQw1hcW/VEHb5Vg1hvW/VEDb+Vg33btuQIB4MEe7btyPcww0gbkl7dlluha94Nrdryg7Q7Zqyn3S7puxO2aZ7m5qy13U7qOyc3Q4q+3C3g8qu3q2gPgxa3kiAWzZF/w9v1xQe5+1YQJzWW42Km96OBcQFvh1U9pRvBRXzesum4nvfHoHbaQzx5G8HlR3+20HluOB2UPeCphuhcqRxq6YSkNyqKaTw3u14ABrjXqgG0Ea11y3VocRHt6INN72dgpBo61ZNeRShgvDwvqVGBtE+VKtjdOHM3wiDf6iRv2siY/q1FzXfdSF18vguBetHyf8D+NtoOcgPAAA=</t>
  </si>
  <si>
    <t>61F8D3C8CE5A5350FC9D29CF48762D2F</t>
  </si>
  <si>
    <t>JChemExcelu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fpi9T9+6X+Kz8H/ivlfx+l7/Y++2hnfH//3r37Ow/u37t378G9/YN76fbO+MHDnXt7B/c+Pdh/uPPpwf0H/c8e7KfdV+mj3fHBgwc7ew8PHtzf/fT+PQLW/+TeeG9358HOwcOHnz58eG+fxr9PgPbvHRzs7h4c7O3u39+n2Tl4cLDz6YO9/Z1P9x/uHxzcTx/Qa7sP9j+99+ne/oMH94lEB/Ta/f29+/sH+/d27t//NH1Ibz3c3dn/dOfTXULs4f1+k+298S4B3XlAg7i3e/CAwMQ+ujfev//g04NPP90lfD59AAJEPoq8GCFT9LMutIfRDvbpzd17n95/cO/ewwf7Dx5SB59Sn/d39vcP7t8/2Nk72CPKRD+LvPqAOgCWDx88+PTezsGnNF374537PsUwqTsfpdfEGBjdw/sP9+z/7hHau+N99wH+9ym9sLu7TzSw/6NPDg6CTx72Gn1KnN4Ddu8gvVWn977ZZgcg/YN7nXbdQdz7NN2jNzsf3aMO/I+oUyL8vaAVMTNNjt8o0qYL6F6PZPfu3+8jv/+gP8hIs0/vR8H1xrjbh4YJ3gGLHewGFLpPivCu1YRHjyfVcub9yqrxVX7e7Kl2/Cit6llekwrHi2gSaQgdequG0LS3agh9fKuG0Nq3arh724YwArdqCFNxq4YwKLdqyGbnVi3FOt2uKRsx23Tvpqa3nsnd202lGM7bNWX7ejtU2QzfDipb69tBZaN+O6hs+28H9X7Q9CZi7d1uXsXpuBUC4pvcDiq7MLeDyp7O7aCyQ3Q7qLtB041QgUCUB/iHqrW7xhmkX3uO4l3nRSaP75J/epT8PwTvpgu7CgAA</t>
  </si>
  <si>
    <t>9799E3EDB4E68AC5C13C998FCC5F7136</t>
  </si>
  <si>
    <t>JChemExcelMB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7d+yjNyxwEe3O9yon+qf/f6/RL/m/o09f22xfe92H7F97/h9qcpM/Sk/Kj9N3eZx9tfzr+9NPde/cOdvcfPLi/8/Dew9NtIu/23nhvb2d//9Od/Yd793fu7d7jj2na79379MHD3b3dg72DnXtEmO5HNO798f7+zsHDvZ2HB/d3dj7d+1RA9lpGPrqXxjsmfkTr+/ce+s8B9X5/f8d/7qefjg863XQ/+TQ9GO9++uDe/YO9/Xuf3v9050Hvg93IS/fH94OudvFJpF3szb2HXQTuPfA/eZBuPxjvPNj5dPfT/Yf7RL7dg4OU5oZ+3dvf2/l0f5eITey1fX9Mje8d7O3cf0ikOyAupBcP7u/u7lCrg4MH9wgEWh3sPjj49MGn9+49+PTTByQX2/vjvYNP7+3ce7i7f/Dw4f0DanVv/On9hw/3Hu4f7N//dI9g7WPed/cOiAYPiAwP7z/YOdhjuu/sPnxIXHKfSPTwwX3hjwfBZ2i2t797/x4hsnv/U+qZJGeHyHr/3t5DGuEe/e/B7gN8trOzf+/+/YefPnzwYHeHcKdZ3H/4cAcswzO+8ynY4ODeHg1oZ//TAxrqPk3sPgH7lIi2++nBpzTQB5/2Prnfe60HmkRV5nH/072HO/d37+/rVD/Yo1/3CGnivcgn3Zd2+2C62Oz3PukNC426GO716dF/72GXtJ+S3ul+tE/6kWaFer+3//De7sGneyTjpAdp8u7TLNGM7+/s3yf2uw9eOCDR3aG53aMPDkh++5/RhPZefXi/3wWpUeLA3U8f3jv49NMDYl3iy097Q/j0o/SaFND+mFjZf6jh/d3wk93xg1D0MPy93eAjouT2zvh+COsA7XaCj+5DaTzYDz7bxbjCZg8/ZfkI9c2DeDuSmfT/J8PY3n0w/nRnd/ceqVWavIekM+izT8e7D/f3HtBn90h3fPrgAX92AL30kCZ+7x6xGvHGLokE6TQaF6lSkot9tNsfPzh4AL0AZUHj2+PPyCjs04dQMg+IO+ize0QJqCXSvtTr3sEuf7Zz/4C08YM9Gil9Dlx2SWntPgAj7z0gIMTN5KwQ55H2+xQiQ7qMWPLhmFTNp3v3CT5J4N6nD/HRAb9+7x71ce8BKVgSTBJb+oIEjP59EFKEv9jzPzmAroX2DD76dIwx0RcPvd+DRg839AGEaMp3ifgy4k+DOYV0kTnd9T/7dKAdgQgm9VMdbvezLjy8e3/8MGA5oITB+J9FmsVbHYyJ4OFHGL//0V68WQc+M0a3zwfkRt61fuTR40m1nHm/smP5Kj9v9tS3/Cit6llekwOMF9Ek0hAOoW24t6EhvMFbQYQreCuI8HlvBRGe8a0g7vkNN0Gkrg9u1RDu+K26hkO+c+uWu7fqXLz/2zXlIOFW/UsscTuoHHLcDipHJreDygHM7aDeC5puhAoE3FxtbMqR0+0QQFM3Wzc2vaXQcah2u6Yc0d0KAW56u9niprebLQkjb9eUo83bNeWg9FZNJXa9XVMOcW9FAYmEbweVA+bbQd1HXH07qLu3bwqot1OVEtDfDleO+28HldMDt4PKWYRbQZVkw+2gfho03YgrELidGEqW41YISDLkdlD3kTO5FVTQ1Wu6ESpnYW7XlJM1t2vKOZ1b4Sqpn9tB5QzRraBKIulWUCXfdCuoGJbXdCNUIHA7PSCJrts13Uc+7HZNOW12q2FJdu12UDkJdzuonKu7HVRO6d0O6v2g6U24fno7HgBnfRqdWP6h3vBdk4GlX3vZ2bsudZs8vktJ4aPk/wFBT2Q/MBYAAA==</t>
  </si>
  <si>
    <t>89F8B042B5E9A10BCFDB0942987B93DF</t>
  </si>
  <si>
    <t>JChemExcel4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Kfy/0J/770vvdffaC/32dnpQfpe/2Pvtof7x/7+GD/YODh3uf7n26u7+b3iMqfbrz6cMHD3YePDyg33ufPEj7b3U/2YvA2R0/eLB37+HOp/sHDx/s7DwgEkQ+6r53v9vo04P+Rw8+TXcIgwMCcH/vAXW/c2+398nObrq9Mz54uP/w0wf3H+5/evApvUmf7Y339g4+3f/0we6n93f3d/b7H9172H/zXrp9b3z/0717e/cP7h3cow4eHPQ/evgAwO7tfkrk+fRTQnX/0093Dhja/d2D3b1P7+0+3N3ZpZmlZg8eBq9SD/vje/e8z+jF++O9ew/u796nVw8e7NHw76PVwc7B3u7ezg7hR0g+TA/Gn+4GE/RRek2z/XC895DAEL3u7d8/+PTep9Tw/p7/yYP00/HDA/+TA/pkbzf8ZH/86QP/k4c0aw93Ajif9ho9iAAi0nwafIKpvR/g+JDmced+8MmDByDgg937Dx4+vLf36f393Xv3D3jS7vsfPcB07Oz5H336oN/s/n4f2v79bq/7NBF9eDxF9z/tfHR/vP9g5+HBwae794mlH3y6h1YPH97f3dnb379H8Ggu020iNCG0S2/v7H766d7Dg+hHB2NiE/qT5vf+zj2CFgNPuJISumu10NHjSbWceb+yWnqVnzd7qpk+Sqt6ltekPvEimkQaQn/dqiG0nG24t6EhdOGtIEJj3goi9OqtIEL73griPb/hJojU9cNbNWSVf6uWYhlu15QNyO2asp251eDFHN0OKlut20Fl43Y7qGwDbwd1L2i6ESoQuN2sivG9XVO20bdqKqb8VsPiprebWHEMbteU/YfbIYCmtxNTpkC0Kf9QDXTX+Ez0a8+fuuucreTxXXLjjpL/B0togZriCQAA</t>
  </si>
  <si>
    <t>6AE602DE65CA663BBF442EC21B3F38AD</t>
  </si>
  <si>
    <t>JChemExcelv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nqQvUvz7Jf130vnvhff7l9qCf36Uvtv77KPtT8cHu5/eP9jbfXCwd29v92A33b4/3j/Ye7hzb+f+p/s7+7v799Pt/fHu/sO9vXsP7+3ff/ApDaP3CX20R6Du39/fP9jde7B/sPNg/0H/M4K1S+B3Dz69/+nDnYd7Ozv3Hu6n2zsELfjw0wf9D/fvf5rujncP7lPH9+/vPbj3KeF4L90b3999uPtg99MH+0D4008jn3Rfo0m4Nz64v3dwf+fBw0/vPdzb3dkFb1Bnew8f7h7s7e3s3ju4RZtP7/d6209398YP9x7c//TB3sG9Bzv7e/uEwO74/sN7BwdE7N2DB5/SBBOf7n26s7fzcGefhnaw+2A/PaDXfOAPY40ikPap0S71sr9z//69vb2DdPc+tfGH+yDWqIvl/kfpNVhiZ3xvf897dmiQO+P9vQfec/Aw7bXbvb+P2T04CD78tP/ufZqPh592PoqCu8WrxCl74wf3/I8efNpr9SCCBvFOfAzdD/f6iHxK4tgb6719MDzNYPBq76NdgnaPuMp79gSV3of4bP+h9xxE2j3AaPeCZjwRNP9+M+0iaHcfZOmB2+7BY4J2wJEGvGtV4NHjSbWceb+yTnyVnzd7qhY/Sqt6ltekzPEimkQaQnneqiFU7G0b3r9VQ6hr23Bvc8MHt4II1X+rhjAQt+qazcitQIq1uRVQMUq3g8q261ZQD4KWNwK93WSKzQyaoo3Y5aNvy3v612Ygbqo39se2+fZNbzfdYuVv1VScgds1ZZ/hVnPDTW83OYxAODkejb97S4pjwLeTQvF0bjcKNL3l5ACBcHJuHAX/UIV21ziE9GvPWbzrPMnk8V3yUY+S/wfQ9siuvwoAAA==</t>
  </si>
  <si>
    <t>5CA666A7F930996DE177AB04C37D0BF6</t>
  </si>
  <si>
    <t>JChemExcelTi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wNQj9odULuH1O4htXtI7R5Su4fU7iG1e/jpR2le5pjJN9ernBgjxX9fpi+Cn+bTL72/8N8L/tT85j6L//ezBVUg8M+P0nd7n320fW9879NPd+/de/hg7+Dg/j5xzvbu+ODe/oNP93fufbq392CHiLG9M763c29n5+DB3sP7D/Y/fbBLFNkZ7396cP/gwS61uf/w/n1iJmq2t/vpwe7e/qf37x/cf3hAE7E7fnBw/8G9B/TXp5/ufbrz8CDdI+Ghng72DnYfPLz/kDju3vg+vUaQ7907ePjw4T2akJ3xw/sH+/t7n+7uHezd3yNWxCef3n/4cO/ew3v79z+lr4DY/R3q6NN7Bzt7hCwxO6G/v0vN73368OHBzr2De8TM3Ow+DfPBvYd7Dw4eHBCD0mcHBOkhdbFHLxBeD9Ntwuz+pw/u7zzc2du5T0Pex0c7RINP7+3tHDzcJ1R2Cf2H93b3d+/tffqA8L23Q9y4P7738P7+pw8/3X1IQyVRuT8GLffvE1Ef7BzskPA9GO/s3N+j3/Z3iEA7NJ4HRK179wkJQmP//r19kqpPx7sPHjzc+fTT+/sPiRokO/vjB7v3Du4T9fcI0qf3eIA0qId71GrvwT4hS5JI07j7KWFOBNi7d0DDI+7e3qdB7+w9IDrcJyI91FZEkXsPPj14uEPTvYtG+w+JqDt7+wfokySCP9qn3mn2aOi7NGH84s7u/oOdvd2H1P6Bwup8BMT8j0iU6TNij/CznfHepw8P7u9RbzuE/d7+Hmb74F7w2T1wSdgs8knkNZ7rLhaxzwjbPeKHnftEMuJs0lv8EbHXvYe79x8cgMhEjftoRrDv3d9/sLtLs57u3hs//HT/4f1d4nui+A5ppt37ICOYf5+G8xDk36UJ3zvYIfLvE613D3b4owcPqXf6+P4Dot49fPLpfZqiTx8Si+8SuQn6QzIdn4IrHjy4t0uv3sdHxBx7O/cefrpDLEWEoHGTHBCE3b37JAnE9rsH472Dh8Rvew939w+AmnxEU73/kHqnkZP23/2URkNT/XDvITEJ8cEeUKfvHzwkziWO2KMBSCsM9yFJ2gMaAX8EZnhI/X26t79Pb+JFkth7pCoIfxIVUv70ESFF0keiQGxLXAxU9+gNkq79TwlB0sZ7pBH2SD/QrB0APinYvb0xqRaaBiLOvU/3yUzskUSR+jkACaBmiHr0EQH89FOMhTqhMaZ79yD+0AjU+N4umTyCtEPv3yNts0uE3WWcqHeSjp1dYnPCIN3dh7CQGN6nHggcyc/uHlj3YOfg0wMS7Qf3yWByqwd792kKSBSJUvekFUG/v09sTuL3UD6B0iIo9w9IHj/l94hQ9w4gj6QbHj6MfnQfHBl+9Ol451P30QEzh9fmABPqwzkAY/hQYh/0XvkUI934AVAj7XmfJhCTe4/Zm8hH+oLIQCTaJb1E7s19jNlpLxLGT2l2SBHSKHb3d0i3Q/A6n4lGJVW4S4BIf0HPQpkQH4EDib8fkJ05iLT6NAot0qwL7CF0Sa9VH9ZH6TUs4u6YRYb48VMSGmIrUQxECRJt4kZiiB1RFp+SwBxAQMj87e1CNZMBJMO3R2aS6Ed67YAV5Q7sAgnULskrKYwH+IxMIrHafdLWBGwXaobYj0zUDnhwfx+0I6LfP9glc0j43f+UBDTdJvtAwIg9d3ceENfTe8QjUOA7+zsPaFQPYMRoyvfuPQA/0/sPH5DI0XtQBGQcHpK+o/+xXoNNI3kmbUQ6/gH0Pv91b2f/3i5UzS7PC0ElG0/cQVQje8eYkiBDbGicOw+A1h5ZO7IYu6AXbDG/SQaZBke0IvmF2SSCkWWHktrZu0dEJ62DN0kpP9w7IOtDTsg+aVd68yFI+uAhzR1ZbKBBXZKM7NMc7O2SmrzHto0U3c5DUmX3SL8yp93boSm6f4/m7QFpSTY05FCQ1bxPGp18BB4kmhG77t3f+ZT07f37UJTgDuL/hyTWD8gxgY4aP3hAuuY+FBAp850dNvG79NH+Lv1JnguNEVNGrz2A/0AeAfHUp2NSE8EnZOMf+p/cTw9AhRs+6b/Vh9zvHRiGb90GQ7wFz4mYB+yyy2OnD/ZoYohj9tmZ2YHvsQMm24XBS38kJD8Skh8JyY1CQq32PSaD00lMvevz3cPbNyNXeqfTjDq9f4s3Ix103uTPOh08OKDkw12bfTh6PKmWM+9XTke8ys8bsppIR1DyoqpneU15lI+khSQyjr79+K73l/wRB3EvADHUENkF23Bvc8P7t4KIvMKtGiKpcKuGyCjcCkdq+PBWEDm3c6uWkgK6XVPOFN2uKSeUbtf0XndQ3vx/93bcILmrW3V3/9YtJRl2q6Z7t27JQEP2ef/hcnbuA2FIeu92OHMW8FYMKsnCW0GVnOKtoErq8XZQOUN5K6gYltf0hvndC5nm/QkuOdPbdcep1VsNgrOvIdSvgRqncG+HGmd6b9UUyeBOUw+ZW+p5ySjfrj9OPN+uKeenb0VgSWPfDuo+st23a8pJ8dshwLnz20HlFPvtoHIm/nZQOWF/O6h7QdObKHDbpkDgljywc+umsv5wq2FBPrymG+UDuN5OqfCCx6BWuaV8yKrJ7frjxZVbDZib3k4hyFLN7Zryis6tmsrCz61w5aa3mxxZRrpdU15tul3TfSxK3a4pr13drumnvWF5/HBLxS7rZLfqD/N4y6ay8narpmDPWzZlqB/qCILFPg1Z7P2ByGrirZCWRcdb8amsTd4OKi9h3g7qPlY6bweVF0RvB3U3aHrTDH/6oc6orNHeqj9Zyr3VKLDa24H6/qjJkjGA3IiarCzfrum9XlMPmVvqfgZyOx0lC923a8rr4bcjMC+b3w4qr67frikvwt8OAV6rvxVUWdK/FVRZ+b8dVBLqg9s5kqCr1/QmCtyyKSNwSx64d+umtCSZHTh2uUnIvKYbEQCut9MqB0iJ3I5dDkCs2zkglMvNHt7Ok+WmtxN7IPDwQ2UZA354uyl/iITJ7awDN73d5DACg4mJ+Cj4hyb57i6qMp+uy5x+/eJkni+KaVa+buv1tMUnT6vpepEv26Pk8d3pojxK/h9f52jZTiUAAA==</t>
  </si>
  <si>
    <t>34A77F65DED2A1C8F2563FC65AA59E1F</t>
  </si>
  <si>
    <t>JChemExcelE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s69N/r9Evvr2f875fplx+l7/Y++2h7b/xg997Opw8f7N27t/fw/t6DdHt3vPug89HOeO/TBwcHO/v39h88fLi7e0A4UrOHnz7Y//TTnR1qtb97sN/76EHk1Yf0Kn34YP/eg0+p4ae79z69f+9hSs0OPv304T519+n9T3d3aKDUavfgIV7Yv/fpwe69XcKU2h3s7+5Rw4c7u7u79/buHaR7YwL96e6nDwjX/d17B/sP6KODvXv3CYlPP72Pzu8B3QcP7+0Qmvf2HhxQ671P03vjew8Odh48eLj3cOfe/g4NdH98cLC/v3d/794+9bpzAEgPd/YIhwf3H3xK0HYO0N99ArR3/8He3i41BIHujQ8+3d/d2T/Yv/fw/u4+Nep9cr/33j2w2sMHDw7uPSQsgf29PmUe7PVIQ4Ptjeb+/T656MdH6TUmmfh5Z+9g7/7D3fv7Dz99+HDnIO1+dvCQ5oow3D94sLu3c/Dpwb39/Z0HB/hs54HfjqaZerp/L/gMH+3c//ThvYcP9vd37z+8/2BnZwf8QDA+PXhA9H14bx+TASLc3yOOu0dEeLCzSwMkou/Q5N1/cI8o8+n+pwSN6PIpYbFzj3p7+PCAxruPaadmNLs0L0JyItO9A8C9v3+fOItA793bfbj/6T2iyu4OcRzBeXiALwmlA+pgF58QEnsPiDf3AO3Te/fTB+P9+zs0Yvr34YOdvfu7IPi9B7sPaP7ps3s7uzv3+0N+uNcnzUN8dLDfpVb3M1AaY753797DXeKtvYOH+/vUBY2a2OBgj4hCc0gTiGYH9x7cf3iwu4/ZfnBAH306/nRvb3/n4e4BgSS+eHCfFM9dq3mOHk+q5cz7lVXRq/y82VNt9FFa1bO8JpWJF9Ek0hA6yzbc29AQmu1WEKH/bgURWvJWEPdu2xBK91ZdQzUHENHidZvXeZVOq+UlaVs2LF88ff6R98FPZuWaVPC+gSxvDHcD9X8rfNhI3GqIYktuBVRMzu2gsmW6FdSDoOVGoOj/djwjFvFW/XPT27EDTKzjh439sxW+Xf9srG8HlW36raDuBy1vBOoYYFNTuBC3m3/xOG7XlB2TWw2Km7pZ9aDyD9Vdd42HRb/2vK+7zjVLHt8lp+8o+X8Atr2H9RAKAAA=</t>
  </si>
  <si>
    <t>92ED2D031D27A0F0E94C392C8FAE0ECC</t>
  </si>
  <si>
    <t>JChemExcelg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Ma/vcl/fci+0iwL0/mWX1BrXbS7n/buymBerf32Ufb++Odnd2dew/ufXp//2B/d+d+ur03/vTTB/fuH+zt04ef7nz68AG9ML53796nDx7u7u0e7B3s3NtPd8cPHnx67/6nB/ce7u/s7N3fuX+6vXs/7Tb89NO0A+/B3r202+tBejA+ONh9QL8/fEBf7d3fI2ifxqBFUDkY7x740B5+lF7v8Sw/ePDQe9Kd8b0d/5ODhxhHp9V+r9nDg3vc7GDHe+5xs85HvVZMur17e/5n+yAxkcz/bC/y2QPqYYcY5a7llKPHk2o5835l1nmVnzd7yj0fpVU9y2saPF5Ek0hD8NitGoITb9UQ/HqrhuDqWzUE79+qIXV9cKuGkCPbcG9zw92dGEj+odS/a2Safu3J+12nDJLHd0nNHCX/DxQo6aiCBAAA</t>
  </si>
  <si>
    <t>E66666806A257402F93B4C28BC7AB48C</t>
  </si>
  <si>
    <t>JChemExcelo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Bp+N+Xnb/j/32Jdh+l7/Y++2hnvHfw6acP9+/vPfj0/qc7Dx/u30u3d8YP9u89+PTTT3c+3b336f39nU/T7b3x3v2d3d17D3d39/DNHj56sPfpDj0H9GN/Z48w394f793bu7f/4N7Bgwf39ncO+KMH1OLevfv3H+482L2/Qx/dHx/c3/uUeny4c2+Hut9Fq3sHBzv7D+/fv7+3u7d7/1O02vt072CHmu6iNRGFMKNf0I66ePhwd29n5366vTvefUBgHj6gTvYe0kju9RruPniYUrOHnz7YJ9x3qNX+7sGnvY8e3E/3xvfv7ezv3X+wR2jcA13Se+ODT/d3d/YP9u89vL+7f3BwP/ZR98V7fVD3+u/1Pvn0Afj14YMHB/cefnr/wQMaz273E2KZ7mu93vYf9vrf7Y330/5HROVP6b3d/U/v7Rw8+HTnwf37+9Ro5x71TDzy6cGnNL87Bx+l18Q91AOhd2/nHvXwYGf3/j5Iur/z4NODB3sPdx7e23/46af36CN68+DB7t5Dmot9Ak3Y7z7c2394QNN1cCD0vE9sBS6592D/gAa7n+6Pacj3CMinBwf7NKd7hNfOzoMHD3bu7+x9eu/+PZrmT8c0cuLbTx/co9kn4DTmewDz8N7O3n1CjF4HL+zc//Qhtdjf373/8P4D+nQfXENtDvbuPyS0H3768OHOLjj6/j4Q3Tn49IBIuPMQH+088JodPAS8+/f8jw52U2K3ew92HxDD7xOD7+wS5H479NoDx3JEAwy7gDR0PiIeuN/56NPxpw/9IaTbD8b7n4afPCSidT95EKBw0GuEjzqQ8FGnO5KfHqz+Rw9BnIcPDx7ce3CwQ7NLXLL3kBTpXatJjx5PquXM+5VV66v8vCEOg2olRVzVs7wmm/CRtBClfPTdx3e9v+SPOIh7AYihhtDhtuFe2Neb2/UFG3CrvmApbtUQ9uRWDWF1btXw09s2JBwf3qoh7Nze0Cx9+3aUE1t5u+7YpN6u6b1e0/dnIDHdt+tv5/ZN2Rm4XVP2GW7XlF2L2zVlD+R2Te/dvin7NENidHJLirNTdKv+xHf6QLEV5+t2/bGPdrum7Mrdril7fLdryo7h7Zru3r4pu5oBGTciEDKDR+NbyhTTJtQu7w8EInQvZBPvtbji4R9qbe4ap59+7QUEd120kDy+S3HIUfL/ADCm9eSjDAAA</t>
  </si>
  <si>
    <t>BA7DB5D61FBCB10CE7044ED22ECEE1EC</t>
  </si>
  <si>
    <t>JChemExcelog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e9+lOZljsG9uV7lRKvU/+91+iX994J++zL4XP570fvry047+uuj9N3eZx9tg5affnpw8On9e/d2P91/8Om9FJ8d7O89eLD3YGf//s7e7sF9+uze+N7+w929nZ2dh5/e29vb3+fPDvbu7+x8untAHz4kMPTZ3vjBw/379N7+g90HD3YE3N7Bwe7DBw/293b2qR2a7YwPdvfu7e7ef7DzYOfh/f0H6fbD8b2d+w8/3d/79P59goFeH44/3ft0d/9g79OH+/cODoha2wfjhwf3Hxzs0OcP9nZ2iXDbD6jLh5/uEuSd/f2H+0T/7U/HDz59uHv/Pr356f1PHxzso9UesNp9+JBaEyb04v3x3qd7BzsH9/d27+99+oAmb3t/vHdv797+g3sHDx7c29/BizSivU9p3DsEbGd/Z4/mlD6jge/u3nu4u0s9fLqzl27fo1Hu3H9wHzS7/3CP0dgfPzj49OHe3j1qfPDwHprtjB/s33uAdz7dvffp/f2dT/EZ9X5wsLNPHT9kIoPi490H93Y+fUho3dt7eH/vwb1ew90HD1Nq9vDTB/sEb4da7e8efNr76MH9dG98/97O/t79B3t7RPZ9gpbS5H26v7uzf7B/7+F9ojHRO/JR98V7kD+ayoN7Dz+9/+AB4bWffkptdvc/vbdz8ODTnQf37z/sfXKQPiDQBHJvb4dmkprcTx8SnIODvV3iu71P731KEkJM8enO/U8P6KNPd+5hGlLiHfqO3iO+IV6jSUGrg0/9jz4lUPfu06zeJwb+9OH9g10maUBmggGK0rf37x0Qbx3Q3FHfaEcTs/uQ3ryHjvdI7q4hFztj6uDB3i4NFMzw6c4BkXXn3sOHO/f3qJ+9HSIwoUfCQ3zxcO/+/f2DnR0iDBHsgF6kFtTywf79+6DqQ/DiQwJOckKv4aNP9w8ePiAiEdYElQm9S2QnVqf/iGCfAjhmg+ThwQGx9/3d+/vpDg30AY3vIVD6lMRsl0Dde7BznwTpYJ/oeP/Bp/fpxfs0gSQiD+6TfOwSxxB0kvF94qSdT+8RQ91/kO6Pd2lmqfN9mqhPaQj71IhosHcPfEovkqCDSe4TVPrw3r0H+5Bh+mSX2j48IJ48oGf/IfiNVMXBg929h8SV+zTxhOd9ohsN5VPMNUHARw93aBb2iIGJSUFTem9/58GnBw+IVA9JuXz6KXM4ccDDeyATkYy0A/ELZo5woskmMlI7moRdiCDRnDrdOfiU+trfeYiPdh54zQ4eAt79e/5HB7uEyR5R5QGEm4a/s0uQ++0esuB3wO3hswOMy+uiB47G3wX3cKcP7iFJfufdnYdkV3rvkp0hqjy8R8OFUBJtiA1BE5o9wpO4kaR1nyYRXdwjSA/ufUrMvQdm4s92iLkPSGsTi++TbEEtkeK8R8prj+aSQHxK3EAy95C+/ZQU2v4OTQ7afPqAYJHok1gdPCT7edca0KPHk2o5835li/oqP2/21Kh+lFb1LK/J8uNFNIk0hCW0Dfc2NISBvhVEmPFbQYSxvxVEuAS3grjnN9wEER7GrRrCD7lV1/BEdm7dcvdWnYvrc7um7CHdqn9uerupFH/rdlDZLbsdVPbebgeVnbzbQWVf8HZQ94OmG6HCe3TzulGS2Am9XVP2VW+Fq7i0t4PKnu/tmrKDfDsEdoOmG6Gyy327puyZ3w4BduBvB5X9/NtB3Q+aboSKyOB2PCABxu2achxyK1y56e14QKKa2zXdR/Bzu6YcI92uKYdSt2vKEdftmu7fuimk4N7tJhaKaP92E2siwn5T/qFm+K6JeenXXjx81wXLyeO7FIYfJf8PGMjs06IPAAA=</t>
  </si>
  <si>
    <t>84140EAAC3DD096991AEBD29C09F2BD8</t>
  </si>
  <si>
    <t>JChemExcelm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Pv/vU5f0L9f0r9ffpS+2/vso22iwMHD+w8+vb+39+DewacHD+6l2zvje7v+ZwcH6e54b29nf+/e/oMHe5/u3tulXvfGu3v3P93do3YPHu4+2Evvje8/3Nm79/BgZ+fg4NO9+w/S/fFD+nv34CEB2t3fe5h+OqaP71OL/f37BG3v094n/ZdigDt97z78NO2N5CGNZG/86V7w2X66fW9876H32cPeJwcPPu3T4CGR95oIRkxwb+fg/r29nU/v3dvd2X+wc+8++r63s3ewd//h7v39h58+JNx7nz3c2QXUnfufPrz38MH+/u59Ar+7/wAfEji/4f10Z7x378Hug/2dg/371N/Ow/37vXYHDw8wwJ0HwWcP8NnBfv+zoN3DnU/x2f39gwe7ezs0vHuEEJPr3qf3d6jLB/f27u/s7fc/ogkiej18sLN7gCHs3r+3c/+gT4BP7/WbPTwgZr9ruf3o8aRazrxfmf1f5efNnkrAR2lVz/KaxBQvokmkIeTkVg0hTbbh3oaGkLlbQYRk3goi5PdWECHlt4IIXXAriKwxbgXyftByE0xRQbdqeu/WLaHObjfjovlu15QV5K2Gz01vN++MgJt5ryn/UJa+a5Q9/dozBHedlUge3yX7c5T8P7F6+p2bBgAA</t>
  </si>
  <si>
    <t>578A085E739A2623401EE93DB9AED730</t>
  </si>
  <si>
    <t>JChemExcels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LOPnqQn9r8X9P8vvb/DT194f335Ufpu77OPPh1/+unBvYf3P915uLu/s/vg07T7yQOi2b17+w92P90/eHBvd293fzfdH+/s7O7ce3Dv0/v7B/u7O/fTPXrrwb37B3v79NmnOw9ibQ7ok72dB/sP7u08/PSAxviQAN9/cP/ewf29Bw8/3dv/NPIJTeennz7cv7f38ME+fbB3sNf/qPdav697vXH1R7rffWvnQQTy7h41ure7u0dN9u/v3aN5271HrT598JCIc7B3sHPv/l70o/3xpw929h/s3KPOdg7uHdCLnxKs/d39h/uf7j689+k+NXpA7z2gV+4f3Hvw6f7+/fvRj/rv9YH3SdCbyI/Sa+KBbRKJ+/sP/Sfdhhjt+B8dpNsPx3v3Oh+h2S5/s59G4Qy80wXde/VB9NUH40/9Tx4+uJ9ufzp+uBd82G/2kFvd2/EeEr1tosdD/7O9dJvIuMdfHHTevw09HsQRvM2r70EWYsB7u93PbtPuoXy2R6rrrtVdR48n1XLm/crK7FV+3hBnQJkRk1T1LK9JC38kLUQNHn378V3vL/kjDuJeAGKoIbTmrRpCt9624ae3akg4PrhVQ2jzWzWEzrcN9zY33N25FUgxILdrynbmdk3ZHN0KVbFat4PKxu12UNkG3g4qm8rbQd0Lmt5I13BW0eb9uFys9+36YyN/u1Gg6e2mXFyGW0EVz+J2UNkBuR1U9lNuB5XdmdtB3Q2abqQr/KNbt4yKMf9QXXjXOIH0a89BvOu8x+TxXfJLj5L/B3+jyhyzCgAA</t>
  </si>
  <si>
    <t>F8D3B7FB2E2CA5003E3CFCD1FC44DCE7</t>
  </si>
  <si>
    <t>JChemExcelA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3qSvkhfp1/Sf/L7ifmv/Ch9t/fZR9t7408/fXDv/sHe/r1P73+682DvXrpN2N+79+mDh7t7uwd7Bzv3Pv008tl+uv3p+P7Bp/f3DnYfPjjYf7h/7+Hp9i413Rk/PKD/9h7uHjzcfbD3YOdB2vno04efpl2A+/u9j+49SAm/nb3793c+3X948Om9B/u7D/epk/tpB+1PH6b7452d3Z17D+jv/YP93Z39+7GP+u/dp073H+x+un/w4B51TCS8Bl12xwf0GZEDg9ujz7lbGtuDBzveQ+QnFO/tPPSeA0L73njnQfAZkXV/vHf/4YOdg/39vf2de3t796Mf9aDd414/9T97uIsJObh/cPDp/qd7hOWn9x4+2Gfq05h3H+4Spe7fI4gPPr1v5qQDIdLTwwjaMpQDf8g794lR71pOPXo8qZYz71dm3Vf5ebOn3PtRWtWzvCYRw4toEmkIHrcN9zY0hCTcCiLk5VYQqeGnt2344FZdQ0JvBRFyfCuIe7dteAC1cKuWoj1uhaYomdtBZV10K6gPgpY3Ao3OOv9Q5rtrVCr92lO3d50uTh7fJS1/lPw//GMs8wEGAAA=</t>
  </si>
  <si>
    <t>73870B37D10A580A9D796EE630F20853</t>
  </si>
  <si>
    <t>JChemExcel9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Iv0xP/vzLFRy/CD+m/1/SpfN759qP03R7ReWf86acP9+/tPXyw/+ne/t6Dh2nko4fje/fuP7h/7+A+/UWf3Yt8cjDe2dnbebD/4N7Ow08P9nYepp8SnIN7D+9/uvNwd39n98Fe5JP+W/cJ8v6D3U/3Dx7c293bvXc/hlD3o4N0d48g3dvdJRCf7t/fu0fU371HoD598JCgHOwd7ADS/vjTBzv7D3buUe87B/cOPk13P6X39nf3H+5/uvvw3qf7e+nuA3rtAb1x/+Deg0/39+/Tewf03u79nQcPdu7ff7i3//Be9KPOizHge8SrO/d3D2isD/b3doh66e7D8d698CNq9eCB/9Gn6R4x8b2Dg0/vP9yn3g7uf7of/agPfm+PEN27v0+o7u48+PTTyAf79NKne3v7uw/3Hu7sf0oMF/uo91q3+whCH6XXxGTbRPa9He+5l25/Ot791P9oHx89vNdpdTDef5BuE4H2/S/2zBfdN0jceoD35H3zL3HOg4PgHb+X3u+fPvQf/uKe/8mBQqQfu+P7+53Wm77aGx8chNyJ5nu7ROudgwcHuw92H356j9vd2+2+e29MnLsNbt7rfhX7DCTxPzrgzx72BoKx+58RIcCcAeqfDrTrwSP9edcq0KPHk2o5835ljfoqP2/2VKl+lFb1LK9JI+FFNIk0hCa8VUMoaNtwb0NDqPFbQYSyvxVEmIRbQYThuBXEe37DTRCp64e3agjLtHOrlmLUboUmN73dPIqJvF1TtqS3a8oG93ZN2S7fblhsvm8Hla387aCyM3A7qOwz3A7q/aDpRqjwMtzEbpQ6dlZuhQA3dRN7Y9PbTax4SLdryo7U7RBA09tNrLhlt2vK3tvtmrKTd6um4gverim7jLdrqp7lLZpiWPGm/EM1+13jRtOvPRf7rvO/k8d3ybM/Sv4f7gLuavULAAA=</t>
  </si>
  <si>
    <t>D16300296BC12DF13A4E5A0E2A6DA577</t>
  </si>
  <si>
    <t>JChemExcel7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cV/L1L384X+9SL98qP03R6Gfu/evU8fPNzd2z3YO9i5d+9+uv1wfP/T+wf37+3dP3iwv0s/Trd3P023d8cP9x/sHhwcPDjYebD/cH/nU/r8ftqDcC/dG3/66YN79w/29u99ev/TnU8PDmIfdV/cT4m0/P/t7lf9Xu4/6IJ8sHO/18vDB+n+eGdnd+feA/pg/2B/d+dBD9SDj9JrosT2/fG9g4f+k27vjz/dS7fvjXcO0u298b2d4OtP+ZsH/Vd2Ox/tjB98Gny0y6PcHd/fJ4zv7e54z24a6Yda3usAoK7xFQ1hd3/v4cOdvU95krovH6T3xgf7wbufEq/dtcx29HhSLWfer8x9r/LzZk8Z8KO0qmd5TayCF9Ek0hBsequGYOZbNQTL36ohBONWDXdv25C6fnCrhpBG23BvQ0PI7K0gsmTfCiRa7t4KpqiJ2zVlbXKr/h8ELW8EertJZ1Sj084/lE3vGv1Jv/Z0612neJPHd0mlHyX/D4rMyKXuBQAA</t>
  </si>
  <si>
    <t>51017C77B3E738C06873C17EDEC52230</t>
  </si>
  <si>
    <t>JChemExcelQ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f6/TL+m/F/Qb/n3hf/dR+m7vs4/uj3fu7e/dv3//3qcHBw929h+k3U8+TT8d3/v0wcN7+5/eP3iwe3/noPfBXuSle+MHOzv3H3y6Tw3uP9zZ7X8Qe2f/YfDJPerq/oPN+D3oQd5N9wjBTw8ePth7eG/v3s7DB/cP+o3ux1rtjfcPdh8e7H5678G9+/s7nx7spzTn9+/tHOw+uL//4N6nu/c+3Uu3d8a7nz58sPuA/vcpgft0l9rRhw/vBR8+xGf3HjzYebhHsHb3Pr23e+8ewdt5uL9/8PD+wc6Dg/17+/fufZRe00xs08Ae7KHrvYc796klYbj96fjT3e5nD8b3DvzP0u2D8cO98JOH408fbm6z2wdEHxGH793zP9u75Wf00d74QYA/fXRvfH//5lY08B4e98cH9zvNgO7B/d0dIu+DXeKBA/rsYLx/7/7DB0TrvYMHD+5/ep8/29v5dP/+7u7O3sNPPyVOoc8+HR882KOZoandpUHvcQ/794gkn+5T53uf7hL7be/ujx8e0GTTpDz89N69e/f3SHbvWuE9ejypljPvV5bmV/l5s6cC/VFa1bO8Jq2DF9Ek0hBibxvubWgI5XAriFAht4IIRXMriFBHt4K45zfcBJG6PrhVQ+jAW3UNLbhz65a7t+pc1O7tmrJ2vlX/3PR2Uym6/nZN2STcrilbjts1ZQNzu6Zsh27XlM3VrZoaq3aLpqBAvCn/UEm9a0wy/doz13edLU8e3yUv4Sj5fwD6ic1bQQgAAA==</t>
  </si>
  <si>
    <t>E65A0441CEBEEE8FFFE13EE7907E0143</t>
  </si>
  <si>
    <t>JChemExcelR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tu/u9L+q/z2Ufpu73PPtreG3/66YN79w/29u99ev/TnQc799NtIsK9e58+eLi7t3uwd7Bz71N89Om9g53dvU/393Yf7u7u7OyebhPG3Zb3HvQ/updSJ/f2Hzy4t3vvYP8evbq7e4/f7nX0IO3hE/uM8NkfExx6gT7YP9jf3Tnof7RPHdynDvYf7H66f0C971H/6fanBOzg3kOC83B3f2f3wf3+Rwe9F/f30+0Dgr+382D/wb2dh58e0LRsP6RG9x/cv3dwf+/Bw0/39j/tNdp5mHaQp47SHqaRT3qvHaT3xvce7tzb39+/T/9+em9/B/R/uL9/78EezdHDT+8Dif5HD3svfpReY+rvjXcePPQfnqidzkfdVgcyn0EzItjO+MGn/kc0SSSY+4T6PpFol7re27kvs95t+pCI+2BMzXb39+7v7927f3/v4UO0BYj794Kmu/z6gx3v2fuUEdr1P9tlvA/8j+5Fmn3ah3b/IThpl9rtPdjdfUDo7336UPDuQnwQgXhwH69/uhd8lj4cE9z7D4lb7u0dHBw8kMH1CEFz3CftvfgU7I/37z18cO/h3kOSqL0H+ywT4Ucsnvf9T6iD3kek7x7fterr6PGkWs68X1mfvcrPmz1VaR+lVT3La9K7eBFNIg2h+GzDvQ0NoR5vBRFK9FYQoWpvBREK+VYQ9/yGmyBCv9+qIazArbqGHdi5FUgxKbcCKpbndlDZQN0OKtux20Flc3c7qDtB041QgcDtpl7s7O0QQNPbzSoMuJvWjf2zbb9VU3EBbteUPYVbNd2/dUtxPW7f9JYcAALcclrRNDqt/ENV1V3jldGvPY/trnPnksd3yVE8Sv4fR/XGvkQKAAA=</t>
  </si>
  <si>
    <t>2CAE0190804C76AF253358AE600DF937</t>
  </si>
  <si>
    <t>JChemExcelr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eC/v9l+uVH6bu9zz7aG3/66YN79w/29u99ev/TnQdp94Od+ylhfu/epw8e7u7tHuwd7Ny7n27vj/c+vbdzsPdwf29v997Ozr390+3dT9Pt3fHB3u7+/Yef7j988OD+p/sP8PmDPoQ+0E8P6KNPd+49uL97cP/e/f2d+4QDvdxvub/fQxIdP7hHPT7c29/buf/wwaef3se7H6XXe5jG+/cees/Bg3R//PDh/sPdh/s7B5/u7zzYfSjo74wffOq3fPiQunq4s3//wYNP93Z2Dg4+/fRTGSnBBBr3dsLW98YH+8Enn1JXeNU9u+k2vUf/3hvvHPhfEKXx2YPgfWKAu5YDjh5PquXM+5VZ4lV+3uwpV3yUVvUsr2nMeBFNIg3BO7dqCA67VUPw4a0agltv1XD3tg3B/LdqCBG5VUMa9cNbNWRxsy33bmi5G4PJP3RC7xrxp197quGu0xvJ47ukkY6S/wfGIAsQrQQAAA==</t>
  </si>
  <si>
    <t>33D1328F285B81176A204FD1E4A8B8CB</t>
  </si>
  <si>
    <t>JChemExcelK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2/3tB//l/v06/pP/w2TP891H6bg/Eu3fv3qcPHu7u7R7sHezco967H1Hne+NPP31w7/7B3v69T+9/uvPpp5/2Pjrov/dpun1vvLO/t/dgd+/h/YcP9+/t3d8/3aaB0ue7e/d27+89eHCw8+nug335uAdhn7q5/+Dh/U/v7z28t/vp/f37u+h5d6fTz874/qf+R/fok52DBw8eUr87+w+pi3u76TaBf/Dpwb39nYP9T3fuPSSCbhP4vV3CYnf3/sG9h7s7B0Dt4cH9hzv7u/d3HhI2+/ep2f743s6nOwcHu/f3AfOhjODTXfqWxnH/Po3iIeB/+vDBzu4BNdz/9N7eAxDg/vjBg50Hu/d3Dx4eHDy4fw+DfzCmd+4RXfb2Hx7s7Xz6EM32Hu4f7D2kt+/f39klntj+dLy3/+mnO7v3Pt1Fw/u7KRGTQH96sE/jv3+wv79Hnzzc3d+5/+BTAk4PtdkdP/h0j6Du3Xu4s7e7Q2PcHxPVHxDpDnY/fXj/4NOd+x+l1zTz98YH93f85z5R9h4g3N/3PyaK71LTg92d+0S8Pfr3/oP7Mos71NlD7zk4SB+Mdx8SHff29+7f27nHDR/0QFJXRPl7O/67D0HSPSbUHo3k3s7+zgMQnmaVEL+3d+9TIsL+vfv9z/b7bx4A/oN7DwmF3d0HuzRlBw+ZGwnfB58Sbjs0x5+CJ+jNh/cOaP4ePPyUJgCEJxJipnYePKDZpSnHNNJI7z+gmfqUsNq7f39351O027tH/EWUoTncoz6ExXaJK8BfxAcP7t3bx7sH94hkB/v00f69e7s0bztjAvsQsrP7cPcexG6PMaa5e0ADO9h7QKIBrni4R91ikA8/xWjBOzSe+8QFn1KXDwnv++CUg3s7Bw93HxBvPwQz480dmqldmq5P0cf9e/dJR921Suro8aRazrxfWWu9ys+bPVVcH6VVPctrUhB4EU0iDaHebMO9DQ2hBG8FEaryVhChUG8FEWr3VhD3/IabIFLXB7dqCF1/q67ZItwKpBiOWwEV+3IrqAe3bikG63ZN2a7dDlU2f7eDylbydlDZmN4OKtvc20G9FzTdCBUIOA7Y2JSN/e0QQNNbsgCa3nJi4WncbmLFEbl909tNLDeNijT/UF111zhf9GvPMbvrvLbk8V3yB4+S/wdjnf8GKwoAAA==</t>
  </si>
  <si>
    <t>5BC8CB5C08CF6C9DDBAB970171DB869D</t>
  </si>
  <si>
    <t>JChemExcelN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+939z5K8zJHz2+uVzkNJJX/vkxf0H/2r4/Sd3uffbS9M957cO/g0/s7+/d2Pr2/d+/eftr/bDclCt1/eLC7v/Pg4MGnewc7e/fTvfG9h/f2H97b26Gvdg7uPfg0vTd+sPdg98Hevb29/d2DAwLSb9UDdQ9tdu4/2CGgO7v0794etTnY89vs30sJqYPgI+C5e/DpzoO9nYd79x/sf7p7/+Gn6fbumBD/9OHD3b0Hn376cPf+3oOP0msa6f3xw3s7gL6/f/Dp3u7+brpPqIWf3Bt/uhd88mmv0b1eI6JYFzaGtHMQwt4d7z7YP9jde3j/UyLog3v37jOhgzHd2/+0/+H+/d67IFA4yh3iucd3LcccPZ5Uy5n3K7PQq/y82VMu+iit6lleE+/jRTSJNASv3aohOPJWDcG3tuHe5oaf3goidf0gaIgWIklH35W39K9BEJChW/UFSbtVQ5bHW7UUsb1V0we3bmn0QJ/O/EP54q5RQ/RrT0XddforeXyXNONR8v8ALVVpfzUFAAA=</t>
  </si>
  <si>
    <t>92FBC352D27D424C7867AB1590596877</t>
  </si>
  <si>
    <t>JChemExcel0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6v/3IvhLPnnB/9L/P0rf7X320d744NNP7+/v7e7v7e8eHOx/mu6O79/bO/j03s7ezv2HOweEys549+HD3YN7Bw8PHny69+DB/YcH/c929ntv7txL++D3x3s7O3t7u3uf0kefHhzsEnXv37v3cGfn3sGnOw/2H9I4t3fHu/f29x/e39u7t/Pp/b37D/fT7b0xNd99sE9fHDy8t/dwn9rdGx/s7B7cv7f/6acP9nbRebpNk3XvPiFy/+Dg/v7De5/uRz+KvdnrId3+lD56uLe7+4AG8+DBvYcP0+0H9ObeAY3v3h6NkxpH0GWa7e7SqB7uH+xRBzSCvXR7Z0x9e+0O7uPdhzvBu8Dj3gFRg17f39/Z+/TBw4/Sa5qqbcDcf/jw4IDI/enBw70HRGD6kMjqf8ifhQ0PiG92x/t793d2dnf39vbv7e48ILbaozn0P9rrNSIe6zbi9x5+GnzUx+Jgv4/Fg4cRbHcj7e718fj0FsgS43Qb3XvQQ3ZfJnovwBb8cO8eMcTB7qef7jx8eO8etdofP6DZ272/Ry8/vHcAwnY/2u+/+ICE/q6V+qPHk2o5835lNfAqP2/2VBN8lFb1LK9JEvEimkQaQl/YhrsbGkKr3AoidM+tIEJD3Qrirt9wE0QovFs1hFq0De9tHvXDW0FkFXurlqKJbzdwVti3g8p6/XZQWf3fDipbidtB3QmaboQKBG43o2KebjVVmAE3qRuBsq27XVM2ibcigFjOW0E1BvYWUIGr19SDyj9U/u8aD4F+7XkPd51rkTy+S07LUfL/ANXcBqrQCAAA</t>
  </si>
  <si>
    <t>63DB2EC5299C8352049BE3EBC8B5BBE2</t>
  </si>
  <si>
    <t>JChemExcelh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Kv+90J/+3+b/+slH6bs9EOnhzv7+w/t7e/d2Pr2/d/9hujveved/cpDujO996n/yIN3eGe8+fLh7cO/g4cGDT/cePHiwcy/d3h3fv7d38Om9nb2d+w93DnYJ273x/qcHuw/2CeLBw3t7D+/1PqGh3Rsf7Owe3L+3/+mnD/Z27+19ug+K37tP0O4fHNzff3jv03v9T+733jv4NP2UoD/c2919sLtz78GDew8fRj55MH6we3/n4YMDQmN3/4CwfDDeuxe2uT/+9GH3Exo+dX//3sMd+vugjzU1ubcffrI33vs0/KT7Vn8U+59+lF7TzBChdujPvZ2dnU937tF/aPrg3v2dnd3dvb39e7s0FyDLzqcHnx7s7O3v0+Tt7uxSnw8/9Rvt79NHuw+Dj9L98f0d/xNQbmc/aHOfPjrY3dzoQQ/Qgx6Sn2LQ4UcPehgRT+2O94ibiGnuEYXpkwPmsgc0Qff3qOHDewcPDh7cj3z4cC/y7sGYuCXA/TafPBwfBGgRVrvj/XA4JNR3rVQfPZ5Uy5n3K4v5q/y82VNJ/yit6llek6ThRTSJNIQ+uG3D/Vs1hG6xDe9thvjprSBCT9mGexsaQpvdCiJ03q0gsma8FUhRoLcC+mnQ8kagt5tIUdy3a8r6/XZN2QzcalRiLW4HlY3K7aDeC5reMKm7t5t+MWa3brp3Sw5A09vNq7GgfSnhHyrVd41dp197Nv+ucwiSx3fJ1ThK/h+rruhbhggAAA==</t>
  </si>
  <si>
    <t>4716DA9D391EC967E1AF7A7F79888C3A</t>
  </si>
  <si>
    <t>JChemExcelw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jvdfol/Xfi/feM/v9l+iL47IT/fsb/fflR+m7vs48ejPfu7e082H9wb+fhpwd7O5+mB+OdHf+TB+mn408/Pbj38P6nOw9393d2HxDu3Y/26LW9nfATou9e+En3rXuRzm7V/f3xvXv7D3Y/3T94cG93b/feg/4nPRw/fZg+pEb3H9y/d3B/78HDT/f276XEIZ9++nD/3t7DB/v0AX3ca7Tbb/Sg/9H9dHePML+3u7tHeO/f37tH790jUJ8+eEj4HOwd7BB+0Y/67+2PP32ws/+Avt7ZJaIe7KW7n1Kj/d39h/uf7j689+k+sUz3vZ2H0Y/uje/vh9B3xvufBp8cjB888ElOLHZNrLG9O6bBEXccPDggqj/89NPddPveeOdgx3v4o4P7/kd76TbNxsMbPqJZ7H12L93+dPzwXrfZg/ED/6Md6vPheG/f/4g6gLDvdj5Ds+j7JPn3u0jvje8F7+/c5+E+eOg/n6bbO0SuTrv7BG13d/f+LpFz7/6Dg3un2yTY1Mc9/92Deyn1sRPAQ6N9+vjhw/37n35KY9rf2X9IRCcA0tWnQfMHfQifppgT+udgP/gcIvGw//GnsY+298f7uz5fPiAld9dquaPHk2o5835ltfcqP2/2VPN9lFb1LK9JPeNFNIk0hH68VUNo0Vs1hK61Dfc2N/z0tg0f3KpraPdbQYQNuBVEthS3AikG5VZAxe7cCuqDoOVGoOj/dlMJk3e7uRSreCtMuambz41Q2cberimb4tshwBb7dlDZsN8Kqtj/W0EVN+FWUDEsr+lGqEDglvPK/olteu8mCriJ3QiVvZ3bN73dxHJTN7E3sOtedF75h2rAu8YnpF97/uJd50wmj++Sm3qU/D9fL3kwwgoAAA==</t>
  </si>
  <si>
    <t>A71FE6CCCF5AC533DEA07DA2AE38AFA9</t>
  </si>
  <si>
    <t>JChemExcelKR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f79j9K8zDHYN9ernGiXbv7vS/rP/X6SvnbflekL/VD+e2F/45fKj9J3e599tL37YHz/4cHuvYPd/YcPP93beZBu7346vvfgwcG9e7sP7z14uP/gU/pof/zw/v7u/v7Og4O9Tz/d20Oze+MH9+4d3Hu4u7e38/DgIRFue3dvfG93Z/f+zs7Op/cf7Nx7cECfEVMcPDzYv79zf2d/5x59kW4/HH/66ae79+8/vLd/8GD/PtGLPtr/dO/Bg90HD+7f36W+99Ltg/HOvYc71OH9h/Q+YH06Ptg9eEDPDiH8YP/T+wTr/vjew/s7Bwf3Dw72Dg4eEt2398f0JY3g03t7u3u7n9I0bu+NH9zf3Xm4f3+XoN0joNRsd3z/Hg3o4f1Pd/b37j/49AG12yG+fLC7s7O/v3/w8MHevf37B+ku8eK9vR16d3fvwc7Owc5+ujN+SGPe27l3f5cwPPiU0N0jaJ9S/5/uffrgIX2yT5882N+hMT2gv4jI93YBil4guAd7Dx8+3Lu/++A+fUTd3Lv/KZHw3v17D4gi6b3x7v6Dnf1Pd3f2aVAE7yDdH9/79AH1toMPH94/uEef7H567+Gnnz7c2f30gMZ6n2Tm3sH+3oPdg/sPDu7fJywgRQeE3gMCvv9wf/9TgnyPZuHezt6n+3v7ID4huXtvZ3ePKHGw84BIRcTaGT/Y+XT/3qe7hCFN/72DT6nVPcKR6Pfpg33C8SGRYH/84MH+LvPIgwd7OyQbxCQ0e0QT4ol79/aIy4lF7j/YfUhzs/eQ6L5HzP7peH+H3qJJ3ScWoDfTB+MHhMLOfZpVQmmHCH4wpum8f0Cd0eB2Hu7ikz0awqf3dw8ILnHFLsEhzDCOB4T4PaIVDfbBp/s0UqLqDmG+c0C03SGS7O0T4faB0j0SVmJHmtu9B/f3PqVWJOnEsw9pHJ/u7xLr7gP0zpgGsXOfZpemjD5/+JA+2iHpOLj3gGSAqH6wT2xGokPc5b2491F6DZkiIu/vAPjDnb09YktSJcSSeyRLBxCYfeJN0hbU7NOHe8SjPD/7REG0+vQe8QThTqS+R7OPj3bQJZGDWHfvPpGZPiIEaOjEWIT4vU8hUcQfD4kVwFlEFpJKsPwByQnofu/TnV2iNj6iMRBH7jwkOd55eI+x2CMO+5QmiHiLPr6HVuiPmOPh/b0D8ABa3X+w//AeyeHB/XuEHIN/eAAo+w+JmPQfGtGvoMjBpyT/+0TbHin6lLgHCT7YIREn5UKztr+7cy9KG2LUT4kIpJUOPv10n/CFABPqpDaIefYhYUQImnBSPvsHn5JE0IwffHqPPiIohNTuAxoATROUBs3nfRo3cf69A+INogrpaCiEBwek1B7skCYh+u+w4iCm290jbQB4u6SsenNC/Lk3Ji4gOaV+9/fu4W0WNVIvRIndT4kq96AhHtBkkB6kcTzc/XQHMgwik+Ddp4akNvEWoU/64x4JKJQcDWl/fH/vwb2dhzv3ifeJIyHWNJsEeW8fhCA2ZXNJXI2x0JAeyGvUOykgUrokoUQP6IedT3dIqEgN7hBlPoUQ7T2EiJLGw1sH9MmnxFKkPndJYEitPYB4Htyj0YNvdkkKoYtIl5Bq3IWKpel5QG/RBJI470Bo9/ce7lNfYCZiB5CDRA16jjQCiQnN6MGnID3sCunze/cPaOSkEki672MCd8iG37VG/OjxpFrOvF/Zqr/Kz5s9NewfpVU9y2vyPvAimkQawhrfqiFM8a0awpW4VUM4HLdqCLfkVg3hvNyqIVycWzVkR+hWLcVful1Tdqtu15S9r9s1ZSftdk3Zl7tdU3b5bteUPUPbdO+mprebKvEzb9eU3dFbNRWv9XZN2bm9XVP2gW/XlF3lWzXlYd2uqTjft2vKPvrtmmJYt5NA8fhv15QDg1s3vXfLiUUocbuJlWjkdk05aLkVa3PT283WvX2EQLdrypHS7ZpyQHW7phx33a7p/u2bciR3u6afIuC7VVOJC2/XlMPHWzWFcO/fUmKBQHRi+Yda4rsm9KZfe2H5XRezJ4/vUjbgKPl/ALhh/qQpEAAA</t>
  </si>
  <si>
    <t>A64E432E618A1242E33253009D0A391F</t>
  </si>
  <si>
    <t>JChemExcelS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998L+v+X3t8n/PeL9MuP0nd7n320vTf+9NMH9+4f7O3f+/T+pzufPthPe58d3Eu3abj37n364OHu3u7B3sEO/ZHujff3Hn768AE1uL+/s7N7f/90m3Cjjw8ODh7u3995sHv/wYM9+bQHYO/TtPvRwV7a6frBvd4ne/fS/TH1tnPvAX2wf7C/u/OQ5uPevf0Hu5/uHzy4R9D299NP6bWDew/pjYe7+zu7Dx7eTw/otb2dB/sP7u08/PRgj0j4kF67/+D+vYP7ew8efrp3fy+laf/004f79/YePtj/dG9/7+Ag3d2j9+7t7u7RW/v39+7t7UY/ujcOxnL/Ybq7P/70wc7+g517hMAOIXPvo/SaaH5vvHNAY/h096H3HGAMB/4nD3ttHqb06oPgk0+JPvd2b/HuQe9dmtXua320HvTaPOi1+fTTWzTqAzqgOXq4F35yi7dIhO5aGTp6PKmWM+9XFqpX+Xmzp3L1UVrVs7z+7KM9vIgmkYaQPttwd0NDyOitIEKSbwUR8n4riLt+w00QqesHt2oIJXOrhlBFt8IRymjnViBFr92uKau/2zVlLXm7pqxMb9eUde7tmrJqvl1T1uC3Iis3vd1UGXvQb8o/VFLuGstEv/as1l1n0pLHd8lYHiX/Dy7va39IBwAA</t>
  </si>
  <si>
    <t>C97D1676A1C66C16B0CFA96D31A49F74</t>
  </si>
  <si>
    <t>JChemExcelZ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U/32p/76gf1/w7+a3Lz9K3+199tH2zvjB/r0Hn3766c6nu/c+vb+/t5vujHc/3d3f2/v0YO/ew3sHn3568CDttdvZT7f3xns7B9Tk0/3dvXu7Ow8efNr/7GG6fW+8T3AfPDzY3bv/6cH+w4N9fLb38N69nfsPHzwkcPd29z5FF3ufPjg42Nm/t//g4cPdvZ2d++n27nj3wb2dTx8+2Lt3b+/h/b0H93oNd6kTavbw0wf7hN4OtdrfPfi099GD++ne+P69nf29+w/29gi7fYKW3hsfEKo7+wf79x7e390/OLgf+6j74r0+qHsfpddEUHr54cP9+w8/vXfv052HhOM+Nf30/r37D+7tf7q3R8M4+PQe4ba/84Douvdw5+G9/Yef8kcHB36r/XuEyP5e8NGn6f743t7Bg0/3HtzfOdghmu4RPx58unNv79P9TwnMQ4IG+uzc//ThvYcP9vd37z+8/2Bn5+E+KHlvZ+9g7/7D3fvU48OHO7uYrfv7Bw+I1AefHtzb3995iI92HnjNDh4C3v17/kcH4JG9ew92H+zvHOzf37m3s0uQ++0eMo90wO3hs4P9Thc0roPgI5KOu1Y8jh5PquXM+5Xl5VV+3uypyHyUVvUsr0nQ8SKaRBpCsG7VEOJ3q4YQ0ls13L1tQ8h80BAtRG0cfVve0r8GQUBn3KovGubBB/YFzXSrvlh/2ZZ7m0jFau5WQEUb3grqQdByI1BWr7drylr4dk1ZWd8KVdHpt4O6e/umaiX6CPAPFa67xnDRrz2jdtdZvOTxXbKlR8n/A5cxeJZnBwAA</t>
  </si>
  <si>
    <t>AEEBA11B34FB14BEC2DFE37BAFDEF7F3</t>
  </si>
  <si>
    <t>JChemExcel/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Kn77wX/+6X990vvU/3vo/Td3mcf7Y0ffnpv9+H9nb0H+w/u7e49+DTdH+8f7Ow83DnYfXiw9+nDvYP00/HO/sH+/qf37z3Y2z04eLiXPhjvPNx7cHCwv/Ppw/v7ew93qc29h3uf7t17+ODezr0Hu3sP7xOgBzvU/N7+p5/u7t9/SMjvj+/vP3ywt7fz4OEetXiY3hvvP9ylvx7u7u5+uk+YpLtjfLC3Q93tHRACe+nO+NP7+w/2H97bvX9AaH1KRKFGew8/Pdjd3d/bxQf37qc0kPs7D3YP6B8ayP69Bw/Sg/Gnuwc7e/cIsXt7O7sPH6YPx/c/3T94cPCQwOztfnp/j9o8PPh0/+HDT3fu3b//YPfhpynxAfWyu0sjuf/w4MF9/uSABrBLKNGoHz6gWdq9N753b+fg3sN796nH+w/v7eGj+/v37j94CLLdx+fp7j69+HB/Z2efEKD/Dvbw0YNdIhCNcO/epzt7NLOAtXf//r096us+dYAe94ji1NHufRr0vZ39+w/wEY2fRvbg/t7+Dij9UXpNE7hNbL1z7+EBYUJjAFn3H+ym9Ok9Qnf/4acP6O/9nX2aV7R8uEvDJxLsADgRIt3eHe89oAm4/2Dv3v3dezRb9PLe+AFNKY1m7/7Owc4BcQg+o5klej78dH//gL4jNqV3Dw4IPg1kl+buwT5hvn1vvLdLVKCppOb7Dx7s7OHdT4mTdh/iGyLCp/todv/BvQef7t3HzN8nCjG4XczO7oMHBHJ398E+dwuq7+7uEZY0mPv37qHdDnHC/fuE7INPP6URo9neg737Dw7AWZ/u7BDDoItPHz4kDiVupPm8TxRGO5qsg3sH9wih3b196gRkebCzc3B/D9N0nzq9t4/PHn5K7xKb7u8RSWgKGBVisYO9h4TI/kPQGn3QWO9/+oAISuxE8nM/3aZJf3jvwc49Yoz9/T2aDfrsPjEecSkxGjH/vXtAD9JBoyVJ2/uUfmAu7hEBMMU7xGs71HR3n7TJXatOjh5PquXM+5X1y6v8vNlTFfNRWtWzvCbFiBfRJNIQiuhWDaGubtUQSu1WDaH6btUQCvJWDfe6DdFC9PHRd+Ut/WsQBDTxrfqCvr5VQ9bqtuXeDS13bwVz9/Yt2Zjcqumnt24Jo3Q7rhEbdrumbOpuRShuejveEcN5O6hsX28Hlc3w7Zqytb4VAmLUbwVVbP/toLKLcDuo6kncAioP65YT++lQU/6hKuyucafo156rddf5Ycnju+ThHSX/D9dJIPL9CQAA</t>
  </si>
  <si>
    <t>906915ED692FBFD7C0AEDC569A9F0A65</t>
  </si>
  <si>
    <t>JChemExcelN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epJ+qf/v/vdCf35pf5O/TNsv9c0vP0rf7X320TZI++n+7sHB/u7+vf1PP91Lt++NHzzYe3Dv4YPdh5/u0CcP6LO98f69hzuf7tx/+ODBg4P7D2mM0c9676bbu9TD/XsHu/sP7j+8v3P//v2D+Ge36WLn0/67nw70cRv0Pt2PfrYz3ts72Hv44NP9+wcPHuw/ePhwL/pZrN/d8f1Pd6kZ/feAPtm9/2nso73xwcP7n1J7+nHvHn22n94b79yn7h8+2Nt7+On9B/cepPv0Hv39YGfvYOfh/QcPHxCj37vnf3JAbe7t7BHIg4f793buEej79NGne3ufPnx48PBg99O9+0SzT8c7Bw/u0Wf09v0HO/v3qLP9Bwd79z89+PTThzT43YP9dPfemPDzWu2lu3vj3XvhixC0T8OPHo4P9jqNIu/tj/f3O9Dvjx920Orj8FF6vQdV8fDTB/uE74Odew/v3d+9BwoSifyP0kijnfH+nv/RPs33zvgeffJgnwhJ871/8OnD/mf3wSy744ODoCF46tP7QTv6bH+8+9D/7AE+evip/xH1+un4/k7wZrr9YEyiFX4UadWF1R/UHs35rQjU/2SfUAhADRDx3v0D4mCiyt6nNK/36KNdYrUHDx7uP/iUWu7de/CA3tzfpzce7Hz6cB/C8PA+dXj/4b2DnZ3dnZ0HxKb7pF2IWvT3/oP9HQK5c2+HufwB/UZvkgSSKH4KdX6PBPfg/j0ShL2H+xCqe/eI7R7u7u0eEOtT29hHZCP4/9sD39H07e3t7O9/urNPM0bScu90e5c1Sth8/4DswF1rCI4eT6rlzPuVLcOr/LzZU+PwUVrVs7wmPsWLaBJpCI1+q4YwNLdqCHNkG+5tbvjprSDCtN2qIQzgrRrCTN6qIRvTW41GbO6tgIppvh1UtuC3g8qG/lZQHwYtbyD9rptNtEQTcU6Oviuv6V/DiLHncavuxEH50P4A5HZ8II7QrWiGpnuOFTbKFLtVt2vK3tftmrKTdrum7MvdrunO7Zvuwzscmpxv325yxL28FcW56e0EXxzVAKqHzMktUWNP91b9iUN8q1Fw01vO8AHc61s1FS/8dgigaTht2pR/qAW5a+IQ+rUXo9x1AUzy+C6FRkfJ/wPDwzo9Ng0AAA==</t>
  </si>
  <si>
    <t>BF3825F5598DE9CFFC185E757B8D071D</t>
  </si>
  <si>
    <t>JChemExcelU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uK/F6n8HPrvS/3P/+xZ+iL7SMhYnsyz+oKg7aS3+297N/IhofZuD1O3d+/B7s7+7sMHu3v39x/sf5pu74z39h7c39s7uPfg4acPdz7d5c/oywc7nx7s7x7s0T87uwR2TK8+/PT+wacP93b29/Yfptt744MHB/d27+0+2L93b//eDn10b/zpvv/Rp/fTbZrmg+AzfPTwvv/Rg16r3R6sXXT46e6Dg/vU/879/d1PPz04AF57uzsPCad79x882Nv5lKZlZ7y7t/fpwYOdg0937t9/+GDv3n66O96//+m9Tz/d23lwcLC/Q/+me+MHD3d29u/f2wM5dvbvfZru05v3Huzt79/fvY9GD4lH9+8/2Afwe/c+PdglZvmUXtvdOdj79OF9oscuEeKA3tp/8Onuwe6DnT0i2f30Ib11sL+/8/DeAaG7txtr04fcRWgfIyYQO/c+pT/2d2geiMT74/2dvU8/JaI93H94nx589IAmcJ8GfO/e/f2HO/dBvPsPaJxEqL1dTDdPF3XygOYVKNzfPbgH4j14eO/+w3s7RGWaWuoYbx48PLh/cMCkI4YgSu3SVNzzx3PwUXpN/IQJeXCw92CH0L5/sHv/Ic8akW73/oMd6nOXPmeMP6WJIAJT34TdA55JIjRRkADu7tG8POCx7u/fO3jw8CHx58H9BySHBIzwJTx2qHvC/T7JXe+z/f6rRDuMbXd3Z2+HZmqH0Pn04N5B5DPilZ17xM00pt0dAruz/+lD5v+He7v3MHF79NseYUw89eDBwaf0/x2atAeYs367T/d67fZJXXztdvfv9drdJ1XVa7cP/iaC+e32eh/t34t/RJx+/4CYGbJx/9P74MOd3U/36fcDUPfhAaFG7EQctrdHgvYpqERStj++T5xK2mHv0/1PiZaQHhCGmOb+/d17xKMPCBLNI039p/d36CH4JD079x9+em+X5JnY68E+pHWH9Pddq8CPHk+q5cz7lTX6q/y82VOl/lFa1bO8Jn2GF9Ek0hCq/7YN92/VEGbkVg1hbGzDvQ0NYZJuBRGG61YQYd5uBZGN4K1A3g9aboIpVvV2Tdn43qr//aDlRqBszW/XlI1+0D/aiFNx9Ebe07+GgbDXcLv+2Lm4XVP2QW7XlF2V2zVlj+Z2TdnxudXccNNbzjjcpXAePRp/+5YUh+8VzvDXAAIdcjuRF3/vVqQQt/B2UNl7vB1UdjJvB5V90dtB3Q+aboT6AN5trCn/UDV91zjp9GvPgb/rvPvk8V2KG46S/wfHM2xoUwwAAA==</t>
  </si>
  <si>
    <t>92554DEAE8F6D6C237DB6FAD6B877926</t>
  </si>
  <si>
    <t>JChemExcelUw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f+ejNC9zjPTN9SonwqX470v670T/+zJ96f3V/e/L9EXwV9jyRfaREL88mWf1BcHfST/sv+3d4E8i/bu9zz7aG99/+On9/U/v7dJ/D/Z2dtPd8cGe+2T34cMHadho9+HBfro/3r0XtOq9d9B77dNPe689oE8e7vif3O99cnC/B/tBujPeOwg+2blHIxzv3b+3f//epwf0397BDs1hr91DNNvZf7B7jxocfPpw54BmtPfRp/fT7b3xPfpzd/fhvZ37uwcHD/Z6H31KwO6NH+zu7z/c3bm/d2+f3iV+6n2223/zHqMbdroT+exebwT3H/Ra7e/0cXuwv99vR8KxMyaKPrh/796ne5/uf3r/wQMSkm3q40EAj6l0sNt5l/rYI/C7Bw8Pdnb2aEp2eaz3HxCknd37u3t7D2jatzGBezsHD3cI6fsPMH/00c6DBzRCfndvd/+A8MAM3f90nxrce3j/U7DLLvELsSDht/Ppg50H6b3xzqf7BzsP94n4NPTdT+9Ro/17B/v37tObD3d26Nf7BIn45YBQpfHfu7e3vw+aUU+fHuzt7D+8T4gCC9IDD8c7ASUPPkqvSQQ+xfsEfXf3wcP7D+lz0mb3H9BsEFd/Sk0/ZXbfu/fw3v09Iit9QUj1Pnlwn3B7SGg9uPfg/h79+SmxADHufQgH9bmDJg8efNr76FOe4nsH93bv3985OKAJ3t95cNADtguShc1InXU/urfHLB98tg+ZBvW9N1k494NWGCT97n9Enxzc9z/5NP10fO+h/8n99MGYKBR8cjB+sBN+8nC8H/S/22vTA8Pcew+zCEnaPdjZv0/6gzhw54H/mUhD2G6fRZBI5rdjvrxPHxFJH9AsEyuQuN0fPzzYvb9DckN8Rlh0P9jZud9/b5/5mYTk4MGnNIgH90A8enMHUk/8sLf7KX3OGoTU0af7O8Qge/vEnmQ/th+MSUrukUgdEIPs0VDx0c6nn+4Tp93fI/jEnvTqwfgeidPDh/TiDjBJtx+SUnlIEkISSYL5KQb+cHxwsEN8v/vp3t4+aeV7eO/Te/t7pHQe7jzc3dvfY1kgo3rXWtWjx5NqOfN+ZTP7Kj9v9tTSfpRW9SyvyT/Ai2gSaQjzeKuGsNq24d7mhvdvBREewK0awk+4VUN4E7dt+PBWDeF97NyqpTgwt2vKfs6tiMlNbzdB4jXdrik7V7dryj7Y7Zqyq3a7puzR3Y4C7PjdDir7h7eCKm7kraCKt3krqBiW1/QmHti73cSKm3u7puwN3wpXbnq7iRXf+nZN2QW/XVP21G/XlB362zX99NZNJUQImqLN6xZhzNF35T39axgIxxi3ojg3veWUIzoJp9xD5tu3RG0fIc+t+pPI6HZNOYC6XVOOs27XlMOx2zXdH2rKP9Qi3jVBKv3aC2Dvuug2eXyX4uaj5P8BEF12LVMPAAA=</t>
  </si>
  <si>
    <t>0BBB408A776442D2EA35784C201A7DFB</t>
  </si>
  <si>
    <t>JChemExcely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NOT9AX9/0v+F/+X/77k/3+ZPqP/TsqP0nd7n320vTd+eG//3v7D3Z1PH+7d2z+4dz/d3h3vf/rwwd7ezoPdg72Dh/sP8dHu/sP79w52Pn3w8NOHn+7s3Evp1b2H9x4e7O48fLi3s//g4ADNHj649+Dhgx1qu39/f39nL92+N35w/+DTnYPde/t7Dx/eo07S7f3xzoODBw/3du8d7NKXD6jZ/fF9wmP34e6De3v371Hf6c743u79nYODh58+2N3bf3jv0/10d3z/052HD+7Te/uf7t27f38/3RsTUgef7t6jzx8+fPBg/x59dO+e32r/PsF68LDz0b3x3r1Pdz/d39/7lAbw4NO9++n++MGnDx7sHezu3z+4//Dhzj59svdgd//g4N7+PhHiHs3FDvW3//Dg3r37Dw4e3t+5d/AQ/e0SUT59uPtwZ4+w3XuQHowf7vuQ7n2UXhO5iWQPDnbpPfp859P9g/sPaEgHO3v3du7RLBCQnU8/xcD3Ht5/SCMlet97uLPz6Q5NCo2ASLpzn0j74P69T+/d3+MZ2N85uE//EJnuEQr30G6PKEp97O3v7366R9NGXewxMgTuAQjAvT7A6Pfv39/bub+79+mn3MMuUfDezu69e3sPD/Z39xmVB3v39+4/3KWG93aJTg/77e7f/xQzT5S8f//B7qcH96gVvdP/jLiXUD4guu7fu3ePOGXnHuGDzx7sPSSWI5IQwN2D+z0KELS9MdHm4d7B/t4+kZ5Gfa/3Ec/zDgnZXStlR48n1XLm/cpi9yo/b/ZU8j5Kq3qW1zQ3eBFNIg0hn7bh7oaGkOJbNYSs36pravjprSBCb9wK4q7fcBNEqKFbNXzYJQ9aiOI7+q68pX9tArG7c6vORCferimrzts1ZQ17q6YPb92SgYb88P6UEZ1/u/4w3pBbvB6+fcv+QN/bMQg3jbII/1Cxu2ssI/3as5p3nUlNHt8lY32U/D9L+JN9yAcAAA==</t>
  </si>
  <si>
    <t>A736570317EC92C5A3BBD9B772EA6FED</t>
  </si>
  <si>
    <t>JChemExcelq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mL9KTzHz75kn/2vis/St/tffbRp+P9B59+erDz8P7ewcHugwcPiBR7n957uPvpzsH+w517Dx/c30/3xzu7O/cPDvYeHNzbvbd3P90b7+/u46+9T/cf3t+5v/cg3R1/ur//YHfv0/sHn95/uH/v3gG1Otjdvffp/v379/Z3qD3B2T+4/2D34d693Z3dTx/s30vvjQ8e0jf37x/s7e/d23tI79y7v/Pw4ae7u3sHD/Yf3H/4KbXZJ9D7Bw8P9h/s79ynDtOd8cE+fXhwsPPgAf3y8GG6vTPePbh/sEtAPt3Zf/Bwf/dgn5rtPdzZeXDvYJ9G93D/wQG1Izwf7u0S3Hu7uw8OdnbupdvUJ71LOH66e393/8G9T++n24TY/Z2dhw+oyb2D3QOiy/b+ePfBzh4R6WB/b393b+/TdPv++D6R6NOdhzuf7hDY6Cfd1/bR4cG9Tz/d2fv0U/qE+n54L/IZ90gjJNoQiXYf7N8nNiAu/vR+MF8fpdc0jTQEAr/3YOfhwacPaGJoCLvj/Xv3d2mo92jsO/c/fXBAHxH57hNy92jgNKj9XUwbTStN4c7eQ6ImgSWq3XvwYPfBvQc0hgMiyP4BffTgU6L43n3CcXfn3qf38NHu3sP795hARFia6T0m7i59SVA+ffgpccWnn+Kze58+3Nnbodn5lIj+8MGnmKxPCdi9+6AITesBIYJ3Dx7u7ewffLp3f2/v/j43u0889ekucR1xw737D9DtQ3qDYNO07BCWB7todkBsuE/IEbafPti5/xDk3HuwS8Q7uPeQeJn4jcm+u7tDPLuz8ym63Lt3jzHZoRHuP9jZJXR2Pt3D+Hc/vX9/9z4RhHj3IWG/R2QisN5nDyACD4JWn/YafdoD9QCMRdwOioPID+/tUpsdUhp3rdY4ejypljPvV1Yjr/LzZk81yUdpVc/ymvQfXkSTSMN73YZoIZrq6Lvylv61CcT+rfqCVrtVQ+i+WzWEhrxVwwcbhvnt2w0TqvhWfUFh36ohq/Vbtbx365aAuXurlmJNbteUjY5tundT09uxg5iw20FlS3c7qGwQb9eU7ebtEGDzejuobIVvBVWM9a2gik2/FVQMy2t60xTctumncChiTfmHKqK7xvehX3t+0V3nNCWP75I7dpT8P+k/toiqCQAA</t>
  </si>
  <si>
    <t>3F435E48693D5666635CDF9F66EF86EE</t>
  </si>
  <si>
    <t>JChemExcel3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3P0rzMgcWb65XOQ0qdf+9oP9O0i/5//jvZftR+m4PxPj00wc7Dw8e7uztHdzf2b93L90Z37t3b3/34YODnf37D3Z2Hu6n20SznZ29+w/p83sPdnf2Pr0X+ezT3qsHD++lvR4Ous12d3aoiz18+PDewf6n93YfPtz5dPfT9MF4N3h1nz55eG/zJ/cjbz0c7z8I29wff7oXtqGJ/ii9JorQuO7tP7i/455dILe7+2D/oXsepNqOXtx9uOd/9ZA+evhp8NGDfitCYm98fyf47L686ff9abq9QwT89ODew/uf7jzc3d/ZpT4JH/ru/u7Bpwd7D/b3du5j1jqtHqS9Rp/2Wn36MA6fOPvhg/vElnctXx49nlTLmfcrM+qr/LzZU179KK3qWV4TU+FFNIk0BEffqiH4/lYNIR23aggZulXD3ds2JIgPgoZoIYJ99G15S//ahP3BEIjv3g4E6wMLY28Dvmi5e6uRiXK5FVBuers5Rf/RSeUfylt3jcKkX3vK9K7TtMnju6TDj5L/B30USMffBQAA</t>
  </si>
  <si>
    <t>5503EF276969B1BA6BDBDB6243AC79AA</t>
  </si>
  <si>
    <t>JChemExcelGR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NMy9zUOXN9SonIqfuvy/TF95f7r/4p/INvvuy0/ZL/uRL9/tH6bu9zz46GH96sP9g7+Dh7v7DvZ0HhNqD8acPPr3/6d7ep3s793b2P91ND8YH+zufPtw7uHdw8PDg4GAv/XR8f3dv/97upwf3d6kZDfTT8aefHtx7eP/THYK0s/vgU4Kz+2Bv/8HBw3v37x/cv0eE/nS8+ym9tLd3sPfpw/s7RL5u7/fSh+Nd6oHa7O/e+/T+wcGn1Gb3YOfTfQJCTQl+/60+zv23DggyhvDw/v1PHxzs7u7QhBHPPtjZ3aHXCMrOLk0pfbL78NOHD2ic+3v3P919cL/XiBiIeHlv5/4uAd9/sLtPndBHe+MHuw9o/Pf3Pt0/2AWNdu+N9/Z2iQAH9/ce7j3YIY7a3R8/uHePMD+4B1T371Or++O9e4TQ3u79gwc7D+4/vJfufjp+cH+Hety9d7Czf2+HGj2gTw6Ibg8e7jy8d+/ezn18tHd/n3Cg/veJYJ/eB6gH+7s0wn2alft7D4gtdx+OqWfC4QH1/+mBfvTgwT7Raufhpw+oB5qpPRrPwaeEw86DT3f2CYO9vfHew30iA4hMgzrgNtQ5gNNAHu7vE1/v7RDwAwx/797u/Yc7JFI05gd7ROG93QcPaZy7nz6IkoFg7Tyk4QChh/TqA1Bmb+8h5mvn/gERcjcKag+jufeQsDgghD8ltqMx0zxTw/2dnf37Dz4F+SIddinzIEbkT8c0I5j73V3+ke4ejGmWiGF3CaMHB/txeu6MaTb3CehD4lpirgfQdsQ7oPFDgv2AxHx/TAgRzIeE4e7+Pk3W3vjTe/dB3ocP7hNh76HNp/f3CKF7JBj3H4Jj741JXAjrT+8TSz+8t3dv/6P0mmR2m1AFCT4lRO89uEdydz/dxhgfktDsEBVoMvd38Rnx2wHBuvdw7x71TvoPrx7sEKkf4P/EctyIEPUevHiPhHf/4B6NBlK2j2Z7YxKDB4TgDgn8pztotTcmTqYh7t4j/AiRT+mz3fE+zc0+qYF7hN8B8ck2kYik4j7JHAHcv4ePSKUQJ5P4EKXuUx/0JskwCQQxMvEkiR/RcZsUxsOdnfv37u0+wLzfJ/zvj4lkhMGnD+7tY5jy5s6nxIG7e6RTIIAPAf/+7sE9YE7/3yHCMGa794jBoXzuEXzS1NukEw729veJvgf3iCPJSNBHNJH7pN129vEJTQPBf3iPpPUhQSSOIcJHkL3fx5b4pY9uH9uD+310IxQ6QAcPSBB2Dz7d+ZS4lnQp4JMSJq1z74AEZw8SQR/t7N0n6Xqwv0OMcZ+0aB+1B70RHOz2x3mfp+4+PfvgZOJJ6iLCCXv82T3S+mQg9j/dw/DQrstEaBdjNpIOwnj3UyLSfYgo2JRk6B4GcI8GRayDySLW3YG9Id1J03Jfu+1z4P6YhM4j3acMjqi985A+3vuUoO0ydmQX3Nw8OOBXMeXcJ+mdHTAXdUF6khAlPUPDId3ZaxeBdhDBY5+B9cnU5ctPycm5a72co8eTajnzfmW351V+3uyp5/NRWtWzvCZ/DS+iSaQh3JXbNty/bcP7t2oIj+xWDeG32YZ7mxse3Ariw25DtBB/8ui78pb+tQnE7s6tOhNX83ZN2SO91VjFcb0dVPZvbweV3eDbQWVv+XZQd4OmN8zMrpvsjf2zl367puzM364p+/y3aiqhwe2acgRxK1pJoHE7qByP3A4qhy23g8rRze2g7gZNN0IFArebWAmrbocAR1+3g8pB2q2gSix3K6gS8t0KKoblNb2JCe/djgck1rxd032EpLfClZvebmIlwL1dU46Db9/0dhOLpvu3k1jguh9OLNq8bt9H8Uv0fqv+JMi/FcW56e3mUVIGt2oKHbkfzqM3xG/fbsDIToQT/P4wJLVxK5wlA3I7oh0gUXIrqCaf0m/KP9SPumtSTfRrLw111+Woksd3Kft1lPw/reRsrhkTAAA=</t>
  </si>
  <si>
    <t>6927AE19FEE3D0E019857382B74FC12D</t>
  </si>
  <si>
    <t>JChemExcel+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Df/7kv//Ze9T+eSFbcP/fpS+2/vso+1Px59+enDv4f1Pdx7u7u/sPniQbh+Md3b2dh7sP7i38/DTgz1CP/bRw/G9e/cf3L93cH/vwcNP9/YP0m2i/aefPty/t/fwwT59snewH/8s8urD8af37z+89+Dg/qf0y/2Hn9Kbu+Pdgwf3d3ap6f29vQf3Dvizg917Bw8+3dm5f3D/4T5hu3tvfG9vZ2/v3r3dnYcHD+/f26XP9gjfe7u7e4Tt/v29e3vRPm8xzj6y99MeyQjUfWq0/2D30/2DB/d26TUCtU+gdnfuPbj36f39g/3dnQf9j+jFPYL14N79g719+vDTnQeEKTHovXufPnhIcA72DnaoczR7sPPp7qcHn+7t0XAOdh+ebhMn9VreSzvwPn2Ydju93/vk0+5bD3ZjoGOs0iPFR+k1cdWn44f3drxnL/10vPtp+Mn++NM9/5P99N744L7/yb1Imy6ce2m/r4MxDeMe5vD+Ln316T365P7DB/f2dol17oOE6YPx7sOd/U/pg3sPHu4RjxCYgwc7ew8e7O49fHgP3NpDZ5/IRDwWdL47vr8fdP6AGu3fJ9rtffrg/kOi88OH+zRXxDU74wefPvQeInL/swc8FXv3iKr394nt93f2Hwy8fh9cQWzqfwYUDx5gJnZo9mhmd+MvH/BQdu8TEe7tPrj3cOfh/fsD3RzQGD+9t3ePZOLhzsHD/d0HQ00P+ggdENfcG+886H4Wadeb/E/75CYtfNeq4aPHk2o5835lvfwqP2/2VDV/lFb1LK/JfuBFNIk0hAK3Dfc2NISavxVEGINbQYTJuBVEGJZbQdzzG26CCDt1q4awZrdqyDbvVi0/vXVLMaK3GjlM6+0mHIbYzfjG7tlu364pm/cAU7R53eZ1Xh2dyHv61zAQ9g9u1x+a3m6qxdu4XVN2Sm7XlH2XW00NN3WzuFEY2RO6XVN2mG7XlP2q2zVl9+t2TdlLu11TduZu15R9vts1Zdfwdk33b930HnzN27VUl7TflH+oZr5rnGn6tedo33VeePL4Lvn3R8n/A9BuCqX7CwAA</t>
  </si>
  <si>
    <t>8F3DD0A65E0E497CA7B51EFD2469C841</t>
  </si>
  <si>
    <t>JChemExcell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H2RnqTmX/z3Jf//y/QZf6b/Lz9K3+199tH27nj3wb2dTx8+2Lt3b+/h/b0H6fbOeO/TBwcHO/v39h88fLi7e0B9UrOHnz7Y//TTnR1qtb97sN/76EHk1Yf0Kn34YP/eg0+p4ae79z69f+9hur033ts5uPfw3qf7u3v3dnce3N/vf/ag9+Y+EWFnvPvp7v7e3qcHe9T24NODT/d63e7tYxi7472HB/f2d+9/enD/4e6DTx9Qv/fG+/fpy4cHu3v08f7Dg/5H99K98f17O/t79x/s7REm+6DJvfEBobWzf7B/7+H93f2Dg/4n93vvRSCBoR4+eEDD/PT+gwdE7v2P0muZhns7ewd7hOj9/YefPjx4+AAEub9/8GCXqPIpjWN/58EBPtt54LejeaDR378XfIaPdu5/+vDewwf7NP6H9x/s7OxgwgjGpwcP9h7uPLxHLT+9Tx8dHNy7/+De/qd7e8QBhBcNbH8v+IhH//Dh/v2Hn9679+nOw4MdDJXm0Wv06QGNjGaOUP2UesBE7KWfju/vHNzfI5QeEir39w7S/TEh+uDTvQf0xQ7RnGbzIRHjgJjn3oN9ogx1RnN578HuAwK1f3/n3s4u9dYb4cO9PiWYqw72u8ShLg/CZr0O7n1K0nnXiufR40m1nHm/sry+ys+bPRXZj9KqnuX1Zx/t4UU0iTSEYNuGuxsaQvxvBRFK4lYQd2/b8NNuQ7QQtXX0XXlL/9oE4sGt+oJmu1VD6L9bNWQteauWn966JWDufiBJRG3fqjso8ZBLvA6+fbvuYAwcA309lNm43ApjsUG34lcxVbeDyhbtVlDvBS03AmUTebumn4ol7TflH6oM7hpDT7/2nIC7zkNIHt8l3+Mo+X8A6sT4dZcIAAA=</t>
  </si>
  <si>
    <t>0C0C3E11D13D57B595AFCA15C5355C50</t>
  </si>
  <si>
    <t>JChemExcelE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fpC/r/l/yv+euEPzkJ/jOfd/76KH2399lH25+OH+7u7t6/f/Bwb3fv3g7huH1/fP/Bp/fvf7pz7+HOzt7+w/v30+398d7+vQcP6feH9z7dvf/pnnx0/9P9vYf39g72CQS/eEAv7D04uP/w091PH1CjPQK/d3Dw6f79e3sEbPfTe/LZ/oO9hwd7n3764OHBzr7AIjgP+e+de0QFfHR/d/fBvR16kzomYjL8+w/ozZ1P93d2CB/56AH1RU0O6E0iI4/o4D6hdfDpzv7uvQe76fYujehg7+DTT3d2dh48/PThPmG2A/Tv04j3CBLBIMSl4af7+/f29tB2d+fTB9Jw92D/3r0H9/YfPLx/8OmDT/nDew/9BwPD23sPiCbUx/7Ow3v7+pnASHfGNJO744NP070xfXVvTID4H/6TJOCh/AMC7Ty4d//TezTyT3f3QX989HD34cMHO58SNhiXEG1nl8i7Sz8JnV2Zuv0Hu4T9/ft7ezSzTI6dB/ufEgHvE/UP9j/9KL3GxO/T53s79NHOvQMaJ97eH+/eo9m9t/fpvU8ffnr/Hs/Cw537e9T13s69ezsPMMpPx/v79NHBzu6DnQf39zDIB+O9XXpxd+f+AyL9/sMH8tGnBwT7wb0HOw/3PyW+OhgTbYhBHjzYIXZ4uE8fPRzf3yNY9w/oVWKlHZoXkt6dT+mzfYJ+b+fg0wP57IAw23lAg6O5IBakz+6NaUY+3fmU5otGQf/Xd2lQ1GTnwQEIIegeELsQgPsPicn3BTdM2adEgXs0Sw9lnNRql0DTAGimhRrU6uCAuHJ/n+YUs3A/mPSH6HNMnLVPM0Ic8ilx533hrYc03TTCvfGO/sN/yjd4h+XgU/OrfAzwRCCiIXEaiZ9OCX30KZF7j+i0Iy8TzXYxTSR31PyevEkTsH+PxkS0+3RfmhEpDu7vEiAixg7pxMd3rUY7ejypljPvV1Zxr/LzZk+13EdpVc/ymnQzXkSTSEOopls1hMa8VUPoVdtwb3PDT28FETr6Vg2hyW/VEPr+Vg3ZKtyqpRiP2ze93fTA8txufsRg3YrwbNNCqGgjtvPou/Ke/rUZyO3mT+zn7Zqymb1dU7bGt2vKRvtWTcW234qM4gLcDip7Crdryg7F7RBgv+N2UNk9uR1U9mJuBRWz1Wn6/owkHtPtUNsJmt5Ixts13WV3bWgU377lKNjfu11/92/dlKHeTqmIo3m7puqP9inOP9Sm3DUuNv3ac7/vOt88eXyXvP6j5P8By1G4TREMAAA=</t>
  </si>
  <si>
    <t>EC12F8F83B664F5F930BAFEFE4A2DD92</t>
  </si>
  <si>
    <t>JChemExcelw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mvxf2ty/Tl/T/L72fX6Yvso9k5OXJPKsv6M2d9Ob/tnfpH+ry3d5nH20fjHd29nYe7D+4t/Pw04M9QnP70/Gnnx7ce3j/052Hu/s7uw8e3k+374/v3dt/sPvp/sGDe7vUiprt05u7O/ce3Pv0/v7B/u7OQbq9R28+uHf/YG+fPvx058E96otevPfpg4f00sHeATW/P/TZgwef3ruPjvcJo/s790+3iV7dpvtpp49PD9IuIvv01sHDoM09+mh3z//oQXpvvHcvfG1nfP9Tv7O9T6nR/j3/tYd71N2DB/579+kToqDfiJCkFh6ke/fTg/HD++FrxKgfpdc0CTtjenP3/oODhzQNnx7s7+wReQmZPfp9j1rufUrfPjxIe+2op167g4e9dvRrpN0+5mvn0+Cz+71393b2Iu/2m+1/SiTe2fU/A9HvPyDiP9jZJboQ6xzsEWUeEpTdT3fv0UzvPSTR2Bvf2w8afUrQD3b8jx48AIPsPKTud/f2HhBf7j4UGt3b8z8jgaIxETJ7O8QqB/Q3ffMp3j341G93D7QHU9/f8ZsekJTftWJ+9HhSLWferyz3r/LzZk9F/6O0qmd5TfoJL6JJpCEUxK0aQo3cqiGUza0aQiXdqiEU120bHtyqIZTgrRqyqrxVS9Got296u+kR/Wyb7t3U9HZTxE1vN0mM6+2mSWzH7XBF09tNFTeNThb/UAG4a2wi/dqzl3edMU0e3yUzfZT8P2+esoTCBwAA</t>
  </si>
  <si>
    <t>7D19D93E7B00401A9E148E368C373159</t>
  </si>
  <si>
    <t>JChemExcelg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PX/e0H//5L//2X62n7yIv3yo/Td3mcfbe+MD3Y+vbdzf//+zv7BvYcPDw7SnfGnB7t7ezv36P87u7uffrqf7o4fPNjZ/XT/waf3d/YO9vcf3kvvje/tBh/tp/vUav/Bw90Dem1v7+HBfSLfpw8I5u7OwcGn9+/de3i/1+bTLqD7sc56KD0g0Hv3dz598ODhg939T3f2dz4l0PTt3u6nB/ceUIMHhPan4wf3H+zs3d8jUA939umtB+O93RChB+OHB/4n99KH4/t74SfEI/RJ+NHumMllPyIi7Y0/3fE/2qOh7Dx4eECDub+7DwwOPkqv98Cfu/f3D/bu3zu49+k9+u0BNbx//x4N4sHuvZ2H9+59evCQxrz/6f7+p3t7D3Z2Pv105+D+/f3+Z5/SRw/3d+7tE5126SdmMaVJpRm9f+/BA8Ka8NglgqTb6GJ3f+/eQyI8dUMPPtt54Dfc3498RgD3xjQfhPEuffjp7u7DA3r33pjGtXOf0P303qf3Dz59SH3sU7sdmrCHnz74dGd35/4DNKPh7N0j/tjZo5kglu2ht4fx01Tv7u/SXwcP93f37n3a+4g4Y29879Pdg72d+zSiPZppmvTuR3vET58+vL//8CFR9v79nV1hMWKQh/f29omIDw6I0CSNd604Hj2eVMuZ9yvL56v8vNlTEf0orepZXtPE4UU0iTS8122IFqICjr4tb+lfm0Ds36ovqItbNYRSuVVDqB7bcG9DQyioW0Hc7zb0KPDd29EDmvBWfd27bUNWrLcd5+7urWCKlr4VUG5671ZQoeZvxwxiGW7XlA3I7ZqynbldUzZHtyMAW60Btkin1fKS7Bjb6y+ePv/I++Ans3JNxm3fwL6JdfbEMr4P+/EPVQN3jUmnX3vm/q7zBZLHd8nLOEr+H8Rly4iBCAAA</t>
  </si>
  <si>
    <t>7B3219F3772B15397A4E34F33D0BA079</t>
  </si>
  <si>
    <t>JChemExcel1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XX/vaD/f8n/0n8l/fLlR+m7vc8+2t4bf/rpg3v3D/b27316/9OdTw8O0m0aw717nz54uLu3e7B3sHPvfrpLA9/d2Xlwb+fT3fsPd/YeHpxu7+LjTx/s7+3tP3y4/+D+3u7up/xp730CEOun2+xB2mn0YO9e7yMa6f54h5C594A+2D/Y3905ILrfu7f/YPfT/YMH9wja/n76Kb12cO8hvfFwd39n98HD++kBvba382CfBvHw04O93U9vAejeR+k1UenTMY3aew4I/sM9/5OHabfNQwL/6W74yb3xwX7wyae3aRRpQ519OgBtD5/fl9/2xjTWsMXu+P698CNivruW+44eT6rlzPuV2fFVft7sKUd+lFb1LK9JbPAimkQagm9v1RDcfauGkIFbNYSk3Krh7m0bUtcPbtUQ4nmrhhBi23Bvc8PdnVuBFI1wu6asOG7XlPXL7ZoCgdvNpdFWfQLwD+W+u0ZP0q89HXrXKdjk8V1S3UfJ/wP57KlH1gUAAA==</t>
  </si>
  <si>
    <t>E20242E1387CCA0797AAB1DEC27850E2</t>
  </si>
  <si>
    <t>JChemExcelX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TI9ufG/L+OtPkrf7X320fbeeH93d+fBzv29+/d39h7e+/Qg3SZ6P3iwf49+v/fppwefEk474737n+4dPHiwu797b2//03sP76W74/sHDx/u7d+/f//hp58+eHB/L90bP9y79+n+/Yf37z349MHBp/f25aMH93bu7zx8cI9ePNjHiw93dqirTx/Qz3vUscC/92Bv7wF9QS8cEM326bMH+/d3H+48uH/v/gOiCn9ynzr49B7huv/wgObz/sNd+vDg0917O/fuE/BPqb/9g4f7D3bu7d57cEBt5JPdnd39B7sPdqm1vLVzcPBg/+E96vDew/SAIBOMT3eBF710Tz6hLz+9/+nDHer1U4Zzf4dGsHt/h+iwvytw7u3v7e8+IMTv0Tge0id7+3t7O/cJgU8P9u/JJ/Qagf70wT1CMyUOfbj36c79g4OHn94n4t9/IKQ82N+xzy4osvuAkHHPp9Rsh2j9wH20H/uIZnTv4CH1aJ6DGPx744OdvZ092+hB5JMIJJrOT/cefuog3fsovQYf3R/v73y6gyn/dOfeDpE63d4ff3rv053de7u7D4mAB58+TLnV/Yf3HhLUBw8f0uikFX1Jz/69/fv38BG3evDw3j6R9FNq/Wm6TcTfl4+I/Q52PiVZ2n4wfrDLbxIBgDc+43bo4OBg/8EBfbGv7R7Q0Hb29x/s7ZJYbT+k2ZWP9jCbhBn0BvHg/qcg5oP9g/sH2ur+A/rz04fUkiZKYPFHNM+71JN2yS8e7OySFBwYYPd3du7vHhCnEIvTZzQJn8pn9w/29h6iz73xvXsCjTifSPTQNGNwuzvE96QctN3+3gOSQCLtDhDZpel6IJ/RoGgse+ZdakkzAT4kut0b7zwU6ppJpY9AR48ZiETUwe7B3q5jI0IYbHrPm3xoBuLKvfv7PleyuiA5IWLaZy/+cqwTwm8X4rsRP9K+d636PXo8qZYz71fWx6/y82ZPVfJHaVXP8prsBl5Ek0hDKO5bNYR6tw33NjSEEbgVRJiKW0GEQbkVRJidW0G85zfcBJG6fnirhmzrbtW3mMRbARXLeTuobGBvB5Xt8K2gPgxabgSK/m8372L/b9W/uAm3g8rexO2g7gZNN0IFArfjAHFjbocAmt6OBeAH3VKS2XW6XVP2sG7XdE8crts0ZX/tdk3Zrbtd04e3RwBQbzev8C/vucm6EYFbNmUv9XZN925PAfBAVLT4h5qAu8Zbp197nvxd5+Ynj+9SAHGU/D/g/2yfXAwAAA==</t>
  </si>
  <si>
    <t>B0462AE72A7CA25DC1C42A11EC60D522</t>
  </si>
  <si>
    <t>JChemExcelm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Jr/vkxf8M/X+veL4FP89qX8/Ch9twdqPtzfub97b2/n0/17uw/v7++nu+P9T/c/3Xuwc+/+zsP9+/c+TR+O7+3fO9h5+GBv797+/sGDvdNtwnJ7d3x/3/y7N/507+DhPj33dvYe7B3QR9237vFbPej3073xvU8fHux+em/v3qd7+/Rhem/8cCf4ZC/dH3/6wP9oP/10vLe7Sx3s7NPfezsH9+mT+/d273+6v7P/6b37u/v37mOKHz44OKDvCca9ew8fEpyd+4TO7sHDe3sHBwQhfTB+eO+AYBAZdvd2d/ZpuLsHRIydvT1662D/0/RgvPPw4T0GdP/+vb29B9Tk/s6ne/fpEwKzd3Bvj/o+uE+d7j4gWu7ep2GnXdLef5DujB/u7uzc39t5sPfpvYf3du9hqPv7nx58is7vf7q3QwPsE3PvU3y2d2/n3qf3aMj3P31I5N0n7v10/8EO9XZ/d48I/FF6TRO63e2W3t0Z7z+4f3DwKZC792B/9+GOzOn9AxrL3qcHe/d39g9kTvHx7oOHnz7YfXBA8/TwgU4azXEEK/18ZzeAvk/jfPDpw+Dpf/QAeN3/9B5NK5H9YO+ARsefPdjb//T+HtFr71Oagn0ZOpFth/6+93BnjyZ6+954Zyf4iNnx4QOaW4L26f2HDz7d38Ob9A3h9OlDoviDnd0HzK8P71N/9/eJcg8//XTn4R5oeQ8zebC/8/D+w30aTbp9H6O6t0tzS1O/c/AQn+zRd3sPwKvEGJ8+4Mk7CGlNbErcSDN578GnRMT9e9SGWJQISay193D3HpGeUNg58Cl5jwd5/0EwnfugBSHu5pwQIk1z16qao8eTajnzfmXd8yo/b4gPoHtIU1X1LK9JzD+SFqK1jr79+K73l/wRB3EvADHUEEruVg2hCm/VEArTNtzb3PDBrSDe6zZ8f3pAf9+qL2j5W2G/5zfcBJGNxq1asl0Jm3pj++7tRirG6Xb9sQ27XVM2dbdryhbxdk13b98UCDi++pq0YSN9q+nlprdjGTH5t266dztmQMtQCwxyIrsZtxoVN73djMNfCSf8/ektTs+tuuOm7zm//EOV6F3j7NGvPUfwrvMSk8d3yf88Sv4f1MmY6ZsKAAA=</t>
  </si>
  <si>
    <t>38438ED18AE4FCFDF51BB76E35C4987C</t>
  </si>
  <si>
    <t>JChemExcelU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qfnvS/sb/nuhn8hP+e7L9CX//uVH6bu9zz7a3hvv7d/b2bn/4OH9g53dTx8epNs744c7D+/tffrpg3sPH9z79FPCofcZ4d179dMH6fa98f0Hn356sP9w98Gne9RyL90Z71Oz+3v7+w8O7u/fe7D/6f3eZ/d3093xA4Jyb/c+wTnY2995+Gn3IyJb770Hn/ZQu/+w/9mnfWTv3+sjSxPR/yzd3h8/3N259+n+zr2H+/cfPMAwe0NP74136JXdnU8f7t7f3dnfj32yT+jfv3fw8GD33r17B/sHe8SID+4/3Pn04OG9+7uffnqfZv8BvbX3YP9gh0ZN3d2nSd/dG98PP7vtR/vj3Xv+Rymx/c79oNFH6TWxwf3xHg3ZPQ/uE7L3d/2PHqZ744cP/E8ODuijvZ3go16jB702RKyd8aefdj6iKdsNQRGfbO+OP90PPmTa73cQ6zUTLt7dub/jPXvcbfDR/X63D+/vR+B92ntXBKCDyaf9zw5YKAhq57PeyCKv9ls9YOQIxXvjBw92H+7u7e7v3nsAXjrdJvXBX6HBzsGDT/cP7n9K3d6/9/Aefflp/BVSYHetBjt6PKmWM+9XVmmv8vNmT7XaR2lVz/KadDFeRJNIQ+i+WzWEhrxVQ+jRWzUkiJ/equGDbkO0EM1+9G15S//aBOLgVn1B89uGexsasn24FUgxI7drytbmVk0f3LqlmK8hAn73dgQU+3e7/thM3oqI3PR2TMCkefCBbIBJux0fiG2/3SAO4ALcCqp4Crdryg7F7Zqyz3G7puya3GpY3PR2c8NNw7nRpvxDldRd46PRrz3/7a5z7pLHd8ltPEr+H2DhEgZSCgAA</t>
  </si>
  <si>
    <t>3F2C926D1E4FEBF64F431E17C07C1754</t>
  </si>
  <si>
    <t>JChemExcelS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9SV/Q/79MX9L/v/R+uv9eZPS/j2TQ5ck8qy/oxZ00/G97t/sL/ttNdz9K3+0xTT/9dPf+vYN9/fd+ujs+uBd8lN4b33sQfrK9M95/4P6mf+/Rh3vjnd3gw/doGEGk/24MXvyzGLhIrw/G9++HIyPGeBAM/35KrJTuj2mqDsb0Cv4iEj34KL0m+u2M93bu7x7s7u/cu3f/YPf+Q0Jnd7y7d7D/8MGDXYLx8IBIF/0s8mrvo3sHePXevf2D3QNq8Ok+vb6zf/vP9gjR4LN7hPuD/U6398Z7B95Hn/bbPIy9Bkrg/9v3xw/v+73c7pOH450A393IRyRwd63EHT2eVMuZ9yuL4Kv8vNlTKfworepZXhNb40U0iTSErN6qIUHcv1VDyP1tG356q4bQIbbh3uaGB7eF+PBWDaGhdm7VUpTbrdDkprebHm4anSD+odN/1yhn+rWnuO86rZ48vkv24ij5fwA9CJN5SwYAAA==</t>
  </si>
  <si>
    <t>0692EF107B37A21A26F83FBDC7E681E6</t>
  </si>
  <si>
    <t>JChemExcelc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U/71I5af895o/eZF+mZ6U9L+P0nd7n3306fjeg3v39+/vHTz49P7u/Z1792mIO/ceHnz66e6n9w/27u0/SO+NH+x8unvwYGf/3sOH9/fv7ad79Nbe/Z0HD/f2dj99QK1TovC9g4O9g4OdnXv3Ht779N693kf7e+n2znjv4f4BdbO3u39w8CnBvZdu744/3Tu4T1/s37u3u+Gz7ss0+u17452H93bvf7r/4GB/d3dvf+9TfPbw4cG9/fsPPv304T6NYrffbD/dvj++fy9sRTN//75PjP2UeCHdH+8efJReE7F2xvv7O/6zT4Pc2+18dOtWRE3/uY9R7wQfHTAlDj4NPtzrt3v4aR/effQaNrtPrR7u3ifa7T7YvXfvwf4uzRyR9d6e3+rgwT56uP/Ab3iw32/4QOizvT9+uB/0E/mI2P2u5fejx5NqOfN+ZQF4lZ83eyoDH6VVPctrkly8iCaRhpCUWzWEPN2q4f1uQ7QQqT36rrylf20C8emt+oJs36ohNMCtGkJP2IZ7GxqyNrkVyPu3bgmYu7dqKUrsdk1Z191qTAdByxuBRvmBfyhb3jU6nH7t6fe7Tvknj++SWTlK/h8hVDb/cgYAAA==</t>
  </si>
  <si>
    <t>9387E1198BC6868BD6185B96A0EC5B55</t>
  </si>
  <si>
    <t>JChemExcelpC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wNQj9odULuH1O4htXtI7R5Su4fU7iG1e0jtHlK7hyDzw4/SvMwxq2+uVzkxSer++zJ9YX9/wf9/0fnU/fWl/dZ/w/0Xfhe+/WXv95ve97HpY/LlR+m7vc8+2t4f339wsPdw/9P79x/s7uzsEjG374/39g8+Pfh099N7ew8+JfbZ/nT84GD//qe7+2h6/wHNDL147+De3s7evfu7uw/2HhAR6b2d+/fuP7x3cP/gwb2DhzSH9OL9AwL+cJfe3zmgb9PtB+O9+w8PPt359OD+wwf7D3YO8NH+/f2H9/cePtwhaAQg3T4Y0x8Hewf3dnd2D3aJhbYfjj/9dHdv9+HB7gN67VOa2W2Sut2HD3Ye3t+992CfsCCOwmcHnz4g/D/d3394cI+Yc3v33nh/5949GsmnNM57NEr6bH+88+Deg/v39h/sEdBdYqTt3fvjT3cefrp3QKM5ODh4QAyMd/cIj08ffvrpzu7u/QcPGJOD+5/eI1z29vYO9h+S7NFHuzScvR0i0YPdAwZGGuHhHn7f3314f3//AJ/tEbB7B3tEnfs7+8CZO/j04cN79Om9Bw/v7e/tPODPDogONIp7e/sP7t9/+JDfvUdUe0DoUuODBzzWvTFRBxTevX//YPdTNNsZ37/38FMiyd7uPv1CTA9wu0Tbh/cf7tBIP/0UJNkbP/h07/7OwQ69SwT8VMhE8/Zwd//+wc7+/v79nT3+7P7Op/t7n1K/nxLCQqV79/cOdkCg+wef3scE7tPwCeOdnX2Cfp9wSbf3xp/eJ1SJvEQ7TDi9OabJO9i/R/S+95B+vQdoxFmfPri/Q90eEEIkm/Qmsdju/t7+Hv2PBkpyuH2P2OHeDmZ+b4dm9R7pOuqUoD7ceXCfePDe3qfA49Px/i6hRvywR7NNCok+wXwTGe4d7Dyg/+2B2+4RJz0gWESL+3sPuNVD+uwBzf7evU+JqffBzDRxu/T9vYc0pYwYsfyD+7v3P925d/+AhvGQpYBo9SlJxMF9mur7B6TbtnfGICym7T4NdGeHZn5nTIxBGO7RHO3u3Hu48yma7ZDM0QzTX/jlIY1pb7xLjHFA4yGYD2ka8dHBHqDRlBAIIktKZLxPc7y7R+K3T7xE1N4Zg8l27+PDB/eITXcBn+bw4acE+OGDezQkwo/aEU33aYxEC5JUGt49Akfj3nt48JAosXN/nzQjTd0etAIxA+H8EAMgaJ8So1DDHTAD6YH99B4xHzq4B2VB4kUSSdqE6EAt6AMS532yjCQjxAWkVx4S75GoEF13H9D07BPhiO3ImOyPH5CGuLf/8MEedUZzQpD3iJkINs3r3g7R/n5KM0R/ELfTbJL+gJ56QEJCPZNaoi4e3qPB0EeionaZEXeJXR8Ss1I/O/T9wUMS6oN0F0QgTt0nbt7Z2QOWJKuYLvr003ufkvwSCiQg94kvP92hz0gHEuLQGJ/e2yGFBcSII/gjQuTBDgkC0X+PBDaFdDzc2yd22ycxJf3yKT7aJfrs7H1KhCAtR/NFYkXv7e/c3yEcib573N8+MQKEYG8XKhQfkQoiCSXVS6TfJeUJN2QPMIj7iO2IjUjx3Kdf6bUHpOA+Jfv5gGYPWphQ/ZSG9JCaEElIdZC80RyTSsR494jlSJtR78RVD+6hMxJV4rLde0RmGsEekIRmpe7BZMRZn2LApGYODvYgFff3yeKy0tg7OCCxf0Da+1MgSaDo+wNSByQYxIP30wPi/3u70NL3HxB86u+AkNojLiBS0ojv89DI6uyC80je9sh+YCQ74CdAuUdkOCAu2CXeglogzUvzSVNOHEbTs79DloRa3kebPSgAwmQXrEmf3B8/oJkkVUS0IzbZuQfIRG1ixB3MEX11P93bHQOymzj6aGd80JnLSKtdsFjQ6qP0mkzrp7CGZE7u0fAg0tTHPr1MagYzSvQhvFlgyDbt03CJkYnx7hPzEwMxiR+Q7BJ19kkgiQuJi8mmfoqJJ4+IrBzZSbImO1CIpNc+JeG+TybtIZGUlPqDh6RXCdYuazXSKQ92oMMBnoScRA0sS/JFdjnFmA5oNmmCSKLJpNGgCC+Ssh1IM2w5+Y07BOsh0ZM05z3YqgN8RDN+ABoTX+2BoDAZY1JpNGWkDUmYSN+x5ietQ2wNpUDYHMB4kZaBUb5PPPfwwafUxwOixj1S+CTPO2Tn9klHYerI+NM8Q75g4qkNKdHdPdKmxOZ71DtRh4zAvU/Bs3tQrfdYgZCOIsm8D5MEyQHj7gDxTx8+YP0ocko0IUNLorQPxiGTRmS7T7rp3oOdHTDgPXIMDnbIlBKHUWf0CamhhwcPSOHDQJHr/ZCGRjQnASQOJ3i74GRSDzQXRBLSZ/AG2FDDk6H+HpCNgSgR8UgoSa6heuBsETmhGD8ld2dnB9J7nz6hybi3A1V1/8Ee9DuNdo+QglmhT/b2xOCQQJCDQdps5x4Y+wAUP9il3kmt3oM+uwf7PoaKJ3kkxiIjuQdnjLokyd7ZgytHgyTTwRNIM3iP/CwaIikb0oY0WaRpYbEfsoOwS/42bDJI8xD/EgnI9YfRJBzJSD3Y53bsTBKjw24cwHcjv59sJub0IewjqQ1oDAJFE0PMBxNP07sPJ2iHiH+fuI/+ICRIrzNq5OzQO7vEDztwovaAGrEPHC+oVmL/PfYqyEOEx3OfBYhUE9tbUlA0JmJpKDOyPLtQzDS5xPPkG94jYaCPSMOTYnwI1qRR7YDi9/b3yT34lMZJfcPwEf1pGpkvyN6SlSYtuE/OG00j9XgfDAf7QTDhotzbJ/1FDEe8SK7VA8CBAgfqD8AmB/fABfAuxW+6B4eX/v6ULAr7dKStd9n/Ik4gg8sEewi+BUBSlaTZHrDbTq4ROw7kIJJZ5PmAV0ZiQcxO5LiHN/E9Ee9TiMIO5B+OO43oISkk4jsaPPz7TzGV1C1IT2qViMIe16ew2qQloJLxKmnbe2AT8iaJEjtw86CkScuSLidjA53BbhL5ZfAaKWiAI4Y+yZbfI5NH4ySG2hdn7QENmkh4D7Ikvhp4Z3cXrxMxidLqapNBuAcXf5f9cdI26OwBO+33ET0QWT6F/JFEkR3/lMOOhxgMbNk+lBtIARtMxH/AjhUQ3YO7uAdlQ44GXAJ2R6lzUgskbOSnHOyzN0TeGg3wPvwPYhMEIzsQGxo1EYNY7lMoH566B3DayWztglEQjkCo6ev7CGJIK5PkopNdyO4+e8zQ8PtAjzhyF5YfHhcx3H2Ww937FHqQaCM0O/gUvuUOxOYhgjiINhnYBz39DS1JrPopPPYdsNG9e3At90lGyLLsgEWI42Bo6Ev6mtiSBHsXjH0PAcw9piSx9x60NPtTZI/hHUMVkKm7h1iLZpQs2C47gjtQAPQlEe8+yRxMCvX5KYVWJIBgBA5gKHFCwgD3lAw/udb3T7fFXnTa3htqSxmTuzZlcvR4Ui1n3q+cQ3mVnzd7mkb5KK3qWV5T8gcvokmkIXIft224f6uGyHrcqiFSHrdqiHyHbbi3ueHBrSA+7DZEC0lOHX1X3tK/NoHY3blVZ5K3ul1TTm/drilnwW7XlJNlt6Kg5NRuBxVNbzeBoJWbwY1AOY93O1TR9OHtoHJW8FZNJXl4u6acY7xdU05F3qop43q7ppLc/EA+luzorSjOTW8345JrvV1TTsnerilnbm+HK5K3t5typHzDGffo9u3bUVHyyLfqTtLNtxoEN72d1r23j+T17Zpyjvt2TTkVfjtcOWN+O6icWL9dU86/3woBSdPfCqpk828HlZP+t4PKawO3gsrDuuXEfnr7pvtYmPhATpaVjVv1JwsgtxowN70dd8hyyu2a8qrLrZrK4sytcJU1nNtB5aWe20HlFaHbQd3HwtHtoO4ETTdCBQK3nNgDrFh9ICPJktet+pOVsdsN+AALaLeCKutst2vKy3G3awqooULwqHFLoyvLfrfrbx+rg7eiDTe93QzLWuPtmvKS5O2aYnJuN4+ywHkrqLIOerumvFx6KwRkVfV2UHnx9XZQ97FGezuovJR7O6i7QdObpgBNb9OU15E/kJNlIfpWqMl69e0GfIBl7VtBldXv2zXlRfLbNeW19FvhKkvut4O6j5X520HlBfzbQd27fVMQ60OnnNbWsoPbTfkB5vF2U/5wpwfVQ+aWNgdAHt6OGSi9nD28HTNQZix7eDtVQUm77OHtVAU3vZ2q4GHdsikJ9cPbKXZahMge3i7W5qZRn4x/aBbq7qIq8+m6zOnXL07m+aKYZuXrtl5PW3zytJquF/myPUoe350uyqPk/wF7ks8XpCQAAA==</t>
  </si>
  <si>
    <t>7D8E71A819DA514C804E4F98F0D26023</t>
  </si>
  <si>
    <t>JChemExcelv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VP57oT+/TF/S/790Pz9K3+199tE20eHThzt79+7t7+08wH/7p9sEcHtv/OnO/oOH9x/sPrz38NP9vX35nEZ6796nDx7u7u0e7B3s3Lt/L6WWnz64d/9gb//ep/c/JRD3ex/1XtvvQ/qUCPmAEPl0997ep7sHD+7v7gomvXcP0u2d8YNPH/rPA7S7fy/47ACj2N0J0E13xvc/DT45oI8ePNjxHqLvdrfZPuF7fz9o9Wnahf7ppx+l13vgrd39hzv3Hux/ukev7N578CmN5H7aQ3CfINzbCT76NNZq+x6R4NOdhzs7B/sP7j04ePhAKNOjwv303vhgP/jo03R//Oke0fbewwB7arl38Om9vZ2DBwe7NMmfAr+H9/c+3d99QEPfv/dw7+E9enfnfthob3x/1/9kf59gP7wfzuSn4wd74ScPqDefI3YhNgfBRJA83LUCcfR4Ui1n3q8sIa/y82ZPheSjtKpnef3ZR3t4EU0iDSFKtuHuhoYQuFtBhFjeCiKE91YQd/2GN+D44FYNoTFu1RB65bYNd3du1VKU1O0GjqZuHm+EeruZBKpuKjcCZf15O1TR9HazxE2j88Q/lKXvGntAv/ZsxV1nSJLHd8lEHSX/D62mYJS+BgAA</t>
  </si>
  <si>
    <t>342051F2B32B24590B499A7A1ACB9A9F</t>
  </si>
  <si>
    <t>JChemExcelTB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w8/SvMyxyjfXK9yIlp6kn5J/53c+N+X6Qv9aT55YX+T/57UHwnZy5N5Vl8Q9J306/+32/l7m0j+bu+zj/bHD+89ePjgwf2H9/Z2H356fy+9N374cO/BAf15/+Hug939h3vp3nj/0wd79w8O9u5/erC7d3D/Xro/vv/g3u7uvb29g4P7O/d3HtB7n+49eLhLf+7e3z/Y2dmnNjv37z/89N7O3r0H+zu7RMW98YMDvLPzKXW49+nD/f10d3z/0/v3dz7d/3R3Z//gwcF9arRzcPDg3h79uffw4f3dB/ep0c7DT3d2dg8e4ie6Sbd3xvu79PU9wubTvYefEs738OHD/Xu7DwgwwdjZ3yNMiV/3H1IPD3Y/3ach7O4TZnj5wb1PH1CHOwSMsL5PFBk/PAC2n+4SUHRF8Pbos717n+48eLD3YG+Xhn6Az/aJMvfu00v7D3buPfx0L92+R5/tHnx6/97+3gGheO8+wSPSfvrgYG93hwbzkNB+kG7fH+8/pGF+Sj1/en/n3r2HaLX/8ODe7qc0TqInjevBeGfnwc7OHo1ub3/nHj66T5CIlLt7+4T1wcH+AUO6RzQi2tEgDnaJy7c/pY92qBkN8YCIcf9TwHq4/+nO7i5Nwz7BJ/7ePqC5fEgTsktYfHqwc/8hWu0/IHQ+peHfoxEaYty7T9S+T+Mnvvh0fxeT9ynNycN7BzSBREkS9vs7+/fu36N/7xOeB3vpp2Nij3s7BzSZD+hvkr8HStR794l/9h4S7am3nYeEKI3+U5qY/fsEhyh0b3f/wQPigR1CjTiH+I9YZ/fBzqd7+wckt/fGNMf0NZFx58H9T/cfEDr46j4Niqj3cO+AhHN3b0y/er3d/yi9JiYnIhMf06wQF9IE7O7s8szeo2l+SLzycP8B0RqTuLtPFN6/R6jdo5kEFYhv7u0DUaIf0fYBWGfvIXEIsdEeoU1YMxPvHjyguX5wf5/4kcj0Kbj4/t7O7s7Dg/0dkhhiFLTaIfn5lL5+sEf/fMrQ7u3vkigdkIRQLzR33CuJ0UOCQ8JHPETqjD7b20cHJA0g3S6pLEKEpvvTe/d27j+g3u99SqqPlC/hQSJIxLq/t78HPA72SDDvf/qAEL1H2BIpdx7SoOhLeod4D4QbPyRYe8QWxAf3d6ldCgnZ/fTeLvAgmXm4f/ApsCUifHrwEGJJDUnWWJTu7X+6R23u71GPxA8PIK+7BOshTdV94rJdgkdTQ6wP+f2UJPQ+k2OPWJmafXp//yEJLb1Hw/x0d5fA0rBJgB9CfmlaaNZpTog9Dh48fPiANDRNKONKwDGsTz/lZhgzBJp0zME9kV4iJLTawwekNPbuM21p5ojYxFi7n0J89lhpPCCFdED/7RDS9zGq3TFJPPVJCoa62NkDjR4Q5+wc0Hx9eo9mhsd0f49YhaYEAkckYnVGk0NMc5+YnHp5iHkikafRkdAQ05C87vDc7d4/oGGRvH1K6oc+wrRQV0TCXebrB/iIINEE3Ceu3CVWI9tDevfhPRoQ8T5JCLEJ9BsZy7vWWh49nlTLmfcrm89X+Xmzpxb0o7SqZ3lNdh8vokmkIcyebbi3ueH+rSDe7zZEC7H5R9+Wt/SvTSA+vVVf8Axu1fCg2/D9kYL/cau+7t+2Ibszt2opXs/tmu71mr7/WMW7ulV/B7duKe7aEGbfvSVm7O/drj92C2/XlL3H2zXdu31T9kdv15Td1ts1Ze/2Vk3FCb5VU1Cg0/T92Yb7C/XO15hhjC/kqK+BCbv8txq5RAa3a8oBxO2acpxxu6Ycjtyu6b1bNwXz7YUc9f5k5ADpA2EgkPpQxpII7VbjlkDudk053rtd032Ehbdruvt+TW/HTxKP3q4ph622qWfU+Ye6DHdNdE6/9iL3uy6sTx7fpYTBUfL/AGdEQkRMEAAA</t>
  </si>
  <si>
    <t>D902D144524C975D438D3495AD598026</t>
  </si>
  <si>
    <t>JChemExcelYR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4/+CjNyxzUenO9yon4af+/F7f4ZLjVl/Sf+/dEP7PffJS+2/vso+0H4539vd29B7v79w52Pt0hWm7fH396sH9/7+HO/r2He/d3dmhs2/vjew8+3b23s//g4ODhpzs0nO17452H93d3Pt29f7Bz8GCXKLu9N945oLfuP9y//+mnDx/uPnyQbu+MHzy8v/MQn35K0Pao3c54/9OHB/cPHj4gWPf2HtKEUSsCQ+9Qb+hF3vz04OHDh/sPdh7sHjykVx6m27vj+3hv5+De7sNP73+68+mn6HV/7/4umu1/uvdwf+9gH+8+vEdYPSDwewcHB8QmhO+Dg/1devPTB5/u7x4Qp6CHe9TFg52Hew8e7j882LmHHh7sH3x6cHCPoN072COg+Ozeg4MHDz99cHD/wd4OkYbw3d3ZeXDw6c7B/Z39nXsPqNXueG+XMH9w71O8/ekOtzrY37lPLz2gl+8/3CNuIvD0wh4h/unBg3sHuw/x4r0HBOVg79MH+w/vPdghviTa0th2dx8efEqQDojT7o1pEAc0P4Tdw909moB7492D+/t7NFf79+/TfN0jQJ/ev0dv0NcMfA9kpcHQr/ce7N7/9OEDEgHq7R6RgGDsHuzRiNH/zu69fZrLXcKShk68S5S5T73RXzs7Bw+JGz5lInReJL3A/+99df8BZuVT6vj+wd7+PUzUg537vc8IoR469GrkzciLXYI8IE10j6Z1nxhrZ2dvl36nNvsH9/bv3Xu4u3P/wX0QnRoRC9JgwQsH+5+SztgbP/h0Z58mbufeAY2d5uje+P6DT4mgNBfEzsR96f6YXt7f2yES7X16n4SghzdG8pAotbO7v79/b+/+3sHuwem2MBlJh9eSVMje+OGDe8Ran+4+wGAePpSW96gXYokH+8TbxO80Uvr8QZS8hCIJzgExMgnaA+JKHtmnxAk0l/fvf7r/gEe2Q5L66R7m797+g/17+OhTEtUHD0iUiTIPSb7powPiu/t7+6QEdiC6D2i4JCj00h6xIzH0w4OP0msoi3tAZPfgHgnZHpFZZpT4FEJwj6j6cIf1Aii7s7Nz71OasXuQUBoYiSJB2rtHLHgfwr0//pRoTa8ShYn7+ZOH96jZzn2a6U/p70/HRImHEBya3H0aV0rKap/E8sHe/fv4mAQRHz0kDfTwIROIpPg+XiSNQqqMQD2koZFKJ5VGQkvk3iEG39snfQWcDj4F3xCSOzRX/CaREDxA7T4ldUS0TbcfjkkDPqApp+GQ9roHbUDC8SmJ3kOai4Md+pre3CVaE41JgnceHtBsk8Tis/2HhAN1Sp/cYwkgW0m0I+zv0aRAq6EHwvvgwQGNiuiwt0MfHZAg7xFfMMZ7wIyIQwr54b39A1K0UH9Adm9/nxC9t0usQiBYxZEyIBkgZY55ug8s9kCze3u7u/cOaEL3iM/x2d4DcMS9nfvECDs8Q/f3SDXTZ59iEA9EcYM13bMbe7EHPvoitASpbvDfvZ3gu0/x+b1Oc0IHX+1BnPeIq/YgCJ9+2MskRTtkWUipklw/3CNpPmBUd3cgDnvgIDIeBxCHfeInoixm9+AhBITaE9ccECvRbO6T/wB9cP8BpJINCtkfEj8oUNJGsGdkxKAi7pP8kGYmySBsiN2htPY7IyBB2KN/SGmnxPGs+g9i7Yit9x9insnyka0m28as/imJAqkl0jc0kk+5GTA7eEDqY59ZjGWNTBLx5y5wPthjsbm3R0aBjM0BjZ8YCR+R/XrA9owsLJGDHLK71iM7ejypljPvV3bRXuXnzZ56aR+lVT3La/It8SKaRBrCtbpVQ/hVtuHehoZwqm4FEd7jrRrCx7xVQ3iit2oIf/VWg2Gv9lYgxfm9XVP2kW/V9H6vJZqIl370bXlN/9rc3a0n+ZYtQRjHDxtHy1HAragtwcLtoHJMcTuoHHrcDipHKLeDuh803QiVY55bNT24dUvESSG7vT9nSBB2q+FKrHYrzCSkux3UfUR+t4PKAeLtoO4GTW+EejvlIpHpEMW/e0uKc2h7u/44Ar5VUw6Sw6ZfAzVE1LdTYBKU364px+63a8oh/q1m+N4+MgG3g7pz+6bA9XZ8IymI2zXlTMWtmu7dvqnkPj5U/vd7QAb74zzL7Zoi5fKhqknyObdiBm56OxaT7NCtmvIoQr7x8L6lTIFN9kOOen8gksa6FdKS7bod1dD0lnOPfNmgernlhEry7Vb9wdbcv516kVTerZo+QMLvA6dCMoa3oi83vZ0yMfnHflP+oT7+XZOypV976dy7LtebPL5LWeSj5P8Bai7CHWEWAAA=</t>
  </si>
  <si>
    <t>A7D9B05E7B91D2402E02224090F5BDBD</t>
  </si>
  <si>
    <t>JChemExcelQ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tP/fl8FfL6Lff5l++VH6bu+zj/bHOzu7O/ce3Pv0/v7B/u7OfSLOvXv7D3Y/3T94cG93jzD+dPzppwf3Ht7/dOfh7v7O7oNPe5/0Xrr3MO0C3r+fHtBHezsP9h/c23n46cHezsP0Ib12/8H9ewf39x48/HSP2tDEffrpw/17ew8f7NMHNPDdPXrt3u4utf90//7ePcJo9x699+mDh9TTwd7Bzj16bX/86YOd/Qc79wifnYN7B5+mu5/Se/u7+w/3P919eO/T/b109wG99oDeuH9w78Gn+/v36b0Dem/3/s6DBzv37z/c23+Y7hHn7NzfPSAEH+zv7RBi6R4xy72Dg0/vP9ynJgf3P0339ui1vfv79OLuzoNP6QMM99O9vf3dh3sPd/Y/vbeX7oEmDx/u3COMH9zb+5TgEN0e3Lt/sLdPRPl0h/BN90CTB3uf7t4nnA6IeAfpHhFlf+fh/s6nBzt7u58+eBD7JPJaB3h6jyj5AGOnl3b29w92Pu19tJveA3EP9h4ePNy7d/Bg72C/j/ZH6TXxyTYovPfQe+6n2zQPB/f9zz5N4+0+He9+2v/s4T3/s/0ftfugdgeRdgcD7Q7G+w/8zx7QZw/HxP7e8+lwu9iUalfAtscBpDfvWsV59HhSLWfer6xJX+XnzZ4q04/Sqp7l9Wcf7eFFNIk0hMq1DXc3NIRivhVEqO9bQYSSvxXEXb/hJojU9YNbNYRluVVD2J9bNWQrdauWYsxu15Rt3u2asmm8XVO2oLdryob2dk3ZHt+uKZvt2zVl6367puwE3K4p+wq3aiouxe2asudxK44WB+V2UNmPuR1UdnduB5W9ottB3Q2aboQKBG43sTys202seG23a7ojzl2/Kf9QbXnXuKT0a89dvet82eTxXfKSj5L/B4A9R7ZBCwAA</t>
  </si>
  <si>
    <t>2DEA59100B53D58FC36989770A88A218</t>
  </si>
  <si>
    <t>JChemExceldx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c/SvMyBzXfXK9ympw09t+LW3wy1OpL/r//r3z3pf5rvnnN/375Ufpuj/hmZ3x//+DB7sO9h/cOPr2/Q+N6ON7b39vd331wb//e7oM9otyD8cHB3sO9nZ3dg91P9/dpXj4dP7j34NO9e3v7Dx/u3qd/wTb3du89vPfg/qf7nz7Yofm7R5A/3Tm4/3D/3s6nDx/eS/fGO/T1wf79h58eHNx7eP/gfro73js42N3f23twsL9/sP/gU/rk03t79L8HBPnTB4TbLr33cHdn5/79Bzt7O3v79+5R//vj+zsH+3v39/eot/v7Dx5Q/w8+3aX+7u/u3H+wt0d8c398b3f33v2HO3vU1cE94pwH43v3HgCb3QcHD+7v7Xx6P91Bo/sP7j18uLPzYG+HppqEgz442KF3qSd68dOd/XR7d7y/v/Pw03v7+w8f7O7d/5R4YHtv/OnO7kMM+/7Dg70DYhf6CNCJmvcf7lGrg3R7Z3ywz1R5+OkutbpHTEuf7e3fp9/v7RA5PyXKPpRxP7z/cHdv58GnDw9o7Pdp3A/2DuiXh/v3d/Z37n9KoyT493YePti7f5+od59G+2mKDoDjPs3g3kMaxD3t4MGDnXs7NA6aHSIuPtz5dP/ewe6D3Qf36T/67lOMi4hBHz/ce3D/3j5RGO0+3aduCebDT2nCCAIPn1iApn/33v6nu58+eEjt7o33Hj4gIDs7xCf79O49fEbzBOgP93Zp0j8FTfbHe/d3Hz58sE/PAzBUun1//CkNkRDeeUgvPwQi98cPCQqRYI/Iu7uPDvaJye7v0FwRuxx8SuyIj3Z2aZIegI6fEpcyye8zPe59SoTbfYiJIf1FzEBzvXufGGn3IbHnzniXqLhDrHbv4acPaRZpUkG5fUKEANIE3t8hPUH0Pdj7dHdn79NPid0ffvqpjOnBvXvEZA8PdmgmH/DM73y6B0bfJTrt7OwcPABqxNoEeZ/Gff/hPVIMNCZif2K4g3sP7hFXPBB6798n5ibUaZi7Dx9wM2LFhzs0SGKGg4cPqM9PqRnJww5JwR7N4D3iBvrs4X2C9ZDm/f4BsQ59RIK5v7v36d4+/UV88pCB4cXdh4Q8se7+wQ6/SfQjUhIL7hOupNtoTnY/vXePOqAXH0C6IC4kOYTFDlEE5Cb6kITTAHZ3DvZI6ol76aN94twD4rSDnQfESvuYAWpHIyGa7ezskawRBZlCRCCiDaaOZpqm+GD8gEi994Bkb5+knrT27qfjnUD53L/tRw+I2P5HBItVgvfRpx+l16TgIKVEmgc09oMHB8QKB5hRUissaZh6wo/ZiLh2lyb0AUkCUeqhzBURk+SHCEVkJttAn5E6w2zS5OyTVJMNoc/u75M8EsSDByRfxAY8/ofobofmhySDOBC9kpa7R3+TviJ2ZQ4nxIhhiCd3PxVg98ckGaQBWchJI/KUPsA0gFlJ3xAP40WSCZKg3fskjDuffgroJL73Pr1HXPqA3iXdyoJHONz/9FNiiP379xQWZJaw2L8PIdgFE+1BtDGBnx5ANvARTS7+YDGAwiUegl4ibbpzD/IN+hDfkhYiLUkokZ74lLt8QE3u3QchqQdBa2+PLAnIT3p1l7UTJIy46v79XeLR+7tgNaLNPeoJTffApaQQofoI1Z2H1OzgHhsCtCZZ34WKJMGC/Xjw6af7JOeQMZldUn4k+nskb5gqUp27sDMPH5BRebgLlsT/oPkfPHhIZo44G6xKYo9X74MtSKhJfh7Q5DG2O5Bn0pA0R9SKfiNwZHtIEz0ggtCAaWzA7eE+kX+XBgZNBo1+AGNF3E4zTCO+B41DeotMEA2U5u7gwacPRN3SXO9h9CQ8O2Q07pHBA0Md3LtHrem/eySw+5+SjgDZ9mCC71OjffDqPbJku/vQqvdgk+mtBw8wVFKXezDKO2Q97t8jo0XTTfxFnxxASRGpqAkpP/rk4R71/CkM9YMHpDvITNLU7NynvkjL7EHhfUrqgqwEaRmQf49m+sGYNMRDAkA0IkVDGJJOJ31/j+hCBMG8Ec4HB2RlwUn3ICEP6RNqSYxLhCcMaRp5GJ/Sr9Q3GfMH0OysiZiFMFK2ScRFpO3J+t7/lAhAJvBTovfB7h4sI8E6IHXEhhtw7xHtaEZIZ97DvJN8EH1pzLCH9ILYMrJDRCrSfKSLD2BDdzChwJH8gk8/hWzujWnaiLHRYI+keo8Ny4OH8DlIJ+zAgJJXCuknRKgzms0d6AtRCJgO0ka78KRoBg/2D063qTl/hQakq0g7k9bep0l/eI++/DT+CrnRd60fffR4Ui1n3q/sWL/Kz5s99a0/Sqt6ltfk2eFFNIk0vNdtiBbiux99V97SvzaB2L9VX3CSb9UQ0cCtGiJmuFVDRBa3aoj4wzbc29CQo5RbgZRg5nZNOea5XVMOjW7V9H6vpTet377dJHN3t5vme7duCRrejiMk+LvVxEiMeDuoHEreDipHnLeDyoHp7aDeD5pugiqh7q2aHty6JULkDxV/ib1vNVwJ0W+FmUTyt4PKAf/toHJe4HZQ94KmN0K9nXqRhMSHUpwzGrfqTxIft2u612v6NVBDIuV2CkxyMbdryimb2zXdR2bnVjMsCaDbQd29fVPgeju+kczT7ZpygupWTfdu31RSXkNTfkvLAPHrABlqKum12zXlLNzt5hFJuQ+1b5Ltu1V/3PR2Zktyh7dqyqMI+cbD+5biB47aDznq/YFIkvNWSEsu9HZUQ9PbzT1E6P6gWbrlhEpq9lb9wSzdv516kUTvrZoiDRxO/dcYBOeTb0Vfbno7ZSLZ6Vs1Rc76QxWEJMBv1Z3kyW81Xm56O4HlptFJ4x8aQ901Cxn0a2+R465bAUke36W1laPk/wEG64E/dxkAAA==</t>
  </si>
  <si>
    <t>D75CDB436D7313B2F89E27B9B2B9E6B5</t>
  </si>
  <si>
    <t>JChemExcelO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cn6Zf030nwH33yUfpu77OP9saffvrg3v2Dvf17n97/dOfTh2nnkwfp/nhnZ3fn3gP6c/9gf3fn05SGde/epw8e7u7tHuwd7Nzb7390vwvn04cPeqB3+6+h0cOdhw8fHnx6b+fh/d2dh/un27ufpkTpdLvX+n7/s/2DdLvXz/5H6TUN9tPx7v2H/kNj+3Q3/OTe+GA/+OTT/keE4z3g6H2yO76/v+M9u+nB+OBg9wER7OED+nPv/h6PY3tn/ODT4NUHgu/Op/f2du/t7j14uL93wE0J5L2g5T763QU69/v9gW3uWr45ejypljPvV2akV/l5s6e89FFa1bO8JobHi2gSaQiOsw33NjfcvxVEcO+tGoLHb9U1JOFWECEvt4IIqboVRJa9W4G8H7TcBFOE+XZNWeZv1T83dVPpQeUfyih3jTKiX3uK6q7TYsnju6Qfj5L/B3zOSRo7BQAA</t>
  </si>
  <si>
    <t>B7B0B82BEEA10FE9C2ACA50270FB7750</t>
  </si>
  <si>
    <t>JChemExcelo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F+kJ6n8+yX/9iX/Ln+/+Ch9t/fZR9ufju/vPLx/cO/+/oO9/U939w/S7YPxzu79h/d2Du7v3Xvw6d4Of/TgwPtoN91+MH5w//7+pw8f7B7g7U8f3E8J1r39g0936LN7B7v3Hn5Kze4TrH168f7D3YcEYe/TdPve+NOD3b37u/sPqJsHBw+p1R69+OD+gz16/d4etbtPzWhqCMzDe3t7n97f2T3Yffgg3Rnfox/U38P79/YICzQ7GO/d2713//7BwcOHezsPDx6k2w/HD+49eLBDbe/v3N/d2X9IwHbGD6jXT/fv7R0c7N/79EA+23u4t/fggLC4v/Pp3qf4jOaQPrr3cO/hLiHycEfbUQ+Eyqef3qO3P334UXoN0hE61Pf9T/f39+4Rrvce3Evps52dvYdEynsH+/s05AcPHuxjLPfo5fvUdmfvATW4hyHvH+zuPNwnwhCWe7s7D9DsANOws/vp7u6nB/sPDrjdp3vBZ/e/+Xb3xoTHg71dosH9hw8f7N/fS7f3x/hj5/6n93YIR0IUzXb3dvc/3aM2e3v3Hu58yih/ev9Tmn+iAhHs3oNdkOD+Ln29R3N08HB/9wCjvU9TsoNJ+/T+/fv3PiU5eXzXsv3R40m1nHm/shy8ys+bPRWFj9KqnuX1Zx/t4UU0iTSEwNiGuxsaQqxuBRHCdyuIu7dtCFm+VUNI/K0aQi/cqiG0x60aso65VUtont1btRSFdbumrNduNT+i/m4F9fYtRZ/ern+gGp1P/qEcfdcoffq1ZxDuOmuRPL5Ldugo+X8ASHGr9KMGAAA=</t>
  </si>
  <si>
    <t>0D2F4BCF07164988673934A6A2C259D1</t>
  </si>
  <si>
    <t>JChemExcelL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894L+/6X+e6L/famf0X8fyejLk3lWX9BLO+lN/+2m2zSid3vUdrz78OHuwb2DhwcPPt178IB+0nfj3Xv7+w/v7+3d2/n0/t79Tx9EPrufbu+N9z892H2wT18cPLy393Av3b43PtjZPbh/b//TTx/s7d7be3Av3Saa37t//97e/YOD+/sP73167368XRccUab32c5epNv7QG+PngP6mLq6f/BgHx99+jBo9gDd7t3zP7uHjx7s7u98unN/91Ma2gOanu398e7+PcLz03v39vfuPdjZxRg+fbBPIO4RAR7uHOxTq53xg4d7Dw/u79ynltT1vYcpfXTv4P6Dg08/3bu/s793/8FuujfeIwD76Pbeg917Dw/ufZReE+EPxgcP7+/sUDcPCI096vZgvLsXfvLp+P6B/8k+se/Brv8JkfLmRvs90Pgk7H4/JbnZvxfATvcJ905v98b3QNX9nQfgl4Od/U/T3fFDIt7Bg539e59+erD36UHkk8hrO+NP7z+8t7Nz8GDv3j2i6AHId7C3s/dg/8HO/Qef3tu5d3+/14p4rNuKOHFnTMD39omfHu4yix6QeN618nn0eFItZ96vLLCv8vNmT2X2o7SqZ3lNmgYvokmkISTbNtzb0BDyfyuI0BK3aghdcquuqeGDW0GEXrpVw73bNoSauxWO0IQhfdBElOvRd+U1/WsjjN3dW+ElSvd2TVk3364pq/DbNd25fVNADVnia9CGrcrt+sOAQ4bxevj2Lftj63W7qVcj12/KP1RE7xr7S7/2bPNdZ7iTx3fJJThK/h+RwRPxLggAAA==</t>
  </si>
  <si>
    <t>FABC81B5453923115572BF1C46D23F22</t>
  </si>
  <si>
    <t>JChemExcelk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8U/73Q/39J/774KH2399lH2zvjvU8fHBzs7N/bf/Dw4e7upwf30t3x7sNPH+x/+unOzt7D+/u7Bwf9j9K98f17O/t79x/s7e3u3du/f+/T9N744NP93Z39g/17D+/v7h88jHwSea370d69tIfWw70H6TYh8eDezqcPH+zdu0dY7D34KL3GGAjA/sGD3b2dA8J+f59+pPTZzoO9g737D3fv7z/89OHBwT6A3r/X+Yz6ufdg9wG9s39/597O7s69frOH9/vgHu7hs4P94LN0e39876DzEXHE/U8f3nv4YH9/9/7D+w929nbuYyj3dryGD3eILR7ftbN89HhSLWferzztr/LzZk9n/qO0qmd5/dlHe3gRTSINwR+24e6GhuCiW0EEr90KIjjyVhDBt7eCuHfbhhCDW3VNo354K4gqUrdouTvUkn/ohN41Ik6/9sT/rtMNyeO7pHWOkv8Hoi1pqZEEAAA=</t>
  </si>
  <si>
    <t>EF992B7F682122797888758B257D2CD8</t>
  </si>
  <si>
    <t>JChemExcel8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X2RnqTyr/zf/X3yUfpu77OP9saffvrg3v2Dvf17n97/dOdBSujfu/fpg4e7e7sHewc79/Y/TbeJPnuf7hwcPLz36c7+zt7B7v7p9u79XtP7aQfapw8fdD96sNt/DY0e7jx8+PDg03s7D+/v7jwE/E9TojT67rXuffbpfrrd72d/vLOzu3PvAf29f7C/u/Np5JP7BGn/we6n+wcP7hG0/b2P0muiyv74092H/pPeGx/sh5/02+yN72EU3ie74/v7O96zmx6MDw52H1DnDx/Qn3v393ik2zvjB58Grz6QEe18em9vlzB78HB/74CbEsh7Qct9fpvb3wN8Aru/u7dzb+/h/r2dvXsD8Ll5B9t94Lbz4GD3YOf+3sMH+7t4lzjzrmXNo8eTajnzfmVefZWfN3vKrh+lVT3La5IpvIgmkYZg6ts23L9VQwiIbbi3oSHE6FYQIWy3ggiRvBVECO6tIO77DW+AuLtzq5aiLm7f9Hbz+Cl0z61aioq6fVM3mV5T/qHMd9foUPq1p1/vOuWbPL5Lav0o+X8APvQj7fIFAAA=</t>
  </si>
  <si>
    <t>5FD50E5AF8A4D52B179CA278140EC32D</t>
  </si>
  <si>
    <t>JChemExcelP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8d+X6Uv6/5fez5P0hf72IvtIxlmezLP6gt7ZSWP/be96f+x+lL7b++yj7d3x/Yf7D91z8DDdJkrdDz47uJfujB/s3t/xngfp7nj/IPjoXro33tk/+PTBw9293YO9g517n95P743vHezdu3+wt09/fbrzYI/e23vgN3pArx3sBq8Bh0+Dj+4TBrv3d+/t7Rw8ONh9sPvw031qtTt+eN8HTljRZ/cOwje398b3Pg0GtJ9u3xs/3Ak+u58+GN//1Id2LyWmeLAffkTESffHmKZrot/O+OD+A/pqd//hg/1PiZT7ae+jPYxm/8Gn93bvPXxA+O/u7+/euwdED3ao43s7D+893Hm4/+ABvbr38N6nB5/u7BH6B/fvH+yDyjufBp8RVuNP97o9ULN7ITD6aG8/7BSUuP8gaMbU2dkN2mEMRGa/B56k3Ye7O/v7e8QI9OG9/gcgDf6/fX9M73i9HEQ+Ism5a0Xn6PGkWs68X1mWXuXnzZ6K00dpVc/ymmQeL6JJpCGE7lYNIZq3bXj/Vg0h5rbh3uaGD24L8eBWDQnHh7dqyOrnVkii5e6tYd5ucqD0bjc7ohdjTfmHssldo43p156mvuvUePL4LhmIo+T/AQJYLkk8BgAA</t>
  </si>
  <si>
    <t>2C451F29F3C4121F1888B8870449F0CA</t>
  </si>
  <si>
    <t>JChemExcelN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8d/rVH7Kfy/4//j3S/rv5KP03d5nHz0c7z48ONjbvXdvd+/Te5/eSx+MDz69v7u/t7fzcP/e/fsPP00/Hd+/t7v/6b2dgwef7jy4/ymG/fDBg4N7Dz+9/+DBw/t7++k9eml/d2f/YP/eQ3r54OG9dI/e2tnfu/9gb293797+/fv76S699+mD/U8/3dnZe3h/f/fh/f5HD/ovdqE/TLd3xnufPjg42Nm/t//g4cPd3U/399NtgvXg3s6nDx/s3btHwPbu3+s3fLCXbu+NH+wG7dLte+P9g85HkVb3xzt7vY8ePAw++ii9JqrujXce7B3s3X+4e3//4acPH+58SiO9txN8tJt2W3XbHDA1gjb4qAfpXqzVvfGnu8FH99L98b2DoL9om52Dgwe7ezsHnx7c29/fOSDYB/s9DIgvHt57+GB/f/f+w/sPdu53W2Es93ceEtsQfT799OAhTeMOzc99+uDTB7sH+/Qdkavf6qDbbG9nf5/k5a4VmKPHk2o5835lCXqVnzd7KkQfpVU9y2uSdLyIJpGGELVbNYRA3qohxPZWDSHctuHehoZQAbeCCEVxK4hQJ7eCyErnViDvBy03wTyAErtVS9F1t+peVOKtoD64dUsGertZF1V8u6assW83KjS93dwb/d9vyj9UUO4aK0S/9izUXWe+ksd3yTAeJf8P2ttpUjQHAAA=</t>
  </si>
  <si>
    <t>19AF2A29FDC65614151313155E3ECA5F</t>
  </si>
  <si>
    <t>JChemExcelf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X6df0n8nwX8vIr+daDv696P03d5nH306vr/z4N79/Yef7h/c3wU1Htz79MH9g/17O3t7Dz/9NL03Prj38OHDTx/s7e4+3H94jz7Y+dT7YO/hg3R//OlO0GaPoH56b/fB/YcP73366cHD/fvpLkHe+/Tewf6DB/fvHRzcf/hpur0z3v10d2d/59P9/b2Dh7sP9u+l27vj/Yf7D3YfPvj00116Y3dnr/9Z5M0HvR4I/t744f2H9/Y/PdjZJcwe7H9K8Gk8n+7fv/fpzsHDB/t7u/fv70XaHaDd/r37e/doeHtEnd1P7z9Au/0dgr57cO/gwf1P79PM0EcHBzuf3qc3d3Ye3nu4TzO1vT+m73d27t/bvb+3t7+zs48RHNzf2X346cGDT+/t7N7DZ7v74719ou3evXs79+7d3905SHcJkV0a6L29HWr+YOfBXkrMef9gd+fe/s7Bp58+eLhz79OU+Hlv35uzWJP79NHezoPd/ft7uzQR+wToU4J9/8H9nfsPaD53idv6jT5Kr4kldsaffrpDdKVPDqjtvfv3iLTED95HNJ/dVjSg8cOH+0TAfWIgjJX4gObp0wf39u4RZT99eH9/l4bOc7fz8P79B58S8nuf7nz6aQTaPeGOoN39BwexdnvjvZ3gI/rk4YPgk/1oo09pLvYO9g8+pTmnqe4NkmATCgf79+9/SmMilrm/u89TuXewQ5NDbHef5n2PZBSMsbd/f5cmc+/BQ5q9h8xn1GKfRvDg4ODBg/37+2AM+ureHk0cOJa+SrfvjzH5xAbUmATu3h71eY8m33v2mGb9D/HZ/kPvOYi0e4Bp2Qua7Uuz4LP7n/b7fYCxdt79lNTeXav3jh5PquXM+5UV4av8vNlTXfhRWtWzvCaFjRfRJNIQGvNWDaFXbcO9zQ3v37bhp7fqGpr8Vg2h72/VNazCrSCy7bgVSDExtwIqluhWUB8ELTcCRf+3m0qxgLdryobyVqg+DFpuBMqW93ZN2UDfrinb8ds1ZXN/66Z7jgM2ihI7Drdryv7F7ZqyG3KrGeCmt5sCxvV2UyC+z+0QQNPoFPAPVVZ3jUNHv/acvbvOE0we3yUf8yj5fwDeNymhfwoAAA==</t>
  </si>
  <si>
    <t>C620A2961B269D08E4A200A933443DEF</t>
  </si>
  <si>
    <t>JChemExcel0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epC/0/yfp6/Rl+iX++yh9t/fZR/fHD+/f+/TBw9293YO9g517++n++NPdh95zkN4b7x18em9v5+DBwe6D3Yef3ksf0CcP7t0/2Nu/9+n9T3cepAfjT/d2d+49oD/3D/Z3d+6nDwnw/oPdT/epIQHfT4kMewcH9x5S+4e7+zu7Dz5Nd/fotb2dB/sP7u08/PRgb3cv3b1H791/cP/ewf29Bw8/3dunVvfpxYf79/YePtinD/YOdtPd/fGDPb/VA7y4exC8+FF6TQO8N96/56O6l1Knn/qfEG7dRrv3e6327vVa3es3Oug36ncYgfSAyE6E8D7ap9eIot7UPKQ2Dx74VH5ITHLXcsnR40m1nHm/Mtu8ys+bPeWcj9KqnuU1sTdeRJNIQ/DXrRoSxP1bNQSv3qohOPpWDcH3t2oI6bhVQ8jQrRqypNmWeze03L01zOjk8A+d0btGR9CvPf1x1ymX5PFdUltHyf8DTbd84dIEAAA=</t>
  </si>
  <si>
    <t>6FCCCFABC524459743DDC072A70AD99C</t>
  </si>
  <si>
    <t>JChemExcelr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nuRfkn/fpl++VH6bu+zj/bGn3764N79g739e5/e/3TnQdr9YOd+Spjfu/fpg4e7e7sHewc79+6n2/vjvU/v7RzsPdzf29u9t7Nzb/90e/fTdHt3fLC3u3//4af7Dx88uP/p/gN8/qAPoQ/00wO83fns016z/f0ehnjvwT3q7uHe/t7O/YcPPv30PvV6/6P0eg9zeP/eQ+85eJDujx8+3H+4+3B/5+DT/Z0Huw8F953xg0/9lg8fUlcPd/bvP3jw6d7OzsHBp59+KsMkmEDj3k7Y+t74YD/4JAL04GG6TW/uptv3xjsHO/5znz97EECg+b9rGeDo8aRazrxfmSNe5efNnjLFR2lVz/KaphUvokmkIVjHNtzd0BAMdiuIYMNbQQSz3grirt9wE0Tw/q0aEo4Ht2pIo354q4YsbbcazUORyT5M/qETetdIP/3a0wx3ndpIHt8lhXSU/D9g6740rAQAAA==</t>
  </si>
  <si>
    <t>94551526FFF7035C6133E3A4F8FB3513</t>
  </si>
  <si>
    <t>JChemExcelr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ntB//8S/32Uvtv77KO98aefPrh3/2Bv/96n9z/deZB2P9i5nxLm9+59+uDh7t7uwd7Bzr376fb+eO/TezsHew/39/Z27+3s3Ns/3d79NN3eHR/s7e7ff/jp/sMHD+5/uv8Anz/oQ+gD/fQAb3c++zTyGbXr4ri73wO3v/9Rer2HKbx/76H3HDxI98cPH+4/3H24v3Pw6T69/FBQ3xk/+NRv+fAh0eLhzv79Bw8+3dvZOTj49NNPZZQEc5++u7cTtr43PtgPPokAPXgI7MM3D0D0nU/vPXhwcHDv/r29T3epS+roPjcFC9y1PHD0eFItZ96vzBSv8vNmT/nio7SqZ3lNM4sX0STSENxjG+5uaAgeuxVEcOKtIIJfbwVx12+4CSLY/1YNCceDWzWEKN0KxwMI3K1A3hOx7LfkHzqhd40CoF97yuGu0xzJ47ukk46S/wdEkriVrwQAAA==</t>
  </si>
  <si>
    <t>41B4F79B1AA50B4E5121BFC7F1354671</t>
  </si>
  <si>
    <t>JChemExcelS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Kf57Qf9/zb99yb9/mcrn5j/57Ev998uP0nd7n310f/xw58H9Tx/ee7j/cOfew/v76f74waf3dvc+vUf/fXrw4NOD9N744P6Dh/ceUMPdewf37j9M98b3Ht67t7uzs0//u3dASPY/6b+1Q5+EbXqf3Eu3d8Z79+5/em9/f2fv4cG9/U93Hu5HPnywl27vjh/s3dv9dGf3wf39Tw8+3SPkt/fGu3u7D/Z37+/sP9z79P7OwT18dkAf7ux/unuw//D+w50Darc/3nv48NN7NOSdhwe7Ow/4o08fHuzt7j7YAy4P7z9Itz8d79Ig7j0gWA/39nf3aBa2H4z3HlB3uw9pSPd39wks2hGhaBif7ny6T59jGPfH9w7o3X3CdoewuH8APPZ38eXeAZH6YIfAELHv3aNx39vb/3T/wf0HDw6INQ/2aUQ79+/TyO4f3HtIhCQ0731KmO19enBv996n99P+rIHfD/yP7hFxdwj+7sFH6TVN9M740/tEhvsPP6VxEFYHTOp7RMF71NPDTz99cECvgahEpr293Xv7NJ77ezzk3fHuftDuAQG/9/DBp58SIMJtb5c+x2Q+uEdo7+zsfkoNd+/f77UCTbvAeNJoHvce0Dt7nz6kOXtwL90d7x98SnO/94CaPtx/cPCAPto5ANUe7tOk7dJAHvAIHtKAHxzsHRCt7n96AE7cffDpQxrXwacP9w4ODug9ouu9h7s7NBsPdh5SY8Jrj9jg0/t7xBB4kagPWMQHD4jq+/v74IEHICExx94evX1w/z7N3Ke7BJ4mnxhu9wFxFP2HTw4+BZb3iYeJgQ5IjO+NadD0B2G5Dxa5Tzxyj9Cn/g7uPfgUSNynEdFn+ztEmr17Dx4SY1L395gz9x7sPaTXCOj+Q7AXEQPjBrvuA737IPYOWPHeTqdp7yPSUHetijp6PKmWM+9X1lmv8vNmT9XWR2lVz/KalC1eRJNIQyi3WzWECrxVw/vdhmghivbou/KW/rUJxKe36mvvtg0J4oNbNYR2v1XD/ds2hLGwDfc2d72784GUE5t0K7zEdN0KM256OzYRQ3i7pmwvb4cAm9XbQWXrezuobKRvB5Vt+e2g7gdNbyLW3odOOWCEM+699e3bwRD35FbD46a34wX4O1FW4B+quu4a14x+7bltd51Plzy+S97iUfL/AJqF7e9JCgAA</t>
  </si>
  <si>
    <t>25208EF8B2F92751007E843115C29A6A</t>
  </si>
  <si>
    <t>JChemExcelP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PcilZ9f6k/335f03Zcfpe/2QJJ79+59+uDh7t7uwd7Bzr1799O98aefPrh3/2Bv/96n9z/d+fRh5JP98c7O7s69B/T3/sH+7s7+fSLJvXv7D3Y/3T94cI+g7aef0lsH9x7SCw9393d2H9xPD+itvZ0H+w/u7Tz89GBvN31I79x/cP/ewf29Bw8/3SMoRPZPP324f2/v4YN9+mDvIN3do7fu7e7u0Tv79/fuEeTde+MA6fuxTyKv9WHvjz99sLP/YOceIbhzcO9gP/rRpwRqf3f/4f6nuw/vfbpPNO/2t/+gN9z9j9JrIvD2p+OH99LtB+NPHwZPuv1wvHfP/+QgRdu9Tqvui5FWB99gq3iPEVQhHzu3a7ZLP3bH9/f9r6gfmqF7e/Jjt/MV8dKB/8kByc1dKzhHjyfVcub9ypL0Kj9v9lSYPkqrepbXxN54EU0iDSFyt224f6uGEN9bNYSQ36ohVMGtGkJh3Koh1MqtGrLysS33NrQUHXUroKLKbgeVNd7toLJivBXUh0HLjUDR/+2mUxTy7Zqy3r4Vqtz0dpOKltFZ5R8qKXeNOaJfe6bqrrNjyeO7ZCGPkv8H/plUTD0HAAA=</t>
  </si>
  <si>
    <t>72792396D3A9BB0755CD22FDE3677631</t>
  </si>
  <si>
    <t>JChemExcelFy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uDBx+leZljUt5cr3Ka4/RFenLDf192/m8+db/7331deOa/1ww5/Fw/+0iYsDyZZ/UFIb+T7qY73+h/3wy87RiY7d2P0nd7n320fTDe2b937/7eg4P9hw8+pVmhTw7uPXiws/fgwaf7OzsHxDTbD8e79/Ye0v93H97f3SOW3iapu3/wcP/Tewf38c/BDrUiSXtwf+dgZ39n/9NP7+/vEttv794b7+08uEeNDnYfHNBvD+mz/fE96unh/sGDew8efrpzwB/Rd/sH+/v3dj492Cdk6LO98ae7nz68R23u379/sIuPdsf79PvDe5/uEMg9/uzh+OHDhzv7ew/pvd1Pd4n36KMHO/cO7u3d37t/b4d6YXQPPr2/+2Dvwe6De3s7ezv3ZAifPnz46d7eg/29nQMajQzh3u69nT0awd7ePn3FQ9g9eHBw/97uzu49Gt+naHdvvH9AqBIW+/uf7hFQxpcI9GAP1KQPeQg00v2Huw+JePfuffrp7sMH/NnO/XsPD/YO7u/s3d8/eMi97tOQHhJi93Z39x7uMbD7Dx/s39vb2yWKH5CG2N69P94jEhFqhNbOzi5a7Y8f3nv46e7+LtHo4OCAKX5/TM33iE47Bw+p5S5Q+3T8kMZ/cJ/ee3jvYIeEf/vBmGaXiEM0ub+zT3DT7U9prvYOaMr3qNkOkTPd3h8/+BQE33+wu/twn/7FR/f3Pt25/+DTvYf04QNSONv3iJIPHu7u7316jyb5YA/j3COe2SH67u3uH9C8fsokHx883N39lKb03v4OEY2U2/YOTek94oV7hDIR5lOCtzOmkT+4R3OyR2jsEQYpQTvYebhPmNDP/U+JBum9MXX26d793XvUB5HzQbo/Pti9f0CQiRK7+5+SWrtPtL5/78GnO3sPiZz3aE4+HWMWaUqIqYiuDw9SIsR9MB8ezDtpsYPxp8SLu/eIZQ6IkXYeoNHBA7S6TzNH4/uUPnlAvx3ce0iw7+3vka57SPNzcEBNiMI0mzQZD8f3aaD7+w8Jnwc0lQ9TYjri1vsP7xNrU+cHpHZpqneB0H2i3D2aSpp+YogDoiix76f3MSU0NnqR5ovITXTZIdqTXqePdnf2H35KgvAp/fuQ1D29uPfpp8T0JEIPD0iGGTx1fXD/PpFklyaE0CLupSkhWaYJ2t3bIxKmxDWE6QMa3v4uwSaupE+IvQlRohoxJ6O1P95/sE+Y0x9EL0b+HtGThktS+QCzQGZt98GYWJlISu/sH3xKSn/3YExDIbHe290lpt+l+SSOpN9ImHaJCWgExOD0HjHxp/c+JTVEVIWcEXRSDwSE9ML+PpFnDx893LlH4z0ghr6/R6/zoAkXojmw3yH1BMpABgncA/AWQX84vgfOp55I6ogViKXukboKsdrbG5Mq2P2UZuLhpw+IAXqfkHmOvUd8dvCAxOIenp29yAeRl6JwiJm6KNEgvY8+hZx+CrqR+ntAskusfLrNOnlMfUEOWRx2SFf0P7vPkklEgETuY5pI3fHrkbcjHxEH7EOv7Dwk9bXz6d6n9t29vU+hEkjtQFvSxzSj4/vEs94DLUYi8dB/Pv0ovYYh2qEJ2iONursDZbBLX0CZjUnF0Oh3SbBBjoMDKBviMlKDuxBg+nYXH4HFiU8f0iztgwNokA9AMJJn0oukTh6ymgIRSVJ290gTkp5mWpBUkZEjgA/vkXTdh0b6FK+Q5JGBIsmGASGGIoYjG/kpKaldCD2Qo3d3SBfBKD4gbY1mDzDO/f37u/vQKuTpkOUhybtHyJJyJzxID5J0E7o0ovt79PdD0t1QZtQVGn0KrAntFLaDpG+fRBAKnxxAEltS64Qk4b9P4yefcQ/v7ZJ6vkdEJ6NznyeD2tM8EPpkjUn3QDGSqYOt2vuUzDG04D0IGQEh8Sau2iVNCevwgFjiIUwFYfnpGAMmy/0pDfIeiTQNBbNMWBFH7u+RfiZINBZWHIQmid4DchqY9jtkQslCkz0mdfSQ5x0T8Smh8ekuqEaCBOJ/SkMk6lMzki1utgdVRnqe9C5pMBCVuiC6E5o0tUS4Bw94xu89IM5/ALW6/5DUGGhPav/THTgxu/eJpg9ZJEhxPHgICYa127vPvRJFyfI9JAxJx+4AOzJgNEBiYjLIO8R593kU8GE+3YE+Iuv/KbiKtN1Dgki0pTkg/c/gdomoD8hZoG7IsoAzyHN58BDQSSGRSn0Al2Ef3ELWmAwMKd0HjFyfuW9Jkh1oPEKOenzwKU3KfajBMSZnjz6AVNHg8NGDPehvMnkQYygikgEym8R3EIqD+w8f0ifkhpHwsO9BxppUBEwG8QCNcxfWC6CJKwkxGic5fPd2wQsP6CMi6QEZhz04gcz9hOk9muMdErOHe5gVmjwSg13ihR14RvwJGVTiz114FsQILIUk8MRTNJEg5c5Dfm/3IY2VPiAaknMA8PQisd+n5ESQUSAIkC6SDJLVHWglYgaSVaINGQjSmA8fwK2jUdJHZLEgXvdhi8lgk10Ev+wekFDsEi4kqPfh7uwRN9OwSUyJVmTC4WBCxHZIVnb3MQM0CtCQyPMp2UJSyw8g5OQm0Vc7JJmEGNntT0meoFCoU+I0Yqn7FJORe0XsSaAg0w/uM+hP2aw9gNUn5hWNRFrZV5DMYmDIHfjDvjq9h4F11OmutAsgKIjgM/ICxuSCMz/s8+8BnPvytd+bur37HhPfx0SB2TuMvQvfL/yIJu/Tm1t1YAE+hSN7fqtduK5kjYIXI426H1FEf9eG9EePJ9Vy5v3KMf6r/LzZ0zD/o7SqZ3lNuQi8iCaRhojNb9UQgfmtGiIqv1VDhOS24d6GhojHbwURqYxbQUTC41YQOS1yK5D3g5abYEqe5VZN927dcpcTN7dryvmd2zXlNNCtxi/ZottB5aTS7aBy7ul2UDlFdTuo94KmG6ECgdvxiuTGbtcU6bLbTaxk2m7VFHm3282rpO1u1RQJvdtNq+QAb9cUmcLbteSE4u2act7xdk05PXkrXuGmt5sqSXberinnRG/XlFOnt2u6jwzr7ZpyIvZ2TTlfe7umnNa9XVPO/t5qCtB0/3aCJbnk2zXllPPtmnJm+nZNOYF9u6b7yHPfrimnw29FLMma3w4qJ9dvB5Vz8LeDyqn620G9HzTdBFWS/7dqitm6ZVNZTrhdU151uF1TXpy4FQVkDeN2UHmp43ZQeUXkdlB54eR2UO8FTTdCBQK3YxdZsbldU3iMt5tYWf+5VVOw9qe3m1hZTbpVU8jWp7ebWFmbulVTsPant5tYWeW61cTKYtitoMqa2a2gytLa7aDyCtytoGJYXtONUIHA7WZLlv5uhQA3vZ0YctPbzZasNd4OKi9J3grqAa9c3grqAS9w3g4qr4PeCiqG5TXdCBUI3G62ZAH2Vghw09vNFjeNzhb/0Ej7rllop1+DRXgswt91K/TJ47u09n+U/D8NFHJRFyAAAA==</t>
  </si>
  <si>
    <t>04E78F2D5652306B12BDC915D4659C49</t>
  </si>
  <si>
    <t>JChemExcel+x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c/SvMyByXfXK9ympg09t+LW3wy3OpL+s/9e6Kfhd+85n+//Ch9t0ccszO+f/Bwd2fv/u7Bg937D4myD8d7B3v39/Yf0l+fHuw8fJA+GD/cu3dv597e/r2d3ft7Dx6mn44fPDjY2fl0/8H+g08/3aV5IoZ5sPvgwacPD3bv7T44ePAgvUeQP93/lIA8eLi38+Dhfro33nnw4OGnDw72dh/c2z/Yo+kiJts7uL93/z5Bf/iQ5mZ3/OkD9PLwwf7B7sH+Lk3x3vjh/Z39ewcP9z49eHB/9yFRfH98f//gYOfg0/vU26f39olB7o8PduiFew/u3d/fu7dzQB/cu7/7YJ962d+/93D34B6N4x6hvXvvYH/vwd6nOw920x20eXj/wd7u/sO9vYfEcyQV9z8lkPfuHex+ep+GR3O5vTve39m5f7Czt7d/8Onugx1qt703pnb3CeldGv7uwwP+aI9euffpzj1Cg9D/NN3eIawOHj7c23+we2+fvkKznfHeDuG0s/OAKEPIHhCJMeyHNOb9e4Tuw4NPd+7TsIma9/aJfg9phvaJqvTRPYJz/z7R/sEOaPsp4XtwcO/hwYNP7+/vEoR7xGrSwb2DBzsHRByQh/iYPtzZu/fw4QEN9AGGQbTEwO4/YFLsEG3v0X+7aPjpzgENlsj0gMZHEJgA+w8OaM4OaPw7BzTudPveeO/+p/QiTen+pzRo9HxvTFO3+xBf0P93iUPS7f3x3i4B2d/bffjpHiCn2/fHnxJ77VM/+7sP7+2S+NJHYMP7n+49/JQo8+neg328+SlA739KxLp3H/jeGz8k6u+Advu79+7dl3m4R/xEM7hH0HYODoAtffWAeObhDrEnce5DItPuAZGEQB0c7O3c2723s8eku7/zYG+PmHGfKPeABwVGJEl4QNy+95DYiDqged8ltnm4T0PdJUIAM5pAGuAusfIOSIoB7OzfBxl2SZaoB6bapzv7Bw93iEcIY2Kp+2i2++mnxPCfEocTL+48pM8+Rbt9wpgEjAThwT18xO8Q8iQqe0zvB8RKOweEAbHNLvgewPZ3Dpg0xIBgW7x4sH+fZIx4DXxyQKKC2SACEWGJQz6FpBBJd0gm790j7r5PSpCm/NP9vX2gSAgR9SEZxCPEKfeJBYgOxBnMQ/fR9UN6796Dg08fkJ6kQVLXe/ufkqyz/JG+PBgfkADu7pKckLL49OBhuvvpeMdXM3u3++TBmPjBU04H6S4o7zf6KL0mNQYueAD5hKTd22cBvTe+R7xFWNHYSHkdgPp7NFAaOOmwg0+JAUnPsQzcx4xAemgSHjADHRDxiK9JdKG7wIwkAvcffLq3jxEe7DGzEGfQ3NJ87YP9DkQA7oHp9kl+MCcPmP8hvvvEuHsgyX3mFaLOPcgOMeAeiTeLBBMeCu5TYuwDZn/idVJn1O8uVJnI3MN9Ao0+aDYPmBdJQzwk9UjTcf/hzn3mC0Lx4Q7GTYx9n8wTcc/uQ9KLpMf3Pr23uw8pJOoCecKCsCdaHDAnHuw+JEVBbLC3s3fAgkkKjzCgXu8d7N0j5Q/ECIMHJE0g486uIkZalYwBMTX0BzPLHpQvyf7uHpQp8dT9Tz+lARzQWIg0e1BopKgeEpo0TEKfRI4+IjGiN0CsfYLw8B6MxKfE1NQ7ZHL/3qespXZBF8KbxHpvh2iBV2nIZE4O7hPGJJWQcNJQMEn3wY+fQjkQY++RWSE4pCB2iad2RDmShSJVSLK2S8Mg1qJe7++S0BCqhB0IBNSIYx5CFni6ydUg7if99eA+mScyVfehyqkDmrV7pFgg4qqQ7xOrPrxPUkdqhND9lMQSY75HokOSuXeAD+4TQ94nepKqf0hUZQN6n6biPlh27wFJ970x9Q819gBjIRLB7NK87+4RYNJENDIyzTtkke7TrBP4PbbepEJIlTyEzaD3D6gJASUlAcVF80gc84Bsze4BrA3ZRhrKQwJM8wubu7NDwkZfEIIPH0CeSC3QAGlu6BNS6qxTCSfMIVAmjQqjQ7JD+u5gH9qG2P8B+RQ793dIQxxQI8wrzRnx/qf3D9iuPSRJokkkXUd2i8QHChtTtwMjQr/tMa1p8KQp7x+A9vd3wcPEGiShZFbIOSBy0694k9geavjeAZsqaCmynKTCyV8g7UgGj8w03n1AZoTsCaG+C00oUr5HaIK6NKyHZOxZQewT0sQUIDLZHRKE/YPT7V2YbXmJ2OsByEBWmBTqw3v05afxV8gfvmsd4qPHk2o5835lD/lVft7sqZP8UVrVs7wmRw0vokmk4b1uQ7QQJ/zou/KW/rUJxP6t+oK3e6uGcOtv1RDO/60aIkS4VUMEErbh3oaGHG7cCqREJbdrysHL7ZpyjHOrpvdv3ZKB3m4y7926JSh1u3mXWO1W5JeQ7nZQOfK7HVQOEG8HlePI20G9HzTdBFUi01s1Pbh1S0S0HyrkEirfargSUd8KMwm8bweV4/PbQeUw/nZQ94KmN0K9nRKR/MGHUpwTELfqT/IUt2u612v6NVBD3uN2akpSJ7dryhmW2zXdRyLmVjMs+ZrbQd29fVPgeju+kUTR7ZpyPulWTfdu31QyVENT/u1bTvn9HpChppINu1VTDHh/UDXdEjXJut2KGbjp7VhMcni3asqjCPnGw/uWMgU22Q856v2BSLLxVkhLTvJ2VENa8nZzD7m4P6hebjmhkiK9VX+wNfdvp14k4XqrpkjFhlP/NQbBed1b0Zeb3k6ZSJb4Vk0x3EEbdMtBSCL6Vt1JvvpW4+WmtxNYbhqdNP6h4c9ds5hAv/YWGu66VYjk8V1a3zhK/h9nxmF6+xgAAA==</t>
  </si>
  <si>
    <t>0B0C14A9619CCECFF5E61E8AF3EF11D8</t>
  </si>
  <si>
    <t>JChemExcelkx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7/3UZqXOSjz5nqVE6FT998L73fz35f03wn/333i/t//5oX9zXzDv3+Uvtujmf50fO/Bpwf37j3Y+XT33sM9ohZ9tPvpw53dgwe7O/QV0WV3f/xg/96n93Z3Hj64v7+zR+TZvT9+8GCfPnhIH+/fpx/4aGen89G98f7DBw8e+C/uUat7u7t7O58+uLe7t0ukIg769NOH+/f2Ht7f5Y/20ofje/fuP7h/7+Deff3kgF7b23mw/2D3IX9yL/JJ963YJ5HOeijdA+L37n364OHuLpFGW0U+2h9/+mBn/8HO3kODQgzWhuHtPdw/IJI9iHxih0eTcP/TnQf30k8JzsG9h/fvH9w/2DvYIcbrf9J9a5ck8N49otGn+5/uB78fjB/s3d/5dOch4bj/6T1i0wfjvQcPdw4O7u/sPPz0/oOHD6n9g32C9+mnew/u3f+U2MMj+t6D+9RB7BOL1cNdxmHP6/chscd9Ep99emt3594D+vghP94nD/fvP9jZeXDfvfZgb2f33v39g/sEe+f+HsMmIt/bOdjFJ7sHu5/u7j548Omnn94/OEj3qH/Clzj3/j6N7b7/yb2HB5/u7z8kPiTYPJ071IRGRvR1WD74dH/vPimCT8dEmZ3dvYP9+59+eu/B/V189OnDT3cOdj69v0eMcD/CqaTwHlKbB0S0h/c/JSIwO+0d0MCJ2gckG9QvpIVA08iIusRTu/dJWh6MiZPuPXxA/dGI7h08wEckh9Q74XDv4P7eg4/Sa5La7Yfj+wf7D/Y/vU8jJCKQPtmmbnd3dz79dOfe/ft7BzT0A/7s04f3aMC7D3foH8KPPtsbEyhiT6LFzsH9hwf79Nn+ePfBLsG7x/xAc7hNKB/c371PemEH/HVwsMfNPr0nX3264z27m7/aG9/Dy7vj+/fpB5mLXb8FffVwvLff+eiWzR6MH/ifDL2pfXdbE3Kfjh/e63xEbPDQ/4iGRYPbu6HVXhRWpMfIR13w1CMxDIkSCc/Opw+JISAyQ58RK+7SbJMM3ueZc2Ta3ft092DnIdPkwYH/2YHSRD4jXr/36S74wLW79+Dg/j7zi2t3H/wqs7yjg78vLBzMvLzKE//gQAYmPeDV+4zdvQckmXv70ItBryQSD6HGvEHIR/cDRB6QgjjYD8bqdQp9dX+f1MEuaZJdRm2XGPsByfABdbtzHxQhI/dAfpCs3vv0IWnQ3QckLMqv9z/du7e385D+x3J0f3z/wQF0DOmiXZJDxoagQxXQ8xAow9jtPyQV9On9nQcPSZGRy3LX+ixHjyfVcub9yk7Mq/y82VM/5qO0qmd5TTYZL6JJpOG9bkO0ED/p6Lvylv61CcT+rfqCT3WrhvC8btUQ/tmtGsKLu1VD+Hq3asge4a1aiuN4u6bsX96uKbuht2vK3urtmrJTe7um7Pverim7yLbp3k1NbzdV927dklENpxVtlLG/fTs2B2n2whl/fyAcGHwjQG7HJRKE3K4pxyq3a8ohze2acuRzu6a7t28KqKHke4S7pd7iUYQM9DXmAlQbZK3bYoLw70O5QuLJW5EPCuHeh6r9XY5bPxDIvf1NQG47cgC5HTtKgH27phyH364ph+u3a8pR/e2a7t++KXIAH8xASCiEDPT+QCRTcSukuentdBOmbT/UTe/PazCu+7djE256OzZBhmZQE92SaJzFuVVvmKIPNWT3kSv6QBj7yDV9AzDeUwnxD/V575okH/3aSwDeddnB5PFdyjseJf8P0Q2BapMUAAA=</t>
  </si>
  <si>
    <t>63A79D1A0DAC4BD4F82D3CBE0DAF516D</t>
  </si>
  <si>
    <t>JChemExcelA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yn9fpi/S1/Tvl/wb/j6hn1/qtyf8OX6+5s9ffJS+2/vso+2d8b0H93Y/PXi4f3/v04cHn376IO19dv/Bg3Rn/GCXft7ff0j/PNjffbAXaUdj6X/4MN3eHe9/ure7e+/ewcHewwe7+w/updv3xjs7/mcH6fb++P5+0Kzf6tPeR/fTvfHe/QC1/ZTa7Pkf9RsRSam7T8NG98f37vmffPppr9FBr9HD9NPxp5/ScPc/3X14/+A+/UKf7O54bWg+94H1zsNP7z24/3Dv4b2De0Dp008PQMn7+7s7u/dAlW6rPkr71ObBzsP9nd2dTwnwzqdA6OD+vYP9/R1Q+z5NYfpgvHvw4P7evb29nf2Dew937hFCB58+uHfv4R6NaW///v376cH4/sN9wmNv7/7e/Xv3dx58lF6DIe6NDx7s36MPD+i9B58SzdPt+2Pq2P8s3f50fH/nHk3wg3uEw/5DGvP2A4K4t7dLI7q/Q7/coxl9ON6953/0sP/i/f5Hn/Y/IlY4GO/sd17cHxOpNr+4B+x3P314/+HOp7s7e/c+fUjzjEHeu/9wl7juYH/n4OBg50G/2b0eMDDkA3qTJvsAJKcpwjxilA92Pt178JBmaI+m8gDI7u/4H9GbpJju0wh2aPYwnTtA7eGYZtI12+vBok9IYe0f+LAe9vB/8Ckhuzfe3yOo9Nm9T2miIaCk6h4e0JDu7T882KeJP/gUzUg4vc9YyIiVHtLEgsuIJw/u4VWSxb1d6uQhTR0NlZTm47tW5R09nlTLmfcr68BX+XlDPAQdSBqzqmd5Tcr7I2kh2vPou4/ven/JH3EQ9wIQQw2hbG/VECrZNtzb3PDTW0Hcu21D2IFbNYS1uBWO1PDhbRvu7tyqb9ikwVn79u1mTQzcrboTO3irMXDT202yWNUAqof3yS1HwWb5dv2x9b5dUzbyt2/q5vempnu3m2DxLG5FcW56y3mEf3I7URV35nYIsNdzO6jsHN2uKftQt0PgXtD0RqjRieUfqiTvGqeSfu05nHedN5o8vkt+7lHy/wC11L3kAwsAAA==</t>
  </si>
  <si>
    <t>710EDEFB42F70B03CA70AC234458F223</t>
  </si>
  <si>
    <t>JChemExcel7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9v/7cuCzL/XfZ+nJR+m7vc8+ujc+uL/z8OHBzoN79/f29nYIq/vjvYcP7x0c3L+/f2/33t7+w/TT8f0H+zt7D+/v7ux/uvPpwaf30wfjBwcPD/bv7+4+2NnZv//wfvpwfG/n/sHOzsGnu/cf7t//dJ8+Odh7uLP36f7+AbXce/hpCtrv7z882Nt9eG+fOvz0IN3dG9+79+DB7t69+zsPHuzf36FWQOrep58e7DykH/v7D+ij/fHB/qf36M37ew927j0gou1+Or73Kb117+HDB3sP7316cIBW9/bu7T7Y+/TT++jw4D7A09j2dj99uEeY3dshihMSB7uE06cPPiUUqO/9lHgGre/t7uwePLx372DnHiH/4MF9GhHR4NODezsPdtOD8d59QvvhpwcPdh7e2yUSUD+f7j6kjqglDZso92Dvwf69PULg/s79ewSYEKJXdx8QNYnOOzT398Y71PuDXfr4wcHO3j3qap94cg9kuf8QxLoHQEDi4aefPrh3797+3u49zAq9jzcf3H/w6d79TzEpD2kQRMr7B/sPCC0exgOi2r379w+I7gT7AIPde7i79ynh8Oneg3s7+/dAkr39PRrbw3v3H9Bc7dz7KL0mVtjeG1Pv93cPdmg6d3YI+EG6fW+8+ylRiKbh0wf3iRL3U2pGSN/fvb+/S6M4OKAe0WxvH2R58HB/f3f33sEumj188ODT/d29HaL1fUIn3d4dE632aJ737n368N5Dog99tHf/YJcYgpiAJoTYj14k1ri/QwxHMw4CfYrPdkEZmo39B4Te/j66vEcY3H9wb+/+/Qc7n967h4926DdC6R6x3z4Nl97cHz94SFxNtP703qc0ABKl7fvjnU93iSfuPfx07+BgZ38Prx4c3DsgvqUZ37tHfPEAr9IgHxLTEBvuPyQW5Vc/3aGviXKE6w79g48OHlBvBI9kgyb7Id78lNrv7Ow9uL9Hw7jHnxDmnxIt9nd2QWC8R9NAUnEPc3/v3kNuRZ1B8kjw7t/ffUigPqUpffhwn0TyYHd3/94B4UqytwPGf0ATe3/vPsj46ZjkkASUOBSMvg9UPyVO2zv4FFQDv0sz0OHBfZrMnR2ICKNx797e3gGxH/ESYbfHHxFWNI8kvAd7e5+Srrtrld3R40m1nHm/svZ7lZ83xEPQfqQrq3qW16S2P5IWojePvvv4rveX/BEHcS8AMdRwv9vw/fuCmr5VX1DmQ319+3Z9wRjcqi+YjFs1hGGxDfc2NGTzcyuQYqVuBZSb7t0OKtu820Fl03grqAe3bim29lZN79+6pRjv2zVlG3+7puwK3Krp/q1bim9xq6Z7t24pzsoHCqB4O7fiDG56O34T3+lWTXkUIRd5eN9StEHfvZBr3p8UYJK9QSVzWyDwFENO+xrD2Rc3830w4R9qFe4a/5l+7fnWd53jnTy+Sy79UfL/AAs+ktPuCwAA</t>
  </si>
  <si>
    <t>A0F3A17F646C054E65BF1FAB7F902242</t>
  </si>
  <si>
    <t>JChemExcelj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X9dzL435f6f/ffi4/Sd3uffbS9N/700wf37h/s7d/79P6nOw/209hH++Odnd2dew/og/2D/d2dh+k20evevU8fPNzd2z3YO9i5d7AX+Szdvjf+9GDn4NNP7z24f/+APnzw6ek2DZg+39nZf/hg/8H+7t6nO9SXfByD2sXn3oPIZ7d7NTI6QOsMbzfdvk/A9h/sfrp/8OAeAdy/H/0oQpZPCfzBvYcE+eHu/g5NZ++TvT4oQuGAQO0Rgg/u7Tz89GAPL+6NQbO9+0SdnT3q4j6TqDvMnYO0M6RPP/2099GD3nvEbTQJ9+grwL9/8Om9+zwHH6XXexCt+/sEZGd3b+/Bw717e7v3gNceNfg03d4ZP/j0YfBEPmPq00thM5r2B/4nByDip7v+Rw+YPgc3tDqIwHoAYj/c6zR7MA4Re0AT93C8d8//DJxHCiLA9tN+swcRaP0+H0SAEePtgqb+Z+iUSLTbfbf72b34GL7mUGPYxYZKqu2u1W1HjyfVcub9ysruVX7e7Km++yit6lleE+fgRTSJNIRWtA33NjfcvxVEaNhbNYQevlXX0Na3ggidfiuI0Py3gsj24VYg7wctN8GEPdm9VUsxS7drytbrVpiKkbsdVLaFt4PKJvN2UNmy3g7qXtB0I1Qg4KZ/Y1M26bdrypb/drii6e0ndu92Eyvuxq0QEK/kdlDZebkdVPZxbgdVXaHbQN0LmnpQ+YfqtbvGv6Nfe77fXecYJo/vkst5lPw/EbYYkY4KAAA=</t>
  </si>
  <si>
    <t>CB351D650D743A21FFBA4ABEB87A71FE</t>
  </si>
  <si>
    <t>JChemExcelM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5/X6Yv+F/3yQvv3+Bn+VH6bu+zj7Yfjncf3D84eHDv/u69vQPCL/LJg/GD3d29T3fu7X66d+/e/Yf76fan44OdT3ce7O7sPXhAnx/c77e6h1Y79/xWD9Lt/fH+w85H98YP9vyPPr0f/6z7aqTZfr9ParU3JgAdYLvj/d0Qj53x7t69h3sHDx/s7T38lAa+Sx8dPPQ/omnYG+/fC1p9mt4b7+0EH6X74wf7wXvEbURN75P9Xpv9Hpz76YPxzv3uJwcBkvvpw/G9T8Peie93Qxx7jSJwdvfH9wIU732UXoNDiHpE0QcPd/d2D/YO6Nd0e2d8/9PgI/5s5+DBg4d7D+/v7D/c+XT3wR6IfO9e0G4Pk3H/wcP7n97fe0iMcn///v1P0e7Bg0/v3f/04N7D/Z2dvfs790+3d2XG93cOHu7tPDy4v7Pz6d6n9PGnaRfq/Xv9nu4/QE+ffkpcfLC3f+/T+5jrfUDc2aHhPKBP9g/2d3cGmkW6iONyMD442H1AkB4+IMB79/eiGH4a/SjScfcj0gPdFx/wJ3t7nz74lGh9f4dY94CpNUDECGU6vXz6MPpR90WlcqTnOBGIIUhX3rXK8ujxpFrOvF9Ze77Kz5s9VaAfpVU9y2vS8ngRTSINoWZv1RDK+FYNobJv1XD3tg0J4qe3agg7cauGsCa24d7mhg9vBZEt061aigG7Ve/c9HbzuH/rlsD0dlMu5vV2TdkK364pG+vbNWWbfrumbPpv15Q9hNs1ZUfiVk3F37hdU3ZLbtUUw7plU0bgdhMr/tCtWFDcpttBZe/qdlDZCbsdVPbVbgf1XtDUg8o/VFfeNU4o/dpzUO867zV5fJf84qPk/wHuVxenMwsAAA==</t>
  </si>
  <si>
    <t>F8795DB24E1C2F183F37D242513E1FE6</t>
  </si>
  <si>
    <t>JChemExcelw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mvy/pP/n3Bf33sv0ofbf32UfbNIb9+/u7B7sPDnbx8+He/XR7d7x7b//ep3uf7u3SN/sP9vbTfsOdvU9TItf+vfvU7tP9gwf3dh5yu4P7Ozuf3n/4KTX89MH9nQN8trt7f2+fID3Y2f304f39nYfp9t743sHD+/cO9vYP9h483KWPdsYP7j/c23v4KbXeObj3YO8g3RvvPTyglw4e7j58sENd3KdW+w8O7h98Sgjs3d/Z//Rg50H6KT7zmu1Sq5303vjhpx+l1xjm3vhg5+CARrK7+2B/72CH3qFRPth9SFAefHrwYPf+/d0HD4DppzSM+wf39u5/enCwd2//frQdNTvY2915cH/vwf7ug51PH+wSpjv37u8TYgc7D3c/3SdSUCP68uF9epNQfbi/ey/2Xq8VBr378NN7ezs7RMlP79+/f8Cj2b4/Pjjwx7Ab+Yi4565ln6PHk2o5835lfnqVnzd7ylIfpVU9y2vie7yIJpGGYLxbNQR73qrh7m0bEsT7t2oImbAN9zY3fHAriNT1wa0aQgpv1fUBZDUGkn/oNN01GoF+7WmLu06VJI/vkpI6Sv4faZWujMAEAAA=</t>
  </si>
  <si>
    <t>01D9A69D7CB2EF6D520027AA0F121526</t>
  </si>
  <si>
    <t>JChemExcelV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h/97Qf//Mn3xUfpuj4ixO96/t3Nw796Dh7t79L/dlD7ZOTjYvb97//7ew4cH+wcH6cPxp7uf3v/04f69vZ2DBwf30oPx/sGDTz99eH//4f6nDw8ePqBPDu7t3Lu/++DgwYNP9z7d20uJdPd2dh/eu/dw5+DTB/f2HjxMH4wPHuzsPniw/3Dv4Q79spd+Or53L/zk/vjeg52dnXu7Dw927j14sHcvvTc+IDT2dncePNjde7Dz6UG6N35Afe/t7j7cv7/zcPfefWqzu7u3t3OPMDzY2T24/zDdH98/uPfg4P79+/fotftEqftj+uXTg/v79z6lTvf3HxA+uzt+7/d6n+xhqPfuHdz/9NPd/Qd7B3s7DwDn00/3HxJ0Qmlv996nH6XXoCR1SNTaf7BPze8d3Hu4T1jtEOoP7tGLn+7eO9j/FIhS/w8eEu0e7O18+um9h/dpNPsPgdGnB7s79NbefrozfviQKLv76cNPiWz7uzScHXpvl0b2YO/Bpweffrp37yDd3hnv7TzcIYoTfQmP+zsP7kc+pMnpwbvXg7d3P+0O4MGnvQHc/7Q3gIMe/pix3U/37+/u0vBoOvbpS5qOBzvBR0RG6sn7ZL/3CUnW47tWUI4eT6rlzPuVJedVft7sqfB8lFb1LK8/+2gPL6JJpCFEzDbc3dAQgngriBDXW0GEUN8K4q7f8AaID27VEJrkVl1D39wKImulW4EU5XUroKLjbgeVVeHtoLLGvBXUh0HLjUBZBd+q6e1bik6/XVNW/bcaFDd10+9B5R8qUneNnaJfezbsrjNwyeO7ZDqPkv8HCc+4b1YHAAA=</t>
  </si>
  <si>
    <t>1D7E863D9AF015FCE0028A071823DFA1</t>
  </si>
  <si>
    <t>JChemExcelz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ol/XfC/73Qn1/yb1/yJ+a71/zXC/7J73yUvtv77KOH45379x7u7u893D042KO+H4wf7O3s3bu/+2Bn5/7+7sP9+72P7qefju8dfHr//qc7+/TOp7v3HxKNd+7vHTz49OHep/ceHuwSoHvjB7sPdx8+ONjZv08vHhyke/TW/fu7B58e7D3Y3yNQ91KaZPrg3kMCRUjs7B7c73304NN0e2e8f3CwS93de7hzcP/hwV7/IyLt9u74/oMHu4TUwd7u7r29TyMf3adX7413Pt3/9N7Op/f36cX9ezv38Bl9Qk3o7537n97bBbj98e79e/cf3N95+ODTvfsP8BEN6v7+w4f3HnxKfT84uEfQ9sZ7nz7Y//TBQ8L4YO/TT6VXGuTBAf3x6d7e/oOD/Qfp9v3xp/u7u0SIBzv0g8ix/el49+Hew4MH93f39ncJJeKMbaL1vR3Q8eH9h4Qu0WP7YLy7R9NAndFMEXIP8ObBvQf4/f4O4fMpXnw4pm92H+zt0kAffkqM06N2f0YijSJT0p/Kh/c/Sq/3IKLUmd/0IPZ2f6oepr03+/0+iLSK80u30b3xvU+DTz7tf9R77cF+ukO036PB7e4+INo8uLe/m+6P94nExBM79x7u797bwSfE6CQONOf7B9TkIdHwPrETTdnO7kNizfv3oHBoqvcfEKD7uzsPdvZIYD7dI5B7BwcPaWbpNxKqnb0He/f39yBi9x7sP0wPxvfpHeIjIvW9A0KK+qJJoUkmdCBd1BeNg3j5PjUgnnlAfIFPDu7v7z8kLj74dJeEEa8dPNh7SHz74NN7+5/ukwK5PwYumENCnIYMed3f26cXHhB1iIEOHtJbu/c20/HBg8hc3v8U7L53P/iw/9HePinPu1Z7Hj2eVMuZ9yur01f5ebOnGvWjtKpneU1MhhfRJNIQetc23NvccP9WEKHDb9UQmv5WDWEPboUjrMatID7sNkQLsVNH35W39K9NIHZ3btWZmLBbNT24dUuxibeiCvfvJvnrDVds7+1QYxN9O9TQ9HZMIAY/gOrhfXLLUbDHcLv+2LG4XVP4GLfjBXFTbkUb8WZuB5Wdnts1Zd/odgjsBE1vhHo7qYevdrsZF9ftVk1v35JdwVu1FI/xdpQ6EMeyD5V/qJK+a/xj+rXnO991jnXy+C657EfJ/wP3SMZhzgsAAA==</t>
  </si>
  <si>
    <t>DEBA6707CD02EE80EA112FA5758BEE91</t>
  </si>
  <si>
    <t>JChemExcel1g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8t+X/N8L/es1/f8F/2U+k9/9b82b+vZHQunyZJ7VFwR4J/16/+12/t4mCr/b++yj7Qfjh3v3Hxw8vLeze39392DnQUof3d97sLfz4CH9c//eQyIEfbS7d/Dp3qef7u/df/jpzv7+/XT74Xhnd//BvXsP6K97D3ce7hLQHWKHe58+ONg9eHD/00/vPbiHZvu79+7t3t95cO/hw08fPqA3Px3v3Hv46cHe7sOH9z89ePApvXl//On+7u7OzsGDHfpx8OAg3d4f796/d//B/Z2HDz4lFGkOt++NH9zff/jw3oNPD3apF5qO7b3xvd0Hew8ePtzdvffp3u7+zn3+7OGDgwcP9g7u4d0HNJ306sHB/f2dezv3P93/dHf/HnfwYG+fhrD7YOfewf79A7y6P96/R+8RosBrD+/t0Av3dj69v3//4cH+vR1Ggz7Z292lvwncPeqYhj6+/+DB7s7+AQ1r997ep/fp3Z0x/blL5CLyHNDbBCUl0bq/S3jd/5Qotr9DnNj95P7D/ps8rG4XRCQa6cF9epuI+WCfZms3JRLtPtyl4e/s338AekY+6b31Kcnpzv09GjLN9r2HB7skCJ9So0/vE1L7B3t7n+7eP0gfEL129u7dJ3rt3N/ffbiXEgvQ1O/u7z3cJaT2SFS6n3zafevgYQ/y/RhCPazv9Qj16f2P0mvw8N74gBjqgPiQaLX/cJ+wJ2Ld2/2UPvj04NNd4qAHD1LiTaLepw92Dogx7987IH4GoR/uglXuEbsS8If374F9dnbAncRUnz6grx/i3fufPvx0/2Cf6HCPSP+Qp+MBcfX+Ds3Y/U8ffEoEIsagod7/lOTpAOTcu8fM8imxNHHZ7oP7uzsPSHbA7TvUPfHZwUMSAZoR5v+d+/ep/729h+AplrkHNKaHBP9g98GnEJwH4ADi4Xv7JKH376PLT8d7xNcP6PsdmrlPd6xg7hMh93ZoKlkg7u/u0Z+f0qcH90BhoL+zt094E/yHDw/2GNgeUWOHOt0hcpLU7uyhGVHC59cH/c8+vQdC7h2Ek9P/7MFDIiSpGI+H90HbkNdJAfffvBfBhMf1MPyoByyCGnrotqMZ7zUk6t3vdbuHht1+H0aw2yOu3tnrDGxv/OBh8FHvk3tkLB/ftabu6PGkWs68X9n2vcrPmz01fx+lVT3LazLaeBFNIg1hs27bcP9WDWFwbcO9zQ0/vRVE6vrBrRrCxN+qIRyBAEe0EKfi6I28pX8NgmBH4ladib9xK5LssltyO6jsvdyuKTs5t0NgJ2h6I1Q305uagla3m2rxwW6HKprebrrhzXWaelP87dtNuLiEt+pPPMcP7E9cz1v1x6jdrqk4s7ciMCNwO14Q1/h2UNmDvh1UdrRv13Tn9k2BwO34Rjz82zXlQOBWFJB44VZQJay4HVSOPm4HlYOUW0HlYd2eB+7dTh9IdHQrBLhpdGL5h9q/uyZOpF97MeRdF2Amj+9S6HqU/D9RezeM1g4AAA==</t>
  </si>
  <si>
    <t>7777E1E068BD604157464D5A029B01E2</t>
  </si>
  <si>
    <t>JChemExcelP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O3+92X6gv+l30v8D39/mX75kVChPJln9QW9uJPe9N8u/X+bxvZu77OP7o139vYf7H66f/Dg3u7e7v69B+nueP/A/+j+g3Rn/GDX/2i/12jv07QLam+fPnrwMIB+j6bi3r0Q1Kc0eUGjW7TZTx+MP90P3zoY7wdI3ou0eTh+eD/AMSXGeRCi3f/oXqT/7Z3xwd79vYN793f3Pj14cHD/0z0i6vj+Q/+z+/2PPv30o/SaCL+9N97/dHfn3oN7n94nUu4Sk/Q+uofXd/ce3Lt/sLdPH3668+DgHk3G3s6n9/Z2CNrug92H9w96nzwkruq9eX8/8tle991Pdw5obu/fe+g9D9K9MY370wcPaegHewc793Z7fX668/DeLV7c67X59FbQd4kve+TZedAf0cO9frv7n/YoRC1JlO9aWT56PKmWM+9XFu5X+Xmzp/L9UVrVs7z+7KM9vIgmkYbQArbh7oaG0BW3ggiNciuI0Du3grjrN9wEEWrsVg2h7G7VECrxVg1Zcd6qJdTnbtASTURlH31XXtO/hinC+vlW3Ykavx2d0dRN8kaobBRu3/R28wfrEk6gR4xv3440sFi3m1sxZLejzIHYuz5U/qFSeNeYY/q1Z6rvOjuePL5LHsJR8v8AAEXK3j0IAAA=</t>
  </si>
  <si>
    <t>0BD95950F7FE51C0138258224C4E88EA</t>
  </si>
  <si>
    <t>JChemExceli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n9f0n8v5PdSf3yUvtv77KPt/fHOzu7OvQf3Pr2/f7C/u7Of9j+6n27vjT/99MG9+wd7+/TppzufPnyQbhMN7t379MHD3b3dg72DnXv3Yp/d6797EPvsIP5upI/d8cHuwf7evYODe58+3KM3T7eJJg/G9x98ur+z/+Bg997ewYOd+/Tpp2n39QcDQ+kO+X7/o0/T7fsEbf/B7qf7Bw/uEcT9vT5+A5/RRw8+fUgf3n+4c/9T+udTIP1Reo0puDc+2H/oPQ+A470d/6MDJu39e0GzT/vtqFkX2qc8lk93g8/o1U/Hu/c7r346frjX+ehgvP9p56OH470AD8zczvjBg85n3TcfpoQsjX9vh6bpwcH+g3v7+zxzeHfHe3a55a7/0d699N545yBotd97cW/vNi/ukeA+vmvl8OjxpFrOvF9ZMF/l582eyuZHaVXP8vqzj/bwIppEGkKCbcPdDQ0h57eCCG1wK4jQGbeCuOs33AQRKuhWDaGobtUQ6uxWDVnp3aql6MbbDRxN3TzeMD27t5tI0ce3a8pq+3ZNWbvfrikQuN08ia24XVM1Kf2m/EMF5a4xbvRrz/DddVYxeXyX7O1R8v8AppYyZIsHAAA=</t>
  </si>
  <si>
    <t>9B1AA82D416959B97A0F1B5D6EE854A9</t>
  </si>
  <si>
    <t>JChemExcelK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mL9CT2X+n9YZp8Sf/xvx+l7/Y++2j7/vj+/v29hw/2d3b3DvYfHjxMt/fHe7u7n+4e7D14uH//04f37/U/up9u740PHjx4eO/h7v0Hn+4dPNw92E+3dwnY/t6nOzv37h/s7Bwc3NtNt3fo1R368+HuvYcPqAtqne6Od/fu7Tw82Nt5cHD//u7Bg4fp3pgAP3jw4N7ew08P7u3RwO+NHzzcoQ/37+/e393du08dRD7qvfegD30fE7y3v3vv/v0H9+7de7j38F4fr4OdT/sD2IsN6tPIy3sH/W5jiOzujR/shpgQ6+0+8D+iVjvj/Z3wo4Pxwac3v3dvvH/QaXV/vBMMPYbDR+k1eGGH8KXpPHi4/+Depwf7e8QSGOoB5th9+Cnmfv9e97Pey/c/jb/8tRvu7uzeHp17Y0Lf++x2rXZpzvZ3ua/7e5+i+cP7xGK7B/5HDx6AEfc6H+2PSXq8jw56jQ4+7YF6SP3RHHz64CENlZiIeOxB7CPSXvz/7YHvaHB7ezv7+5/u7D/cu79zb/fe6fYu83PYfP+AVNZdq7OOHk+q5cz7lZXYq/y82VM99lFa1bO8JmWLF9Ek0hDa7rYN92/VEJrzVg2hX2/VEFr4Vg2hq23DvQ0NodFvBZH1/q1Ainm4FVCxIreC+iBouREo+r/dVMJg3W4uxcbdClMxhbeDyhbzdlDZsN4OKtvf20HdD5puZHu25gFUtHnd5nVeHZ3Ie/rXMBB2B27XH3sNtxoFN73dPPIobieV4qrcDoH74tH0ofIP1U13je9Fv/b8srvOaUse3yV38Cj5fwD82TdPKgoAAA==</t>
  </si>
  <si>
    <t>76DA6A6925AC20979C621E51505DB6BC</t>
  </si>
  <si>
    <t>JChemExcelZ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T9IXKf51/w38XaZfpi/p//Kf/vZR+m7vs4+2D8b3dh/ce7B/cPDpvf39g/0H6fan44Od+7t7+w93HuzsPNzfI/S3748fPPz04f2Dvfv7u7sPd+9xs3s7uzv7u/ep9af7ew8eptsPxge79/Ye7t6///Dg4cMHO9Rqf7xHQHcO9h7sPzi492A33b433nvwKYH5dG/34OG9/T10uTt+QCAe7tI/9+8/ePjwIN3eGT+4/ymwOHj46acPHuwSMajZ3qc7ezsH93Y/3d3dO6Bu0m4zgtYD9jDt9UmfPDjY+ZTe2z+4d++ABvAp8cjew72DB/sPqe2Dew8f7qXdIT5Iu3T49H7aGeHOwx7sg3SPEKfv9undnZ17u/s799PuWD69l3bJR43u0fR8rY/2xwf3/Y8+TUkAHjzwP9on4u3w/wm9vZ39/U93aOz3Cb97p9vEr7vj+/ug+f39j9Jr4pW98af3Dx4e7Ox8+uDT3YcPibP3xg/v7+zs7j3Y3cXIdw+Y+Af3Dw72du/RYA/uP8QM3bu384Dovnvv4IB+u3cPfd6jbz/d+5Qm7T4RhaRgb7zz4FMC+uDBw92D+w920OohgT7Y39vZIx7dO7i3B6Lt3DvY/fRg/9P79/bvHQB6HxThTHO2T+Du7+7vPrxPcxfDgliM5ofm8dNP9x4StQgmPru/v3fvwUMM5tODvX3i4a+DBxi9i4Uy+s6n93ce3n9IE/7pp5/SVJFAEAt8SoDxDzHo/j4+27+/RxNJc/LwHnHlAX1Gs3RAlCFRJax2DmQCw1F9inY8b8SDD4hB96jrew/uHewf0JQ+cFNKr3+6T0x3f//h/XsPZb7jr2w/HJN8eaiQHB7QXHkfPYQyIG67qVH3E1Kud612PXo8qZYz71dWt6/y82ZPNe5HaVXP8prMAl5Ek0hD6OVbNYT2vlVD6PhbNSSIn96qIezFrRrCqtyqIWzPrRqyhbp1y91btRRzd7umbBVt071NTdl43g4q29jbQWVTfDuobLFvB5UN++2g3rt9U3YVbocAexS3giqOx+2g7gVNbyLW3u14QLyd2zVlp+hWuHLT200sN72dAIoXdrum7KzdDlc0vR1duWmUrvxD1eVd47jSrz2n9q7zeJPHd8mXPkr+HyV57AVnCwAA</t>
  </si>
  <si>
    <t>B07AEA644CC686FA9F779C0F88761C72</t>
  </si>
  <si>
    <t>JChemExcelz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Pdl+oL/PbE//f++/Ch9t/fZR9tEk4OH9x98en9v78G9g08PDvbT7b3xp3v+Zw/S7Xvjew+DZvfT7f3xw3vdz7qvPiRw3S4epts743u7wUd70c92x3t7O/t79/YfPNj7dPfeLo1+b7y7d//T3T1q9+Dh7gO0+XT/IX19/+H+/v39ezs799N74/sPd/buPTzY2Tk4+HTv/oOUUKW/dwnm3oPd/b2H6adj+vg+tcBLe/f2Pu190n9pLwK4g87uw0/7CN37KL0GqYk29z69v3N/596De3v3d/b2hV7BZ5+CXPd29g727j/cvb//8NOHD2nq+589SIk/7+0c3L+3t/PpvXu7hPVDmrruh/fvE4708qf79Nm9vYNdwv+A+KgLEHPS7WNnF3Oyc/9TmuUH+/v06n0iA8Dt7zwgpth7uPPwHrW8z+0Ivv/ufUJl796D3Qf7Owf7NLqdnYcYbqfdwcMDkGDnQfDZA3x2sN//LGj3cOdTfHZ//+DB7t4O8cs9whFMubN77x5N297uwz1iv09J5O5amTt6PKmWM+9XFsJX+Xmzp3L4UVrVs7wmZYEX0STSENJ6q4aQadtwb3PD+7eCCP1wq4bQIrfqmhoe3Ari7m0bQnXdqiEruFu1FD14q/Fw09vNo2jV20Fl5Xs7qKyjbweVVfntoLLGvx3UvaDpRqhsQ27V9OGtWxqj1EeVf6j43TXmkX7tmc67zq4mj++SxT5K/h/6kaouzQcAAA==</t>
  </si>
  <si>
    <t>16A744558DECE95F245E4A2F44EC1936</t>
  </si>
  <si>
    <t>JChemExceli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wp/nuRys8v9af/qfz7jL/98qP03d5nH90b7997cO/+wd7+vU/vf7rz6cG9dHd88DD46H66N/700+Cj3icP9um9e/fuffrg4e7e7sHewQ790fuIcL8ZFKGwP97Z2d0hxD69v3+wT7/RdNy7t/9g99P9gwf3CNq9B+mn9NrBvYf0xsPd/Z3dB3u9T/pvHUQgH9AnezsP9h/c23n46cHezsP0Ib11/8H9ewf39x48/JTQSolVPv304f69vYcP9ukD+jj2Uf+9Puz+J9v3xnsP6J1PDw52CLG9vYen2zT/213aHaAl0enB3oOdnfv3dz/dub+Plh+l1zSP2/fHD+/7zffT3kcEdH/86e5D72GgOw+Cjx6k23vje7s7/kOv7owfPAg+20e7Bwef3nv48P7Bvb2DB0QIYPQpTfv9ez5IdNN7fRdDpLnaJTLufbq38+mn+7v8Npp+GrzOPRHB/KeP+MNPI80+5XYH/SHtyhedj4g+e52PiIceyhfpg/GDh/f29u/v7RK33j/Y+VTwJaVzf/f+pw8+PXiw8/Depw93DmQGu0Pe6xMG6uKu1RdHjyfVcub9ygrkVX7e7KkO+Sit6llek6LDi2gSaQhNc6uGu7dtCMV1q4ZQb7dqCCVoG+5taAhVeSuIUKi3gkgNH94KIivnW4EUHX4roKLqbweVLcLtoLLhuBXUh0HLGybzli0Z09tNvJi22zVlC3i7pmwob9eU7entmrLZvV3T+7dvCkG+HbN8CnN/q5biFdyKAbhpdF75h6qfu8a1oV97bs9d5xMlj++St3WU/D/FXFe0iQkAAA==</t>
  </si>
  <si>
    <t>EC3B72E4336D246EFB13A15071C4D1F3</t>
  </si>
  <si>
    <t>JChemExcell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6Ij3p/Pel93v47bP0Sf1R+m7vs4+2Px3v7T3c2d25d+/B/fv39w/updv744OH9+/d293bvf9g78H+/oPoR/fG9z/d/fT+3s7DewcPH+7TSLb3CNaDhw/26H87D3YJ4F66vUNv7u9Rm/s7e/v37u2nO+P9e/hz78Hu/YP9Tx/ef/Bpuju+f3DvYO/g3s7ewe7DgwNqtjd+uPvg/s6D/b39T/cfPCRC7I3vP3xwb+/ePgE/OLj/6UO8t/Pp/Qf08c7uw73d/b0H99P98d793d2DT+/jtfuEdO+T3R7s+30MaBLu00f79Nqnn9Kn9x4ePEg/pfcO7tPoiWD39nZoUmh4+5/eP9jZ39n99OH+/QfUzz0a4e6nO/cf7Ozv3rv3cHdnb+fgPhoS2T7dPTh4cH8X46dRg14P6KO9+w/3d2ggeyA+4bazd5/eJmrt39v7dIfa7Y4f0sg/ffDg3v2D3T0i3X2Qf/eASEwA9+7f+/ThvQcPUuLbnYc+fh+l1zTF1Auw/vTBvf2D3YMdou3ueH/f/4Q+Ivx2Hu7u36ce7xPgh59++inodNOb+/du14jIRL/RpBGnEb4P792nVoS7/xFBIhrSmB/ufLpLrEgQ6KMD+m2HQD28TyTb39nvgSJRIQIRZxL6NEsPH+x/ugNC7hLjBZ/1m316v9/s4QPMAY3efUasvTMmcn5Ks/opjYnQ23+IN/doion192lODohn7uPN/fs7QG5379M9QveAJ5l62N19ACbe39sTmTjYI6Z8QCxBLEgj2Bnf+5T+ox4/fUjQdnZ5hu/f26eJf3h/5/693U/3iSVpkkjN3LV65ujxpFrOvF9Z8bzKz5s91T0fpVU9y2tSkHgRTSINoaFu23D/Vg2h7W7VEDrxVg2hOW/VEPr1Vg2hhW3DvQ0NWVffCqSo9Fs1fXDrluj+dvMoluRWYxKDczuobJduBfUgaLkRKPq/3cyLPbRN791A1NtNvhjXWw1KbPCtoIqpvhVUsei3g8qG/1ZQMSyv6UaoQCDKAfxDlcpd4+jQrz0n6K7zkJLHd8n3Okr+H96EHS6XCQAA</t>
  </si>
  <si>
    <t>B1816C08A64A09E2BFC8FA7AADCEA44D</t>
  </si>
  <si>
    <t>JChemExcelOx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7/3UZqXOSjz5nqVE6FT/78vg7/kky/537CN+6z7zYugjf39o/TdHmb63r17nz54uLtzf+fB3v7ewUG6vTv+dGfvwe7O3r29B58ePNh98OB0mz/ev/9gZ+fh3qcP7j/4dPee+VQB3Lu3f7C/u7vzIN3eG3/66YN79w/27t+/t7u3SyP3PjrY2/t091OiovfqQ252nz97ADA7Dx/ee7C/8/DBg72wl/09fp0miEDe49f29z/debDz6X1B07TceXhwf/f+wcOdg9T2vftgf+8hfZPuj3d2dnfuPbh37+He/QcPaXrsJ/vUavfhp7vuLSID2tB8u48+1UbutQcP8Xxq+ydC8Gt7/ke73P8BSQVR68Hup/uf3uPXHqSfEuiDew/v3z8g8Ac794izuh/tpwfU297Og/0HOw8+vU+D3k0fEqD7D+7fO9h7yGS7H/mk89anD1IS2U8/pRHtPby/yyTsf7KXPhjvERUPDu7TlH96/4DA0IB2Pt2hObhHeBPN6KW9T/d39/YeHDwgNKlTb2A7hMX+g/se8Q8ODj59SFLnaEZzR3AeBtR/uLOz/+lDD9B9cB0JsiPHp/fv06f+J/eJX+7v+W/t3SdQBw+9wX+6S6S//8BrQ9js75DYu97vHxBKD/c8yA/pzfuf+lO/e0AEuQdGI5h79w4OdonQew8fPDxId8bEE7u79C1B+3TvU1Ir2zvj+7sPiYc+vbdLxCNMDzxh+HR/hwZCXJ5uWyQIPD478D56QFTe/fQBSxZh8+mn9+/hA5pK7uBTgvxw7+HeAb27T3P8UXpNkr1Nivf+PrPXwae7ezu7xInbNGUPhFMP9omtIIUPx3v3vE9IJaIVjZEZ8+EBifTDXa+ZfpRuPxh/yh+YFwnjT8eEB38EWtPMfeo3k8/oI5qCA/lsn6aNZBxjxfx4D7d6yF/s7fBznwa3R9qYv+h8RB3f2/GeXa9f7YQkyhur4PLAH2v0M0MlOzIDDR088Lvc2eujsecjK8++PyR57vVb3e/DivS43//o/v0+fProHknqzh7rSZrBPR5l9zP5iBTp7n1i6J0H90n/Btjee3BAUrWLZjsHCpongBmT+JufT+/tPNwBscFq/kcH94EuCfPB/v2dPVIyu2xDHvotD4jYJNs+PPnoPg/CdPuAoZDldZ9R64dkCUi5je/LHD8kc/Zw9z5U0D2ZzYf3PiXt/ym95z6CYN0TpsRY7pHq2yeZJ1iM2r3xwUNSZNAMDz+l/0gL+5+RBD/Y42akUvZonPdhLh4cwD45lrZc7uRDRCbkNZiMAwg+XKZPHz4g4wTuJhsSfHTvU2hW8ofuWofo6PGkWs68X9lDepWfN3vqJH2UVvUsr8ng40U0iTS8122IFuKEHX1X3tK/NoHYv1VfcNhu1RBu3a0awvm7VUO4iLbh3uaGD28Fkd3NW7UUr/R2Tdl5vV1T9nFv15Rd4ds1ZY/5dk3Zsb5dU/a/b0V/buqm6gbWvWVLRjWcVrRRxv727dgcpNkLZ/z9gUjkcSukJUC5XVOOY27XlMOd2zXlqOh2TTl4ul3T3ds3BdTbyTfjejtmYArcTsbR9N7thFxCxVs1hTje+1Clu8sh6Qdyo8S0t0L63j5C39s15Qj5dk05kL5dU463b9eUw/LbNd2/fVME8bdkBsT9t2MGSRvcvuntpBxTsH+7iYXJ2Q8n9v0ZiYGEU+69dkuWlmzJrZBGziXkhffHGb0N2oRbonwfOZ0PxGMfOaFvAMZ7ahT+oe7jXZOMo197ibq7LouXPL5L+cGj5P8BrpN7njsUAAA=</t>
  </si>
  <si>
    <t>89346A2D9E79CA14588DE08E3D5F0979</t>
  </si>
  <si>
    <t>JChemExcelVw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b2P0rzMMcA316uc6JWepC9S/Iv/vrS/Rf8rex99aV+R3/Dvlx+l7/Y++2j7wfj+7v7uvQcP7+3u3NvfP9hNt++PHz7wP8InezveJw8e9hrhoy6odPve+NNPw0/2xgcP/dcOPk23aVLvB6D20+2d8f2D4LOH6c744f37B5/u7Xx68PDT+/d3H95Ld8cP9vyPDvqt7j/oATsg+nc7PaC57kK7fy+9N9771P9o/366P96553+0c58Y8/4D/6P00/G9fe+DnYfdJjufduHs9DrbeXCv19lBb3x7Pbx3Dva6rXYIpy4VaBp6VHhIXN2j1oN0d48m+97e3s693b1P93bvE5OQJH567yG9u/twh1re3/80+tHO+N5OQJkYqG8Q+j6xoA8q3SXWPbjpk93x/j3/k4/SaxKNT8cPPt259+AeMd+nu7s7Dx7cT7sfHdC87u99+unD/Xv3Hzw4uLdDPzFnD+/t7N7fu3efJmFn50Hvk09v89pB5JO98YP7D+/do773CdWHD3Z7n+xAKPb37n96/9OHD/f2Hh7Qlw+IHXZoaqmrBzv7D3YOHj58AEbyP3tIWD3ovUocSCyyt7/7YGd3jyh7/wHxxYPeZ8QtkGzi8HsHIM/uwf3dBwcHvc8OSFZIJzyk3u4/3H94f4fmalfUy/7eg3sHn+5+Spy3d3+v95Eok/DF3d6w7t3/tI8HKezuqzsP9vs97PY+utfvdGev18GnB6DH/X18cW/nof98ivcP9rufUet7wWcE4dMx8SQR8lOaiJ2dh5/un27vYj4ILoHdJd1wcD+NvUjYfPqQ5mLv3sNPiQ579B5Jxvge8cSDh7tE3j3C9P59FvXeZ9FeyVzetfby6PGkWs68X9mAvsrPmz21oR+lVT3LazL0eBFNIg1h+G7VEPb4Vg1htW/VkCB+equG8ABu1RB+wq0awpu4VUP2OWzLvQ0txTW5FVDxYG4HlR2d20Flf+hWUB8GLTcCRf+3m07xw4L+0eZ1m9d5dfRG3tO/hoGwI3e7/tjfu9V4xS28HVT2Hm8FVZzMW0EVX/RWUDEsr+lGXOHN3pI54PzebsrFV74VruJS3w4qe963g8oO+u2gsh9/O6j7QdONiomjgts15eDhVghw09vNFiNwu9m6t4+I5XZNObC5XVOOf243LDS93WwxrrecAg66bocAmt5ytvYlhOs35R9qTO+aQJV+7QWxd12Emzy+S7HzUfL/AMNy0n1XDwAA</t>
  </si>
  <si>
    <t>21FCC9E1AB8502A0C2D6CA08CB14F029</t>
  </si>
  <si>
    <t>JChemExcel2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t+mcr/g//K9EXno9fUCP+n/z5K3+199tH98c7u/f0Hn+7vfLp3b39372F6b/zpwe6Dhw/2Dvbpw52H99K98b39g93dg91P9+4/ONi5/6D3ycOUZmF3f//ew539nQf3d3b2aEjdj3Y+Tbd3xvd2H+7t7+wc7O7Qi7v39vuf3ScydN7dfdjv8/5+7KMu9ru365Oour07/vT+3kP6eGfvIb26/+Beur03fnjw6f2HB/f26M/9nYP4R903D/bS7f3x/v3dvb3796jp3sGnNJ3b98f37n+6v7v/6f4Bfbqzd9BrRZNNLHq/MyO3/GhvDAq4jw7Sg/HDB94n9z5Kr2nKafAHDx56z4MHIMjujv/ZwX2mUtjw4UMMf383+Og+v7y74z/39mgG9/eCdpjB8M0H92m6HtzrfLQ/vh9g8qDXiFky2gMwPggwOYhgnG7fG2M+6Iu9oPF+HwCJaG94u3vMVfs7+7u79zBtxH4HOw/3mRH2g67uo5eDh/cPiAMe7N6792AfHe+OmVMfPNh9SLBoYh7cO9g/ON0m2eev0GDngObt4P6n9/cf3r/38B59+Wn8FdI+d636OXo8qZYz71fWR6/y82ZPVdJHaVXP8pr0Jl5Ek0hDKK5bNYR6sw33Nje8fyuIUJW3agiFequuoXZvBRHK+VYQWYXfCqRo+lsB/TRouREom45bNYVRud1Mih26XVM2V7drylbtdk3Z+N2KVGIjbwf13u2bAqpjgI1N2TjfClex4beD+umtm4pHcLum7DjcDlc0dRN7Y9PoxPIP1UB3jbNEv/YcqbvOy0oe3yX/7Sj5fwBKzOUA2wkAAA==</t>
  </si>
  <si>
    <t>4DF65F539CE5031F6343F2AB9996BF0E</t>
  </si>
  <si>
    <t>JChemExcelN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Pivy/pv5MN/7lvn9nf+Wf5Ufpuj0i+O9779N6Dvf37nx4c7OztPNhLH44fHjzcObj36e7ep/f3P723nxKtd3foy08f0Ie7D/fuHaT03qd79x/c26VG9+7f393ZSw/GB3v37396/8GDhw8f0DAPxg/vfUpQH+7c27/36f7OA4JMPx/cu7fz4P6newf3731KbXYe7uw83COo+we7Ow8fpp+ODx7s7z349P7u3sN7BOZh+mB87+GD+zt7hMLuwYOHe9Rkf2f/wQN6Ze9g/+DTg910f3xAz+6nuw8JhYMH+ODep/fvP9whdHd2Hjx8cEAcce/+wT0a4KcH9/Yf7NFU0Ev37u88vL+Ljj/dP7iX3hvf2324e+8hoXt/hzDYTffG9/YI9Yd7Dx7ufvpg78G9dGdMzffv37t/b59Gem+H5mabyHOwRzh/in92adT37qfbRCDC5t7ePaLa/V0i6B69e49g7R9Qb/sHNJRP76W744P7nz6k4RAdHhw8+JQw3Rsf7NNXNLJP93cPdnY+3QNiD/YOPkW/RNEH+4T73v39/U8f7B88uL9/794D4E5gd9Bm5yFRhmhAtP304d59Gg063aPx7QL5e7t7NGEE+uH9g/v4aP8+DXGfCLADTniAqd2njgj2DnV3/1MiFbWiKTh4sEOv7hHld9PdvfH+Qxr1/YcPHh58+oBG91F6Tfz06ZgwIELs7tIwaZr3ifAPaLru3Ts4uE8400dAfmefKHCPZmHn/v0DjO8hTTb972CPpvUetbkHUu3tgTeIAA9oyESpnf09ojpxzu69T3d2mZ57hAVNwy6B/vQhsSrNxf17D+/RFD08oC53dx98Ss32d+4f0J8PDh7u7t8j6jLZicv27xH+O0TBfeqQpvL+Q2LqnfsPCPg9mocHn+7cx7TufLp/7wH9n16jnnaJLWnQ9M3uffDDLk3VLmF18BAShCFvo929+w9o2mkC79E47uGz+wf7AHSw+4BYmwYDZEksiAyQt09pADvMTMQE94glDohxaRwHBxgAieS93X0wM4kQjYo+I2Y7IDHa29klfj64twMS0cR74GgI9IcP61Nqs0NgPj24f/DwIUQX/EZTtU/C8mCHBgY5BQce7O6BPvskc4QBTRAhvv+QJP3+zsH+fdBrb39nh4gJaj/YJ76FGBDRiY1J8ogXaUIBnIQdUrKLlg8xGQdgGUAnAu19SiJ/b3yfpISmnTCimdvBJw9oJJ9iJLukZD492Cc9fNcq4qPHk2o5835lzfwqP2/2VDl/lFb1LK9Jv+FFNIk0hAq/VUMoettwb3PD+7eC+Gm3IVqI3Tn6trylf20C8eBWfcE03arhw25DD43v3g4pNoC36uzTW7cUi3q7pmx4b9eU7fPtmrIZv1XTh7duKX7BB/KAOBa364/9j9s1ZTflVgwv3sztoLLTczuoaHq7GRcX6lZQxdO6FVRQ4LZN7926qbh5Hyhh3N8g39wWCEgR8s3XAAIPNuSo9wfCnu4HwoDHHPLg+8MQV/t2fISmt+NO47j3m/IPtWB3TRxCv/ZilLsugEke36XQ6Cj5fwB7cY7FNg0AAA==</t>
  </si>
  <si>
    <t>C315E89AEBE5F00813CB67E7D5804AF5</t>
  </si>
  <si>
    <t>JChemExcelA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Lh/77kf194f38Z/IZ/v/wofbf32Ufb98Y7OzsPHhzs7O3v7t6j39LeRw/T7f3xvXv7+/cf7O7ff0gf0sh6H33ae/GABr29O/700wc7Dw8e7uztHdzf2b9/0P9sfy/d3iFw9/Z3H9LbBHRn5+B+5LOH99Jd9LF3/yF9fu/BLv0W+aT74u7O/Qgi9yKIfNqD9ulBugdoD+8d7H96b/fhw51PqYd7ePHT3Qf36a09QNgjNtvZ2d17SPA+Pbh/f/fefvopKPSQ2uwdfHpwb5cgddvQcPbGDz/do3Y7D+jfh8QKxKyf0gv39x/e37m/u7tHuMc+2hnvPfSBP4iB+oaAE+z9MQ00gHR/vPfA/2Q3+tHueH/P/+ij9BpcR1S+R/255166Qz3s7D90D/VK8PyPPn1Ic3Gw63/0gKbi/oH/CTFOt9HDAwHld/hQOvQ+2k0FLf9FfHSw4390ADanaQ0/2icdc0OrB/diwLp47fbQ2vn0NsjHW/UHtI/P7tO/xNQ73udEXKB84Lflz6j1veAzGtqn44N7e7v7u58+5G4+3T/dBo8ALoHdpSk5gFj2X9wb3//04e4D4qSHnx7QD3oPeJN4ffrg4e7eLvHbzr37LKz9z6K9kpK+a7X00eNJtZx5v7LafpWfN3uquT9Kq3qW12Re8CKaRBpC3dqGexsawgrcCiJsxa0gwqLcCiLszq0g7vkNN0GEGbtVQxi7WzVkk3grJMVy3gqoGNjbQWU7fDuobK5vBfVh0PIGQu26ad/YPXsJt2vKzsTtmrLPcbum7Jrcuumem9aNgsROzu2asi90qwngprebAUbgdlMgDtjtmrKfdrum7M7dblhoerspAK73bjcF4kPeCgFuesvZui8eab8p/1ANfNf41PRrz9++65zx5PFdcvOPkv8H4Ck7CAIMAAA=</t>
  </si>
  <si>
    <t>3885AC2748754057BD15714437A54314</t>
  </si>
  <si>
    <t>JChemExcelE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T1JX6T41//vS/n5Ufpu77OPtvfGezv39z59sLd7cHDv/v3dT0+3d++n27vj/Qc7uw8OdvfvHzzcube/zx/T2O7d+/TBw11qvXdAH3/a++h+ujf+9NMH9+4f7O3f+/T+pzufPnzQ/ejBbv81NHq48/Dhw4NP7+08vL+78xBdfpoSuYFNp3Wvlwfp/nhnZ3fn3gP6c/9gf3cngkivzf79yEcfpddEmE/Hu/cfes8Btfx0N/zk3vhg3//kIXV5D2PwPtkd39/f8Z7d9GB8cECU3d99+ID+3Lu/x+Pc3hk/+DR49UG6jRHsfHpvb/fe7t6Dh/t7B9yUQN4LWu6j390egg8jCHaHhU8e7oWfHIz3Q0yIO+9a9jx6PKmWM+9X5tdX+Xmzpyz7UVrVs7wmucKLaBJpCMa+VUOw/60aQkhsw70NDSFKt4IIgbsVRIjlrSBCeG8Fcd9vuAki64JbtYSW2L1VS1Est8KTm95uIkVNBVDR5nWb13l19Ebe07+Ggaie6/fHP5Qt7xoNS7/2tO9dp5qTx3dJ6R8l/w+DkcysEAYAAA==</t>
  </si>
  <si>
    <t>E94D0F31E919DA9D9904D43A4E94EC98</t>
  </si>
  <si>
    <t>JChemExcel4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T1JX6Qv0y/pP/yGv09K8+PLj9J3exj8p5/eO3iwf/Dpwd6DvQef3r+f7ox39+nXnYd7B5/eu/fw008P7qfbO+OD/b1P93YfPtzZO7h3b+fep/js3u79h7s7Dz99eP/T3QcP9g7S7d3xwb29+7v7D+n1nZ37D+49SHfH9NunD/cePtjZefBgZ+/Tg3RvvPtw5/7B/YODg4cP9/cefro/BO3T/Yf3H+7sPNy9d/DwYAeYdD97QJjsjR9St9TH7r293QeE6T71ukNAPj3Yvb+39+mne5/ei3yyN75HqGKw+ztA4+BB+un4/j3/o4cfpddEpu17Y3qLKHJwf/fg4e7ew5Q+efBw597+g539+/vUO6EMPD7d3SF6frpzb+fh/d179/eB7+6n1M3uw08f7BzsU8MDpubDT3ce3nvwgAAQTvf2+p/dB7idB/cPdvb2dolSOw8fUhdEpQef7tNf9/Ye7t4nyJ9iqLv7wWcPaGSfHnQ+ujfev+9/1H9vDxNz43v37hESO8Sydy3PHj2eVMuZ9ysz8av8vNlTPv4orepZXhO/4UU0iTQEt9+qIWTiVg0hObbh3uaGn94KIqTwVg13b9uQuj64VUOI/q0asoK4VUvRI7dqegBtc6uWopRu15R1V6wp/1COums0Jv3a06Z3napNHt8lJX6U/D95qfC74AUAAA==</t>
  </si>
  <si>
    <t>73729BB9D2B3097FF7634CC441E558E1</t>
  </si>
  <si>
    <t>JChemExcelZ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j0JH1B//+S/8X/5b8v+f/030fpu73PPtreHe/e299/eH9v797Op/f37n/6IO1/dj/d3hvvf3qw+2Cfvjh4eG/v4V66fW98sLN7cP/e/qefPtjbvbf34F66TdS5d//+vb37Bwf39x/e+/Te/Xi7LjgaQ++znb1It/eB3h49B/QxdXX/4ME+Pvr0YdDsAbrdu+d/dg8fPdjd3/l05/7upzS0B0TI7f3x7v49wvPTe/f29+492NlFK/r+4cHDvZ17OwefPvz0gN7cGT94uPfw4P7OfWpKfd97mO6M9+iNewcHn+7ev3fw6ad79/c+Sq+Jpgfj3b37OzsE9QH1uke9fDq+f+B/sk9cdLDrf0J0urnRftoFjU8OHoafEPvu3wtgp/vjvQed3u6N74Fk+zsPDh7QgHb2P013xw+JMgcPdvbvffrpwd6nB5FPIq/tjD+9//Dezs7BA6LGzgERm8m1/+D+/Yc02/v3Dh7c/3S/14w4iBhj//6DnR0a0i79u7e/TzJx1wrF0eNJtZx5v7KUvMrPmz0VlI/Sqp7l9Wcf7eFFNIk0hDjZhrsbGkLobtUQonmrrqnhp7eCCDG/FcRdv+EmiNAat2r4sEsetBA9dfRdeUv/2gRid+dWnYkKu11T1nS3a8oK8VZNH966JQMN+eH9KSMq+nb9Ybwht3g9fPuW/YG+IYPciDT/UCm7a+wW/dqzaXedwUse3yVTepT8P6BjSEFmBwAA</t>
  </si>
  <si>
    <t>29F6D2384973B6F22712BAE2837E893B</t>
  </si>
  <si>
    <t>JChemExceld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cvUvwf/5rfT9Iv0xcfpe/2Pvtoe3f86c6D+/v7u5/uHzy8t/fpw3R7Z7z34N7Bp/d39u/tfHp/7969/ZSocv/hwe7+zoODB5/uHezsxprt9prt3e99dC/dG9/buf9gh77c2aV/9/aozcGe32b/XkrAD4KP0N/uAeG6t/Nw7/6D/U937z/8NL03fvBg597eg72D+7sP9x/cP7if7o93Hu7c392l93fu7+/ufEqfPNzdRzsa497Dh/uffpRe09A/HRMSQGB//+DTvd39XZqxh/fCT7pt9gjYvYdhm3vjT/eCTz6lIe4chI12x7sP9g929x7e/5QI9eDevftMwGCM9/Y/7X+4f7/3LghGZP/04cPdvQeffvpw9/4+IbFLNN3/dJ+I8fDh3u59oiChtXeP/rpHkO4TYxw9vmsZ6+jxpFrOvF+Z017l582eMttHaVXP8pokAi+iSaQhWPK2Dfdv1RDsfauGEALbcO8jafG6zeu8Onojb+lfgyAgRLfqC6IW9DXUEAJ5K4gstrcC+WnQ8gYsd3dv1VK0xa2656bROeYfykF3jRqjX3sq7q7Tf8nju6RZj5L/B/a5cv51BQAA</t>
  </si>
  <si>
    <t>483581C5C7F29E0212274FE2C79F4A11</t>
  </si>
  <si>
    <t>JChemExcel0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Br/78vopy/SLz9K3+199tHB+OG9h3sH+/c+Pdjb33m48zA9GN97uL+3v3dv58Hu7u7+g4P0wfjezs4u/b33cP/+/Z37e0Szg939+7sP7j/c/3TvwcEDfII3dj/dufdg//6D3T0ax6djarG79+DT3fu7u/fu398l0Ds7ew/2dx7sP3xI/+49SB+O9x4e7FHf1IY+pdHRZO0/3Nnff/jgwcO9XWq2T40e3tt9cG93Z3/33t79BzufpjRjew8Jofv3CQxhcZ8+2ht/en9/f29nZ39nb+/TvZ1dgNrZozF8+nD/4f2DT+kbwml37/6ne5/u3H9Ag3zw8OH9dH/86T4Nb486392l79J74/v79x/SgPfxc/fhXro33vl0Z++AsNz59B5Bvp/ujB9++unug0/pz4eExQEQGN+7/+DTBwe79Or+p/foD3qPCLv3kLCm4dy7Tx8T8IdEoZ29hzuEI1HhHvV/b+8AI77/8GBnh3Al4DufEkGIQPsPiZL79N5+ur07pinYubdzcA8A7917eC/d3hkTre9RG8L/3sGn+/f2P0qvaVbvE3keYGJ2aaj7IP29MeFIdKIPPr1/74BIvz/GHOwcEBHuPTiggYAU9+/R/H76YJc6vn/w8AG9Rq9/en/34f0HD/YO7tGvNM6Hn+4ePCSmuU/oAPbe+N6nRITde4T8p5/S5w+o0f17RPSHBwfEU8QzxNJ74/s7D4nq1N/+7sGnuzv3QIz9/YNPiR40t8xemI1P94kj6PX9B/cfHNwnzrp3QFx4/9NPHzzc3TnYB6sd7O0Rc9IfOzsPCEtiGdBq/z4NmViQpvw+E/HTA2LkfZqKe8SFjDpRlbiFWGLnwcEOqLAzfkC8tn9v594u8ek9sPvu+GDvgGj1YIfoSZN97z4hem/3YJcYiNoQKCIYffRg796D+3vgEZq9vYc0wE/vPaTn4ME9wv/TPUwtsRVx8Kf3iIrUwT2QmFD4lLiKiHeAcREgkiOiGWFw/8H9ew+Ib8eQkQNiZuJPmpe9B6Ra7lrdcvR4Ui1n3q+sbF7l5w3NPJQNqaaqnuU1acmPpIWoqaPvPr7r/SV/xEHcC0AMNYRWu1XD+92G748UdOet+oKGvVXDvds2hML+QOyh8G/VF5uFW7Xcu3VLsTNDI/j27UYghsoCuXdTfyEHvT/FYAMHeea2OLNBvR2N2O7erimbZ9t0b1NTtuK3g8rG/nZQ2Se4FVRxHW7V9P6tW4IAt2wqbssHsgKP93YaSdyjW1HReFG3gIq5iTflH6qK7xofkX7t+Y93nXOZPL5LbutR8v8Aw+PO1NIKAAA=</t>
  </si>
  <si>
    <t>780D09F404336FD62761FD734C7B233F</t>
  </si>
  <si>
    <t>JChemExcel6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2vmvtL++6Hz14qP03d5nH306vndvZ/fBg/2Hew936Jf99MH44EH4ycH44N7Ovfu7Dw4ePPh079O9e/TJ/sGDTz99eH//4f6nDx+mD8ef7n56/9OH+/f2dg4eHNxLiWA7Bwe793fv3997+PBg/+AAH+3f2zm4d+/Bw909+h8NkshOnT+8d+/hzsGnD+7tPXiY7u6NH+7s7e/epxZ7O7v0MSG0u+MjdK/3yR4Qunfv4P6nn+7uP9g72Nt5EPmk89anD2liaRD7Dw/uPdjdebC3e+9+75NP8cnu3qcH9/fvfUqU2t9/QJ/ce7Czs3Nv9+HBzr0HD/b276f3xgc0yD16hxo/2Pn0IN0jQA/v7+3uPty/v/Nw9x69d4/YiMZ0j4h0QCO7f7Cf7o/vU1cH9+/fpw737u/uf5Re74F1CckdIjcNn5AgfNLuRwd76c74PsG+j7l5sEc/iTu2d8YP7wPPTw92d+493N/b30+398aE7IOHNF3UjEa3m27v0qsPDx7Qewef7t472H94D6/u7NNE7T/YJ7LRZ8RwBO0hDYyGtHdvlyZu/x59tL9DtDjY29t/cO/g4X2aRYL2KRFhd/fTew9pZPuf3k+3aayf9j56eM//iDC7P6bewlafjgln76N7/Vb7fVj3YkP/tEehvf3ekD7d7Y2cYN7vk+hBn5A7pBMe37UifvR4Ui1n3q8s86/y82ZPxf6jtKpneU0TjBfRJNIQyuFWDaFCbMO9DQ2haG4FEeroVhChtG4FEartVhDv+Q1vgPjwVg2hO3du1VLU7q3QFO18O6isxG/XlHX97ZqySbhdU7Yct2u6e/umINbtJl9M1u3oGrTcCJRt4O2asqm8Vf9iUW8F1RjeW0AFAbymHlT+oarirvEc6NeeV3HXuRzJ47vkzBwl/w8ryfx86AgAAA==</t>
  </si>
  <si>
    <t>869ED5A848B96CE93C8F4E2ACE6E6D12</t>
  </si>
  <si>
    <t>JChemExcelo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H2Rntzw35fpyUfpu73PPtreGd/f39+///Bg98Hezv2d+/cepDvj/fuf7u3es88+fbS3+9B9QM/9dHe8++nuzqf2eZDujR/ev+d/sp/uj3f37+/tf3pwsLe3f0AwiaL3D+7ff7Czt0ddHDykId0fH9y794C+2/90f/9g797OfXrt0/3d+/fu7d7bOSA4n+6n98Z7O7t7Ow8fPKT/A91PqbvdB7ufHuzY5x59tHfw6Z7DdJ+wvL/7YGffNQKonb3d3Z37D/b2Pt27d3+P+9u5//D+p/v36AMiBCFIre4/vPeQGj14eO/gwf29A0DfOXgIlO8DpZ2dTwn6zv3d/Xt7D6kPGtL+3j2gfm+PkH+4+3DnYHfv4V766Xj33qc0eBoSYXJABPkovSba74x39w4eEDiCtP+A6HbvIN0miNTswBHxYbq9N75/z/vk0wf30O7B/qefeuPa48/2vGaffnqAdx/sUA/39u7t7z0kDGkY9NkujfXTe7uf3r+/+5AG+GlKfPDpvU/vH3x6n8ayt/9g7+F9mvR79w72CLt7B/sPDw5oGu+h3d7OpzQJO/d29h4QGT99eE+QppEB8sHuw08dUjQl2/fGD3fuPdx32H+Kz+4/uLfH3LNL5HpAyO+PH+wSlF2CTeN6iL6IcA8O7u2B4p8+2NmhKcNn93eoxf5DYr4H9/ZpDrbvj4l7Dh7cI1J++gAfptsPxvdolvZ2GCDxyB5efHiw/+Bgn3AhwhDhSSLvWpE8ejypljPvV5bRV/l5s6di+lFa1bO8JuWCF9Ek0hDCfKuGEPlbNYRiuFVDqI9bNYSSuVVDqKJbNYTCulVD6LSwJZqImjz6rrymf20a5+7OrXvb3b1d094Mvz9ioqxv1x3r9Ns1ZdVvm+5t5gCvZWcQ377lINjK3A4zNka3wkxs1u2gsmm7HdR7QdONUIHALXlUbWq/Kf9QFXHXmHz6tecO3HW+QvL4LnkhR8n/A/dTmg6hCAAA</t>
  </si>
  <si>
    <t>3FF1981161832B30DCE592E5AAACD8DE</t>
  </si>
  <si>
    <t>JChemExcel9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N//uS/nsRflbify+yj2TU5ck8qy/ozZ20+9/2bu+jnXT3o/Td3mcfbd8b7z18uLuz8/Dg/v0H+5/u3vuU2o8ffnp/f2/34NN79NH9Bw/30u2d8af3dh/s7z3Y3324e0Dfftr/7N79/rsH99JeH/u9Zgc7u/1mnz7of3aQbu9Tr3sP6I2dB/s7e5/ep9GNH+zsPrxHoB4+3Hm4/3BvL90b79y7/+nu/fs7uw/uPbi/9zC9N7736cO9h/uf7tEX9+m7dJ9e23tIX+/fv/fw3v2HD3qfHNzvvbZ/PwK7i8C93e579x+mB+ODAx/4w4/Sa8zA7phISIQkWj3cp693aIx74/u73mefPmSSBe0+fYgJ2NsJPrp3QLjc/5R+PSDi7tzf+5R67LV7sEv8t0cy4rW7Rx8cPPBfPCBy7O+Gn3Re2nvQ7e7eXgQtvNltt/9pv53wXjhKfNalRoQY9/f7zfpj3Ae+OyTFd60YHz2eVMuZ9yvL9av8vNlT0f4orepZXn/20R5eRJNIQygA23B3Q0OoiVtBhDK5FUSonFtB3PUb3gDxwa0aQs/dqiG04a1whD7cuRVIaNLdW7UUBXy7pqynb4WpqPPbQWWtfzuobBxuB5VtyO2g7gVNN0Jlq3S7pqCAm1avKf9QmbprzCj92jOxd539TR7fJct+lPw/7F66wfUHAAA=</t>
  </si>
  <si>
    <t>01CBA08463EB00F052CB9CB38A0C6097</t>
  </si>
  <si>
    <t>JChemExceli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3P0rzMgcWb65XOQ0qxX9f6r8vUvn7hfz1Ufpu77OP9sb3Hzy8/+n9vYf3dj+9v39/99N0jwZ979MHD3f3dg/2Dnbu7X2a7ozvf9r7aOfgwYOHew/v7+w/3Pl0996n+ynR4l7Q7KD30b0HBP/TTx/cu3+wt3/v0/uf7nz68EG6vTO+t797f3dnl77a2bv34NOd+9TD3sH+waf7e9T1vf179z/dRbtP9wju/Z29/YOH1Ggv3SZ07+8eHBw82KfX7u0+vIePHjw4oNd2H+zvPHz4cO9+ur07Pnhwb+fBvYOD+/c/fUjD/BTN9h8+3N8/uLd7n0ZAENPte+Od+w92HgB3osinO3sfpddEJfp8D7083KP37+0Q1P10e39M4zrY/fTe3j16+eH+/ehH3TcP7qPje8DLPZ9iZA8+DT6jod0f79EYaaT0GjX69OB0m+aHPqYhEZmog4efUk8E8QGRee8++nz4gGjwKQ3lgGb2gEb36YNdojENHB/tE0ke0IiJUg/28NoOfblLH+xRu/uYifuEx/4D+vPTXcJ398EBRnWPQH16QLOFicGLD2kOaV53dwixB/uf7hH/3rUMfPR4Ui1n3q/M0a/y82ZPmfqjtKpneU2iiBfRJNIQrH+rhhCQWzWEGN2q4e5tG0Iqg4ZoIYJ99G15S/8aBAGpvlVfNMyDD+wLuuNWfbGGsS33NpGKFdGtgIq+uh1UVmu3gnpw65aiJ2/X/66o0z5U/qG8fddodvq1p/XvOpOQPL5LxuYo+X8AwlYU2YgGAAA=</t>
  </si>
  <si>
    <t>D7254F04AFB89C5623DCFC782AEF1DB3</t>
  </si>
  <si>
    <t>JChemExcelT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4/89o/9O0i/x30fpu73PPtobf/rpg3v3D/b27316/9OdTw8O0u5HD1Ma5L17nz54uLu3e7B3sHPv3oN0e3f8YG/3we59+uje7u69vU9Ptwkj+nj/3oMDAnB/78H+/Yf3dvf58y6E/d4n9x9Qx7sHu/t79z/dvbfz6d79+w/3+N1745379x4+vH9AKB08uH9wby8K8uG9LuYP7gFm+NFe9719wbqLXu+jBw/6nx18mm73OrjXw2yPZueaaL1NIzlIt/fHn+4+9B766P743oH/0cNoK3r9QfDRA3R/byd4k1DaGT/4NPhsN30wvn+f5vYhkXdv797DTzFbnxKi9/d3/Af06sGjVvf8Tw6YYLsEcOfh3qf3d3d3dg52zVQd7Hfe7mHz4GF/vDSQT8cP9zofdUnwab/VQxKlu1aWjh5PquXM+5WF61V+3uypfH2UVvUsr4nv8SKaRBpCCm3D3Q0NIau3ggiJvhVEyP2tIO76DTdBhBq5VUMom1t1DZV0K4isuG4FUvTbrYCKGrwV1AdBy41A0f/t5vwA2vdWLVlH36qlqPJbjYmb3m5CYSfcjHot+YdKyV1jnejXnuW668xa8vguGcyj5P8B/tBi6kwHAAA=</t>
  </si>
  <si>
    <t>1C0C7647C236B9CF0D3274597597D59D</t>
  </si>
  <si>
    <t>JChemExcelM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E/SFyn+PUlf83/4aT45+Sh9t/fZR9s7473dnf3dTz+9t7e3d//B7v5eSuPY2T24d+/e/oPdnYcPdu/tpXv00UPvObhHrQ527j+kFx/cu39//+D+/ZRAPbz3KT0P9/d26f8P7qX3xgcEdv/hwwcP7927v793fz/dH9/b+5SA39u5/4AgfHpAnxzc81FIPx3f298DoN3d+/T/ew/SB+N793cIpb1P9/fvE45oc7D/6QOCfO9gZ+fTvQcH6cH44NN71Ghv/96Dg08P9g/Sh+ODB7vU+8FDwpLGQUjT2A7u0VsHDz7d2d27/ym1uffpA+r7/oOdvXu7Dx+mNM0HDx4SOvf3H96nHnYPPkqvQan74wcP7+89fPDpg0/3Dw4OPt1L6aP7O4Tp/R3C/MHug/sP0u1Px59+enCP3tx5uLu/s/uAPjoY7+4RjQ5olBjfzh4+2t/dJ+rtP9jf398jMuDFew8e3Pt07+Gn+w/37u08oFb744d7RMmHD/YJ6Qf39wnWg/F9evMh0XL3wUP8go/2CItPdw4eEgLU8qAPnj4iWnxKDfY/fXj//h4oGcXr4XiPKHPwcH/nwQ7RYI9bPSTyESU+pa8eEGP0x3jQx54k4fFdy9hHjyfVcub9ypz+Kj9v9pTZP0qrepbXJJF4EU0iDSESt2oIwblVQ4jXrRoSxE9v1RCiahvubW54cCuIEPtbNWTlcKuWokNuhSY3vd30iEa6XVNWXLdrCqi3mySjBvtN+Yfy312jhOnXnoK+67R38vgu2YWj5P8BOP5//zMGAAA=</t>
  </si>
  <si>
    <t>750E7913912AC229BD1C582AFE69A55C</t>
  </si>
  <si>
    <t>JChemExcelV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4dfJTmZY4Bvble5USf9Mv0JPjvBf//hf0d/33p/Wv++5K+lU9e00/676P03d5nH+2MH3768OH+wf79vb17B/cPCLPtnfG9T+89uLfz6acP7x883L9/f7f/2YP7+2nn3Qf37/U+utd/9dN79Or27vjThw/2dx4+eLi7v/tg/+GDe/3P9qndvfHOvd2dg4OHu/f2CBMiUu+j/YPuq/f7ne7v9Rrt7EaA3f+0/9mDHr73d/YiA/t0v//Z/f5g6eXIwA7uRQB+GhnJgx6VPz3YS/fG93bufbr34D71Q+/tEPfcG4dkf/Bpuj9++GDnIU3z7oMHe3sA1f1kv/faw/0Y8C4KDx6k2/uE6f6DTw927t3feUCUfNh9cZf4vwN+nwhOwr3fQeKWH+2Nd3bD8RyMH97zP7n/UXpNbL79cHzPf0gItw/G9z/1P0u3H4x39sJPPh3v3Q8/2R8/2PU+ICmmqXy47zcibdBtFoO133+TpntvvL/TaUXs43/CfXab7THv7Tz0P9t9CBn99MGn3nMfk7K363/0gD55eOB/8immvNPoQQ/UwX3invt7QStSxXsPb/rk0/HBPf+TT9MH40933J+fgu+7jR7cptFBpLfb4Nhv05tAiGKHP6ArO5NKSp6m6z6k6MGD3Ye7eyTwxO4H+wen22Qg+Cs02Dl48Ok+ic39/Yf37z28R19+Gn+FTNRda6OOHk+q5cz7lY3Wq/y82VO79VFa1bO8JuOKF9Ek0hDG5lYNYQNtw70NDWEpbwUR9vRWEGF1bwURtvlWEO/5DW+A+PBWDdkhuFXf4jfcCqi4F7eC+mnQ8kagt5tzcWtu15S9n9s1ZSfpdk3Zl7pdU3a5btf03u2bAoHbcYD4ereaLG56OxYQz/F2TdnBvF1T9kNv15Td1VsNS7za20Fl5/d2UNlHvh1UdqVvB3U/aLoRKjvnt2u6e+umAHo7FthHTHCrlhI63K4poN5OXiUIuRVVuentppWbRqeVf6hhu2sCNfq1F8TddRFe8vguxY5Hyf8DeDz+m1cOAAA=</t>
  </si>
  <si>
    <t>7D5F413D3058E45A998D2E50964CEFD3</t>
  </si>
  <si>
    <t>JChemExcelf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VL/vy8jv7lP5D/89oL+088+St/tffbR9t74008f3Lt/sLd/79P7n+58+vBBGv2MSHjv3qcPHu7u7R7sHezcu6/t9u/fu793/+Huzs69B/cfnG7TgLtN76VdgPfT/fHOzi69Qn/vH+zTbzRN9+7tP9j9dP/gwT16896DXpv9+z1ABwe93vYP0u2D8cHB7gN65+EDArF3f4/w+hRjePDg03v3Pz2493B/Z2fv/s59xrc3tk8/7dHgAU3mdhehT/sfEbTOQOi9TwkW9UlgHu7u7+w++DT6Ufe93ehHEbwi6HdbEV49tHofdHHav3Hedh4+7Pa+92ADY+yMD/b9Hu5/lF6DCe+Nd/cOdvf2H+rzgCfr/kH3M3p/1//s4EG/3cH9SLuHtt39HfPs2Xb2M5LGXrv9B+nO+AEN7oFD5QGNev+h/xH1qq1cB/umlf2INMO98c694KPeeyxBvfd60A9uSY5oswi0bp87D3q4Uqs++nvjvU+DRvdMI584XXo9sJSwH3160CP0fZpL5Q3+7eChPzO79iP7wsN9+0I4NTukze9adX70eFItZ96vrN9f5efNnqr4j9KqnuU12SG8iCaRhtDLt2oIc3GrhjAqt2oI03OrhjBQt2oIM2Yb7m1u+PBWENkk3gqkWM5bAb1/65Ziim/XlC327VBF09tN5r1btxRP4Xb9s0NxO6jsd9wK6l7QciNQdmRu15T9nVv1L27RraCK93Q7qJ8GTTdCZX/sVk0xA3u3k3uw4N4tWQDDup3sg1a34wDxKG9FK256u3lFy9tpAPFib9/0dnO1D5c41pJ/qFa/axx6+rXn7N91kUDy+C7FGEfJ/wNbLwMefwwAAA==</t>
  </si>
  <si>
    <t>A9CDA0B57DE13C8595C916DE9054A4B4</t>
  </si>
  <si>
    <t>JChemExcelg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Un6pf6/+98L/fml/U3++vKj9N0eaHrv3r1PHzzc3ds92DvYubdzkO6NP/30wb37B3v79z69/+nOp5+m++Odnd2dew/o7/2D/d2dvcgnvbc+JSrfu7f/YPfT/YMH9wj+vQf3Yx/dDPxe/7XbAeri9CDyyaf0ycG9h/THw939nd0H9yKfRDo7oM72dh7sP7i38/DTg72dh5FPHtJr9x/cv3dwf+/Bw0/39u/TJ/sPP32w9+DTg0/39g7276XEhjtE9Af7Dx/uElr7D/HJgwf+J3sp8fKD/b1PdwnQg/uf3j+4z699SkAfHHy6u793n5rsjamT/b39g4ef3t99+IAo9HD8cPfgHpHi3s7uQ6LM3kfpNU349sF4/9OH/pNuPxiHn9BHkVYQqR3/owP+7IH+eND9am98b7cL4t5456Dbbn/86V63HVE8+OgBffbp+GHwId59MH4QoDTUrgtPh7MbHWiEHJGPPh2TzA7Saff+p/ce7B4cfPqAJBwf3dvbJd54sLf3YI/4iCn88OBghzhhh0hysH//Hnohnvh07/79Tx9++um9PRIh6uXePWKYA3rp/r17ezv376fb98c07fceEosRge8/OHiAj+4RqN0Hu+CcHWISUkx3rWY6ejypljPvV1ZVr/LzZk+11UdpVc/ymvQBXkSTSEPotFs1hOa7VUPoR9twb3PDT28FEbr2Vg2hkW/VEHr7Vg1Zu99qNGIEbgVUbMXtoLJJuR1Utjy3gvowaHkD6XfdbKIlmoi1PPquvKZ/DSPGpvBW3YnF/ND+AOR2fCCW+VY0Q9M9xwobZYrt/O2asjtwu6bsNdyuKTsXt2u6c/um7K4MTc63bzc54u/ciuLcNCr4/ENV313j0dGvPW/vrnMFk8d3yck8Sv4fYzhPJ4AKAAA=</t>
  </si>
  <si>
    <t>EA6F28AC07685D9A5DE6C63B8ED3A82F</t>
  </si>
  <si>
    <t>JChemExcel3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16k8vNL/fmaf5NPzXfy7e/1kRCkPJln9QUB2Elv+m97N/hz96P03d5nH20/GO89PPh0d3/nwd7DnYf3HqTb98cP7nuffPow3d4fPzzwG+2m2/fG+/vBR/fT7b3xpw+CN+/12n36oAft0wf3+51Ssw5mnx70O/j0UxrWePde0Iza7Yzppw/tYb/dg/2UPnpAH95/uPdg5+HOp/f20r3xzoNP7z+4v7d7/9O93Z393fTe+P7+7t7O3t79HRrj/Qf0WvejT+9337v38EG6Pz54sH9wsHvvwd79/XufEpt8Ot7bObj/6c7+w32i16f7D3qfHETeekC97e3de/jp7qe7Dx9+erCXHlCb+w93Dx7cO9jZe/BgL93dGx/c8z/5KL3eg1DtEVb7D/c+Pdh9uLOzd+9+2v3oU8KcBnNv7+Ae/bl7sPPpbu+Te723aHRE4t29T+nXg/v3PqVedz79NPLhwf59EH7//sMHOwcPH9zf/5TGur8f+eyg/xkJUafjezt7/T72H/Zf3Tnot7snTEB0frhLn++j7R4JKDU8eOg33Luf7ow/3ac53Nnd//QeqE6vEq/sUpNP7+0++PThw/3d+wf0EdHJa/Vp/0UhSgc+40G8G/bZ++zeQf9d4hnSfqSr7lpldfR4Ui1n3q+svV7l582eKrCP0qqe5TUxBF5Ek0hDqDnbcG9DQyjDW0GEyrwVRCjWW0GE+r0VxD2/4SaI0Oa3agidf6uG0P47t2oJW7F7q5ZiZm7XlK3RrYjETW83lWLbbgeVTeDtoLKlvB1UNqi3g7p/+6aAertpFUt+K1zF4N8KqvgFt4IKYnlNb4TqeGBjU3ZIYk35h2qVu8Zdol97rtRd52clj++SB3eU/D8SlZwu3QkAAA==</t>
  </si>
  <si>
    <t>C6A45132F9184AD545468230DA9F3C26</t>
  </si>
  <si>
    <t>JChemExcelz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O3/92X/k4/Sd3uffXQw3vn04d79h/v39nce7u8d3EsfjO89fHB/Z293Z2f34MHDvfTT8f7O/oMHu/h6/+BTarI/PqBn99Pdhwd79w8eEJb743uf3r//cOfTXXrtwcMHB0S4e/cP7u3tPKAX9h/sEcafjg8e7O89+PT+7t7Dew92Dw5S6vzhzs7DvV2CfbC78/BB+pDg7D+4d2/nwf1P9w7u3/uU2jy89+mnBwcPd+7t03c7aEN9HxDsg50H9w4eovODe/d3Ht7fBYxP9+mP9N743u7D3Xs0rE/v71CP1P3e+N4evf9w78HD3U8f7D24t0cfHew//PQeDerT/d2DnZ1PH6S744P7nz6k8RJmDw4efEoj2RkzbQ4I9P4BUeQ+4bm9M9492KPBfIp/dgnFg/vUkBDYv3/v/r39+w8e3NvZS7d3x58Sje7t3fv0wb37uw93Dh5+lF4T2emLBzs7O/cO9u89vLf7YP/BwS5g3tslAu3fox527u/fu/cQAPYf7t5/+One/Z37D3Z292hs9Nne3s59dL7z6f49Iuin1DXhcUAk29vZJWoTcT6loezvEE32aX52iMKEAH20e29/lyaOZpfGubt/n2hA83WP8H54cI/ougsS7O3e36HRfUrzdf8e9QHUiHZ7NC6alN17n8rQ9olk93d27wE1mlSQkwZPvz4kYtLwCda98e7ePpA82H1As35AwB/S/O7t0nwefLr/6QHRcoeGeEAo7IN1aIp3791Dh0T6ezQRNMkPCbuDPXxG0+/efbizS+B26DUi/sHDh3ufEsdhQNTCfxOUuEcjJp578PCA6LZ7QMJ410rj0eNJtZx5v7J4vsrPG5ooiCcJc1XP8pr0ykfSQgT76NuP73p/yR9xEPcCEEMNoQdu1RDa4lYNoVNu1RCa51YN927bEIrsAwkHRXirvlhd3qrl3q1biv79wBFAV+8Nwfju7WCIAbgdzmwnbteUzYltureZibyWX48QYrluhxkbuFthJnbwdlDZXN4O6n7Q9Caoe1F+4h+qVO4a/4B+7fkOd51jkTy+Sy7LUfL/AEzls87OCAAA</t>
  </si>
  <si>
    <t>D0A8EA10DF6E13BC60B621CCC359F2C8</t>
  </si>
  <si>
    <t>JChemExcelt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O3/92X/k4/Sd3uffXQw3vn04d79h/v39nce7u8d3EsfjO89fHB/Z293Z2f34MHDvfTT8f7O/oMHu/h6/+BTarI/PqBn99Pdhwd79w8eEJb743uf3r//cOfTXXrtwcMHB0S4e/cP7u3tPKAX9h/sEcafjg8e7O89+PT+7t7Dew92Dw5S6vzhzs7DvV2CfbC78/BB+pDg7D+4d2/nwf1P9w7u3/uU2jy89+mnBwcPd+7t03c7aEN9HxDsg50H9w4eovODe/d3Ht7fBYxP9+mP9N743u7D3Xs0rE/v71CP1P3e+N4evf9w78HD3U8f7D24t0cfHew//PQeDerT/d2DnZ1PH6S744P7nz6k8RJmDw4efEoj2RkzbQ4I9P4BUeQ+4bm9M9492KPBfIp/dgnFg/vUkBDYv3/v/r39+w8e3NvZS7d3x58Sje7t3fv0wb37uw93Dh5+lF4T2emLBzs7O/cO9u89vLf7YP/BwS5g3tslAu3fox527u/fu/cQAPYf7t5/+One/Z37D3Z292hs9Nne3s59dL7z6f49Iuin1DXhcUAk29vZJWoTcT6loezvEE32aX52iMKEAH20e29/lyaOZpfGubt/n2hA83WP8H54cI/ougsS7O3e36HRfUrzdf8e9QHUiHZ7NC6alN17n8rQ9olk93d27wE1mlSQkwZPvz4kYtLwCda98e7ePpA82H1As35AwB/S/O7t0nwefLr/6QHRcoeGeEAo7IN1aIp3791Dh0T6ezQRNMkPCbuDPXxG0+/efbizS+B26DUi/sHDh3ufEsdhQNTCfxOUuEcjJp578PCA6LZ7QMJ410rj0eNJtZx5v7J4vsrPG5ooiCcJc1XP8pr0ykfSQgT76NuP73p/yR9xEPcCEEMNoQdu1RDa4lYNoVNu1RCa51YN927bEIrsAwkHRXirvlhd3qrl3q1biv61Tfc2E293b2is373dWEXN3w4ztga3a8pG41aDuB+0/HoTJvbpdpixGbsVZmLtbgeVjeLtoO4HTW+CuhflGv6hquOu8QLo156HcNe5D8nju+SYHCX/D/BbSrm0CAAA</t>
  </si>
  <si>
    <t>B804AABF61EA608B500D80AF192838E7</t>
  </si>
  <si>
    <t>JChemExcelL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cn6ZfpS/r/l97PFxn97yMZSnkyz+oLarqTuv+2d90v9N9H6bs90Ob+fkpjpg/x2954b29nf//Tnf2He/d37u3eO93e/TT9dPzpp7v37h3s7j94cH/n4b2H/Cm/gNfuPfSfAwYXB2Rf2SdSPtjb8Z5dvPZRek044X1GKQ5E3t++N945iHSv3/ugd+5Lx/xGBF9Hg0/Hu5/SXN21k3X0eFItZ96vPHuv8vNmTyfwo7SqZ3lNlMSLaBJpiGm+bcP9WzUEy9iGe5sbfnpbiA9u1ZBwPLhVQ7DyrXA8AMPfFuTubqwl/9B5umsEkH7tCeddJ7nJ47ukE46S/wfyEmYJLwQAAA==</t>
  </si>
  <si>
    <t>16877BE8A0EF657AC7B2493676F0DA13</t>
  </si>
  <si>
    <t>JChemExcel8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Rf0n8n+t8L/b/7Df//Uv7/Ufpuj0i1O97fo+fT+w936f/3Pt1LYx8RkQ4O7u8/2P/04cG93Xt7n6a7e+MH9+8/3Ln/YPfe/sGDew8f9D+iVvv04sP7B/sH9+7f272/f283+tF96pGA3ntIr+7f2//0QfSj/fHugwf3Hjx4cHD/YOfTnf0DfPTpfb8VffTpePeh9xG992C8t3fvwd79nYc7NJrdHfroYPzg3s7Ogz3CcefTT3c/JUwfjvd27hNe9z99sL9z7/7BAVrtPri///DB/j289nD/U0D/9NOHu/d3dvdoAESTB+nezvjB7t69nfsH1AU1BFq3G8+nRK5PH+7f23lw8PABwbyHHgnJT4n4hNzDh/fvxVp9lF7TxG3fH+/s39u7d7C3e//h3s4uzdL2vTF97X1ETLRNc3IvaHYv/tkuk8179366vcM4B/Co2e6nDz7dfXCwTxge3DsgpMcHB52P7tGLnY/2x/fu7T68T9TfI1ru0bzcHz94+On9Bwf00YOdfWoa+eTT8cN9ar27e+/g4b2HNH765NO9nYN7xGL3d4gLCHWS0fuf7u3u7Dx8+PDg0x2aEuKw3d0Hnz7Y+fTgAbV6+LDX+wF9cnDv0529T3cefrpLuBKl+yQ4iJOqS+a9frMdol5vgkgp3LVa4ejxpFrOvF9ZTbzKz5s91RQfpVU9y2uSUbyIJpGG0Ce24d7mhvu3ggjddKuG0GC3agg9d6uG0Ia3agideauGrFlv1VIU8K1IKXr6dlBZnd8OKmv920Fl43A7qGxDbgeVTc3toO4FTW+agdu1ZFRvN//A9HYMIDbzVk3FtN6uKVvgW5GKmzoO8KDyD1UAd40LQb/23Iu7zvdIHt8lr+Yo+X8AP06XhvEIAAA=</t>
  </si>
  <si>
    <t>E1112135FAD518B36380B55024A84FF8</t>
  </si>
  <si>
    <t>JChemExcelq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Tr/k/07ovxf8b/Bfab80/335Ufpu77OPiCAp/r833tvb2d//dGf/4d79nXu79063CZvd8f39dJv/JdI92Lm/c//BwT7/94A+opd2PqWXDu7d29vfPzjAJ/TFp3sPHjzc3T+4/3Av1qYP6OH4/s7uzr0H9z69T5/s7txPD8a7nz64d/9gb58++3TnwW766ZggfEpw93YP9g6o8f3YR/33urAf9Nrco4m/v+M/e71PdoH2vU/3qI9Pd3d2H+7RdBGz7FPfD+4TyQ52d3YePMRHPO57e/f37+9SJ59S/58+eLCzu7tLqO58it4JD/qTqPzw4ODBpwf0ycFDevne/gHgEDB65969/Xt7BwcP79NMPHxw/6P0muZKJuLe+MGDXYx5f5dGRQSkmXrgZmqHYBIKNFp6+aFMY/yVe+N7O/u7+w8I992dhw/vPbxPXPDw0939T+/ff7B7sPuA2t8H4AeEwr37u/f39h8AR+KX3QPqg749oLE9+JTmIN2mD+9/ukdUeAAQDz/d2fuUGtKs+O/io5173kcPd3b2Y832xkQA/yPCdheksJ8QJ3Ub0Uf740/vb3zvYRQDItyn9x/cP3hItLtHn31KL27vCZ8So+7c3ycWu3c/3d4Xbt5/QN3s7BEf4KNPP90hEjy4d+/g4f7DA4J2b/zp7t7Dnd0Huw8ekCx8evAA0GjS7xO73Nt7SI0/JSbf/pQ4cZc4iqiN+XpIuufxXatKjh5PquXM+5V1y6v8vNlT9fJRWtWzvCYdiBfRJNIQSsg23NvccP+2De/fqmvovFs1hGa8VUPoz1s1ZC17q5aijG/XlHX2rWgkqv12UNkC3A4qG4rbQWV7cjuou0HTG2b0li25/9vNPo/qdvPPtLodB2Be927HAmJnb0UrMce3g8pW+3ZQ2bjfDir7ALeDuhM03QgVCEQnln+oErprfB/6tecX3XVOU/L4LrljR8n/A5TA6saqCQAA</t>
  </si>
  <si>
    <t>0EDB3B362C6B7794CC2CDFA464F979B7</t>
  </si>
  <si>
    <t>JChemExcelOg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Gv73Ze/v7ifxNtwu+0ioXJ7Ms/qCoO+kN/23vXtjE9to76P03d5nH23vje8/vLf36f7D+w93d3d2Pj24Ry3Ge/cf3j+4f3Dvwd7B3s49IlDvMyIqzfyD/R16+2D//v6nO4Ofxd7t9Rv9aHe8v/PgwYO9/Z1P7xHYewcP+x+le+MH+7v793fvA/bezoO9yCfdtz7d62G6e+9h77M9YofbjBLt+oh9On64F6BxPz0gStzfvbfz6X0CtLO786D7yW76cHz/4OBg5+GDB7tEMXo/8knvpW5X9yKfkKQ+3NvbJ1AP73168Onug4fRj/YI9qe7nx7s7FIX+3skTLGPui8+6GHZH8m9W4wtjuan4/17PgI8e+n+eP+j9JqYmH7Z+XTXPem98af3/A92PiWe2HnY+Yg0057/0V66vTOm0R14z/0H+PDhQfDhbrxhF95u/FVi873gs3T73njvof/RA/psf3xwL/gs3b4//nTH/+jT+9FmPWhpl0C7pJgf7oefdGm223vrR2T9RsgK1t0+GH8ajOBB5CMygnetFTx6PKmWM+9XNouv8vNmTy3jR2lVz/KazDdeRJNIQ5izWzWElbUN9zY0hC2+FURY7FtBhF2/FURY/1tBvOc3vAHHh7dqyC7HrVqKZ3IrNHfZgbkdVPZzbgeV3aHbQWWv6XZQd4KmN/Dcrpv5jf2zt3a7/tH0dpMqft+tmop7eLum7EXeCldxNm8HlX3S20Hdh+t6O6js4d4O6m7Q9EZcbyep4lrfril74LfDlR31W0EVf/5WUMXtvx1Ujg5uBRXD8prexIT3biew9/YRltwKAW4anVj+oZblronF6NdenHbXBXHJ47sUHh4l/w8Phkw+Og4AAA==</t>
  </si>
  <si>
    <t>DE3D42E73DC25D1E810C4D319F5748F8</t>
  </si>
  <si>
    <t>JChemExcelx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77U/5vf/f86f5cfpe/2Pvto+/743r39B7uf7h88uLe7t7t/P4199On4008P7j28/+nOw939HcJse3+8s7O7c+/BvU/v7x/s7+48jH7UA0Ww9gjWg3v3D/b2qeGnOw/20+174/17/kf39tLt3fHBw6DZfXx27969Tx88JFAHewc79w72Ip8B3KcHOweffnrvwf37B/Thg09Pt4my9PnOzv7DB/sP9nf3Pt0hyPJxDGoXyXsPIp/d7tV9fARM9u5Tnzt79Ol97rj78s5B2nn3008/7X30oPceMQsN7R59Bfj3Dz69d19G1p2QvY/Sa5rz/fGnuw+95yAlwjwIP9kjeMEnD3ofPUx3xg8+DT7ZBRN8+uA+QXvw6YMH9x/sP8RQMYid3b29Bw/37u3t3iMwn+7xxz363e+Pjlr1+mEqd7HZ7o9iuzvUB8ySBze0OojAegAheLjXafZgHCL24H78s1u++nC8dy/4jChEyioY6Ke3a3ZA+uiuVUhHjyfVcub9yhrqVX7e7KmS+iit6llekybFi2gSaQhVdtuG+7dqCLV4q4ZQnrbh3uaGD24FEYr4tg0f3rbh7s6tWoruv11TNhG3GrpYkttBZYNzO6hsl24Hlc3X7aDuBk03QgUCt5tTsZu3QwBNbzevYoVvBVWM9a2gik2/HVQ2/beDyh7CraDysG4npoxAlAf4hyqWu8Yrol97HtNd504lj++So3aU/D9k22N9xAkAAA==</t>
  </si>
  <si>
    <t>B0C7F262B93149434885CCFB3EAFDB3C</t>
  </si>
  <si>
    <t>JChemExcela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aey/L9MX0c/1m4/Sd3uffXQw3vn04d79h/v39nce7u8d3EsfjO89fHB/Z293Z2f34MHDvfTT8f7O/oMHu/h6/+BTarI/PqBn99Pdhwd79w8e0Hj2x/c+vX//4c6nu/Tag4cPDojE9+4f3NvbeUAv7D/Yo7F9Oj54sL/34NP7u3sP7z3YPThIqfOHOzsP93YJ9sHuzsMH6UOCs//g3r2dB/c/3Tu4f+9TavPw3qefHhw83Lm3T9/toA31fUCwD3Ye3Dt4uIuXdnbv37+39+mDg5379/cfpjS71JL+9+kDgkrI76W7e4TQ3qc7ezv7B3v0wYP76e698d7DBw8efrq/d/8+If3gU3x0/9OD/V3Ckprt7h7sA9buPYL86T59fO8e4YDx37u/8/D+LpD+dJ/+SO+N7+0+3L1HdPz0/g4NkcZLHe4Rwg/3Hjzc/ZQ6vLdHHx3sP/z0HlHx0/3dg52dTx+ku+OD+58+JAITKR4cEMIH6c6YJ+OAQO8f0BTcJ8Js74x3D/aIep/in12iycH9dHt3/ClNwb09wu/e/d2HOwcP6WVCav/+vfv39u8/eHBvZw+oPdg7+BQfEiEf0Ox+lF7T1NPbD3Z2du4d7N97eG+XqHSwi27u7dIk7d+jTnfu79+79xC97D/cvf/w0737O/cf7Ozu3eOe9/Z27gOfnU/37xG5PqWeCbUDmra9nV2acZogoifNA5Fpn3hkh2aZsExBzv1dYh7iMBr67v59IgvxzD1C++HBPZrbXVBlb/f+Dg2YECa8qQ+gRuTco2ERY9CM0MiAGVHx/s7uPaBGjJVu742JC+/v7RB3EGsSMx0wsp8+vPeQGPTTnQe79Pp9tNs/uE8zTC0/3SXa3b+Xbt8jguzS3wc7GC/hw+/e3ydJ+JQ4/d4uwHyKdvv3dmhgxDQPiVUeHmBiieSEwUOaViI6DeHeeHdvH7Q52H1ADH9AY3pIrL23S6xMzPTpAc3qDlH2gEa+D6khztq9dw/jJCa4RyxB/M1I7OEzYmb37sOdXQK3Q68RGxw8fLj3KQkbSEso7pJsPXhIYyMRI7zoHR/Wp4D1cP/hPgnrAyIGCwlpsbtWjR09nlTLmfcr67VX+XlDPAO9Rlqwqmd5TQr5I2khGvHo24/ven/JH3EQ9wIQQw2hQG/V8H634fsjBTV9q76gzG/VcO+2DWEbPhB72JZb9cUW6FYt927dUkzaB45AbKIFsrepPzS9HQeJhb1dUzbEt296O27hprdjAzgAg3zw3VtSkb2HW3UnTsatmoovcqum92/dUpyb2zVlH+hWvCGu0u2gskd1O6hoersJZ1qFTb2Ju6UwMG1CrrkRCP9QrX3XeK70a8+rvetc3uTxXXKmj5L/B5EdyoNoCwAA</t>
  </si>
  <si>
    <t>9F0159ACF665B94998B84F50D78CA970</t>
  </si>
  <si>
    <t>JChemExcelG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b478v0hf777KP03d5nH+2NP/30wb37B3v79z69/+nOpw8fpITcvXufPni4u7d7sHewc+/+g3T74Xjv4e6nu3uf0kc7Ow8e3Dvd3qWPu00/xUd7+w93dnYe7uw92Ll3b2eXWn7ah3mv99Gn+2kHmRgqH6XXhDX18unD+58+3Nt9+OABvbL3kHvZ3hk/+PSh/zDq+/cePHzw8OHu7v7Bp/d2PxXUI013x/fvBR8dEEb3doKPPk3vjQ/2Ox/1XtxPt/tv0vzdtRN49HhSLWferzyjr/LzZk8n9aO0qmd5TVOEF9Ek0hBTbxvubmgIBrkVRGp4/1YQwWy3agiWvFXX1PDgVhB3b9twj+Wg35B/KPHvGkmjX3tSeNeJaPL4Lgn/UfL/AA+wTUcYBAAA</t>
  </si>
  <si>
    <t>99EF4CAC1E482A7031724ED58B8D254F</t>
  </si>
  <si>
    <t>JChemExcelE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h/97Rv//Mv3yo/Td3mcfbe+NP915+OmD/U/3Hu4+2KPfT7cJMg3r3r1PHzzc3ds92DvYuXev/8m9lF799MG9+wd7+/c+vf/pDgHpfXQQeTGlPvcOHuzvP3ywf+/+zkPq9x53Sp/vPDx48PDg/qf3+cuH96PI7O31+vk08kn3tZ29dHt/TOO8v39v78Gn93fv7e7sS8f3xvfv7z3YpdYHBzs793d2+eP98c7O7s69BwRw/2CfGveHd9D/qP/a/Y/Sa5D6/vjTXfrvwd79e/sP9h/uYtSfpts74wcPdvxnH5Qg5PyHkdx58NB/eDi7nY/uj+/JF3uRN6i3T8cPaQYejD8NvqBXHo737vmfHKTb4P6dzmeRZl1gB4oFvU2TcD9o/nCXBxy+8IAE4q6ViKPHk2o5835lEXmVnzd7KiUfpVU9y2sSZbyIJpGGkKVbNYTE2YZ7GxpCLm8FEdJ7K4iQ8VtBhCa4FcR7fsNNEKnrh7dqyOrnVn2LlroVUFFmt4PKOu92UFk13grqw6DlDZO5e7tpB6Ju3jciynr7Vohy0+iU8g8Vk7vGyNCvPQN011mn5PFdsntHyf8DIQF0HRMHAAA=</t>
  </si>
  <si>
    <t>0E06D4CE5EBFED752267B5B050E09896</t>
  </si>
  <si>
    <t>JChemExcell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ud1/5Ufpu73PPtreG+88vP/gYHf/wYPd+wf39nfT3kd76fa98f7ew/1Pd+4/PHh48Om9Bw8+Tbd3xg8+3dvd2bt3//69ezv3dj7d7X92fy/dGd8nMA8+ffDpp/sPHzygz2If7Y4f3n+48+nBwR4BerBPr6f3xjsHDx5+evBg5/6nB/fvHXz6abo/vn//4f37Owd7n95/+OnO/j598nBnb4/6+nT/4ODgwacH9BpBpGf3YG/vwc7Bvfvp3vjezu6D+7uE4b1P6beH6I5G6mEAzHcfHuzv3SNY9wnipw8fHqTbu2MiwP2HD+7vHdz7dP/B3s49UOdTgHtIL+49uH/vwX1Q5wEhT3Cp04eEywETbPfTew8f7D2kLneIivcA7eH+/sHu/d0He58ePKS399EtffBw9/7ew52dB7sPCUT6kMbtD+nhR+k1zdSnY6I+wdy7R9R4wLTY9f8mJPa9v3d2I5/sjfd2wk92x/v3gk+EFDtEOCLOvV2iyENCQmb2IY37wd7uPeKJew8xs3sPDmhExBkPDsATe/zug/v7D/Y/fXDvYIfa3997gIETLGKbT4mYBIS4A2R8sLd/b+8hTfaDe59SL0xamrF9mn+aqf17+/sPmI4P9vf3HhBhd+knTWDks/6bxAfRHnqYHERQvt8fGWa5R4F71G6HhPyulfKjx5NqOfN+ZbF/lZ83eyr5H6VVPctrUk94EU0iDaEfbttw/1YNoWtu1RAa6VYNobdsw70NDaHdbgUROvBWEFlT3gqkKNRbARW9ezuorJ5vBfUgaLkRKOv72zVls3C7pmw9bteUjcytRiW26HZQ2WTdDipbtltBFQN4O6ifBk03QX0w1JJ/qFTfNXaefu35AHedg5A8vkuux1Hy/wDZlehNlggAAA==</t>
  </si>
  <si>
    <t>49E5316026C9D6B11984333EB87D73D0</t>
  </si>
  <si>
    <t>JChemExcelW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U/31J/3+Rmt9f8L/P+N8vP0rf7X320d74/oOH9z+9v/fw3u6n9/fvE6w9IsC9Tx883N3bPdg72Lm3l+6M73/qf7L7kD7aOXjw4OHew/s7+w93Pt29R4gRWe4FL37a++jevXT7YLxz72Bn9+Gn9MnB7v7O/uk29bq9O97dv//g/s6n9x8ePNj79ODgPn1+vwdhf7/30f37hPOnnz64d/9gb//ep/c/3fn0Ye+Tg4N0f7yzQ0N7QB/sH+zv7uyj0xDUp/TZzvje/u793Z1dArCzd+/Bp59+SsPdO9g/+HR/j+hwb596PLif3iNwBwefAhL1s7//UXpNBN2+N96jtw8e0uDu39vZ3zlIt/fH1MXB7qf39u59urf/kIbQ++je/bT35gOiyt743s5D7zl4AAQffOp/9nAX7R5+ukfv3Lt3f+/ezr2HB0zU3fH9e0HLg7QL8OGnNJCD/c5HvReZVjRvD+892Hlwf//Tg537O7sycYTOgx3v2cV03Nv1P9qh0d0fP9y7TwSlwRKqNOp0+wFRf+8+xv/wATHVpw/6rfZJSu5aMTl6PKmWM+9XlptX+Xmzp6LzUVrVs7wmgceLaBJpCAG7VUOI4a0aQlhv1XD3tg0h+0FDtBD1cfRdeUv/GgQB3XGrvqBhbMO9DQ2hh24FkbXVrUCi5e6tYIrqu1XTT2/dUnTprTA9gMa9FVDo5nCW33/yRLHfqjsMIZxor4NvR7vjHypHd42tol97duyuM3LJ47tkPo+S/wfN9dTXWgcAAA==</t>
  </si>
  <si>
    <t>C7B4DF50FDF12CA6E8F7393B2F5B3B89</t>
  </si>
  <si>
    <t>JChemExcela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P2//tS/9/93fwt/z2j/778KH2399lHB+OdnXv3DvYOHny6s0v/3E8fjPfvf7q38+DB/QcHDw4O7j1MPx3f39/f2d3dvbezf/Bg9+CAqLuze+/eg4OHD3b3H+zvH3ya7o/vPdx/uH9v/97Dg/v07wNqc2+Hvt7Z+fTB3v79nYe7BOfg3oMHD/b29j7du//gwcMddPbw4GBnZ//TBwd7ew93Du6nD8f3dh/coz8In3u794kiB2jz6f39ewcHe/t79+/fS2nqqdHDB3ufPtjZ3d9/+PB+SrO9/+nB3s793b293d1PiXDU6GD/4YNPH95/uLP/8P4eDWR3b/zp7oNPdw92aKT7D3Ye7OGjh/s7hOm9+wcPdw/u7VF3n95/SIM42P303n36dJdQevDw4FM02n94j158SGjvPtz79CE3O9i5f+8AY/uU4Ozu7957+HD3/qegyKcHBw929gnGp3v7O/vEA/fGu/cPqFcC8ilR897DB+nemIhzQLTef7i3+/DTgwfpzvgBDXv/HqG9t/Ppw4MH++n2DvVHA7m3c4/Iv//pp0S/dHt3/GDvwf2D+/TV7sMH9z49oFf393b3iUoP9/fvfUqzSry3O6ax7+7uf0qzsk8UvrdPfRKu93Z394gO+zTyT+8RZjRQoilRFDQnHtwb37/38FOCCvru0NzsUyOC/YDIvLu3T3Q82Kcx7hJfHOwR6B3iIbDoNTEVdQD6fPrpDnp4cJ+mZ0xcsr9LQ9yhWbz3kASD5oIo/uDBzs7OfeI7/oTGcv/BPUL44P59oiLNNHXwkMiw85BYcHeXxsXEIMYgou0SN+w93DugUZIuuHewQ6O+d4946VMiGzek+Xl4nz6+v3Of5kYouUcoEfqf3t/5dI84+gH1AWajoR/sY8I+JSbcG4MhiHc+JYYHPYhRxuAiIukBsQU1vvcpgN2jFw/uE9FoDPskMPwmUexToipQO9gj1O7T7BBowmz/HgkaBko8zwPcP6B2NHP3IBokR/QOMQKJ/70xfbxHjLT3YHfvIc0e0ZpEhwDtE8keHHz6KXPA/X0Q+v6D3U9p1DQ7zBW7NIXgCRaY+w+AJ5idvt8hLqJZ2HvAH4JhSfAIc5JiUkX0CSkDMBq1IKnYBTPuE4ke3qPpvw9W39/DCHd9YBgOSZQHieSaSE+ASGQIW/qbxJBakZzSfNzDiIleNOHbJBBE0IcP9h98ekA8RhxDze4Rwz3YeYgW92nSQAtSTqSkHhDb3ycMD0gn37VK+ejxpFrOvF9ZS7/KzxviRGhp0ulVPctrMi8fSQvR70fffXzX+0v+iIO4F4AYaghzcKuGMBq3agjTcquGMEC3arh324awZx9IONjDW/XFVvNWLfdu3VLM8O2asrW+XVM26rdq+rDX0qPZt29HQe7udjzFTW/HVUyakK/ef3LFnbFA9jb1h6YhMw02ZefoVk3hJoWs8P70FR/sVt2Jq3a7puzR3Yo04vjdDir7h7eDiqa3Uxzibd4OKjult4O6d+um92/dUhziD2RbTOO9D2Wb+/DIPxDGvnj07zMY/qGG7q4JXejXXlhz18U8yeO7FE0dJf8P40+fLmkNAAA=</t>
  </si>
  <si>
    <t>11A7EB0FD6B23499867D64C9F812BE18</t>
  </si>
  <si>
    <t>JChemExcell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e/L9IX+Jv+9oE++pJ/P8N9HMtjyZJ7VF/TSThr/b5f+v71r/vwofbf32UfbNPh79z598HB3b/dg72Dn3sFeur033tu5v/fpA/ro4N79+7ufnm4Tpt2We58StPH+g53dBwe7+/cPHu7c29/nlj2gn37ae3u//9H9dG/86acP7t0/2Nu/9+n9T3c+ffig+9GD3f5raPRw5+HDhwef3tt5eH935yHQ+DSlee837nVCEAnf+zSIg3s7+7v7Dx4+2Pl0jwA8SPfHOzu7O/ceULv9g/3dnU+JW+7d23+w++n+wYN7BHJ/L7033rsXtMFrDx74Hz34KL0mUn86frj30HsepJ+Od+/7nxzQJw/v0fuf7oYf3xsf7Aev7vc+ekjjugcieJ/QsPZ3vGc3PRgfHNBI93dpkDu7e/f3mFDbO+MHnwavPgATfEozcG9vlwb64OH+3gE3JZD3gpb7aNnpmCDeG+88CD6LfBTrmOci7AEdEDkDRtkZ3/80YLD7JI93rUAePZ5Uy5n3K0voq/y82VMh/Sit6llekybBi2gSaQhRvm3D/Vs1hFqwDfc2N/z0VhChYm7VEIroVl1DXd0KIiu1W4EU3XcroKIibwX1QdByI1D0f7upFNV8q/65qZvOm0h1u/kUc3D7pm5Ob2wanVX+oZJy15g5+rVnAu86+5g8vkuW9yj5fwDijjGAlQcAAA==</t>
  </si>
  <si>
    <t>376D130EAC3B6607F91934B753D27B6D</t>
  </si>
  <si>
    <t>JChemExcelv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6v57Rv/h54vo/7/8KH2399lHO+Pdhw93D+4dPDx48OnegwcH1PX27nj33v7+w/t7e/d2Pr2/d//+p+n23nj/04PdB/v0xcHDe3sPdwc+6777adrr4iDdHd+/t3fw6b2dvZ37D3cOdu/vptv3xgc7uwf37+1/+umDvd17e5/u9z97cC/dpsm4d59ev39wcH//4b1P792Pf0bvHjz8dP/T/V16dffhPn20P773adAMbz7c8T+iTj8d3zvY3d89eHD/4cHBpw8O7uHF+w8CPNBqd7fz0YPxzu6Dnf29B/dp3LsPgMTBeP9g99NPHz54uEMt9x7sRT/qvvgpsN+5F4B/8FF6TfP16Xhn//7Ozu7u3t7+vd2dB3v3iTvpRe+je2mk0YPx/YPORwdjolnwXq9Rr81u5K1+/0SunfCTvfHDT7uf0NQfEAnv3Xu4s/MpEX5nfP/h/d2D/QdE9p1Pd/cO9nofPdjvv7dPw/105+DTg529/f29+w93dx5GPrlPU7/34OE+Derh3u6nB/iEWNJr84CGf+9B9xPiivvUye79+zQAmuR744f7NB17O9T3zr2dew9Ixu9aIT96PKmWM+9XlvpX+Xmzp4L/UVrVs7z+7KM9vIgmkYZQD7bh7oaGUCK3gghVcyuIUEi3grjrN9wEEfrtVg0Jx4NbNaRRP7xVQ9aot2opivd2TVk/364pq/HbkZO1/e2gslG4HdTdoOlNtLrdhIoxul1Ttlm3a8qm7XajYgt4K6hiKG8H9UHQ9AZa7UU5gH+o+N81/gD92vMV7jpHInl8l1yUo+T/ASClB7K+CAAA</t>
  </si>
  <si>
    <t>5CDD682506D5CB952232251D9F16DC99</t>
  </si>
  <si>
    <t>JChemExcelO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n6Zcp/j1JX+hP89+X9N9r/pe+KT9K3+199tG98f69B/fuH+zt3/v0/qc7nz64n+6ODx4GH31KH+3v7e4/2Nt5sHdv9+DT/YMH6d7400/9VgfpvfHD3Xt7+/v7u/sPH96LtrlHkO7du/fpg4e7e7sHewc71L7/0UG6TZ/tfvpg7/7Ozv1PP91/+Oneg9NtogF9/un9A4L56cMHe/sP7+/u8sddCPv9ng9iyOyPd3Z2d2j8n97fP9jf3dnvfbJH037v3v6DXYz5HsHvo7t/0Pvo0z3qjdp7HxHuO+O9nU/v7e0cPDjYfbD78NP7MqDOqwcfpdc0L9ufjh8ePDzYpRcI3P7DfWrb/Wg/3b4/vr93f/fg4d7Bwf17O/s7RLr98ae7D/2n34o+ujfeedBptTe+txN89ClwfvBp8Nl9QHu4Rz0RY+zsf0pQPqU5AIvcvxe0xCR0APYb7QLfnZ2dhw8eELU/fXiwv3/A4NDzgx3vIc4Hhrv+Z3sYx6d7nz7Y3bm/f/9g5yEBZ4a4Nz7YD3umaXzY+5hYgD6674PcuQ+0IbR3rdQePZ5Uy5n3K4vxq/y82VNJ/iit6llef/bRHl5Ek0hDyLttuLuhIbTCrRpCd9yq612/4Q0QP71VQyisWzWEWrtVQyi/Ww2GVeStQIomvRVQUbi3g8p6+VZQD4KWG4Gyor9dU7YHt+qfm95uQpkAt5tSMUK3QwBNbzetaLp3+3ndc/PqNeUfKql3jS2mX3t2+q4z4snju+QeHCX/D2i0kgU6CAAA</t>
  </si>
  <si>
    <t>DC2AE01A2A9127BC115EAAE575C6BEAF</t>
  </si>
  <si>
    <t>JChemExcelS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X6Qnqfz7Jf/2Jf//hf3sxUfpu73PPtr+dLy/t/vg4c79h58+uH///r29dPvBeP/+3t793Qf3du7vH9CP+yk1+/TA/2w/3abRP7j/cGd/f+/+/u7BLuFGH+3s7j+kJg93Hx7cf7j3IN2+Ry/u0ov7D3Z27z84oPb9z3bT7b3xvf0H9x/s3ds/uLdH796PfPRpuk1zt3vv4OG9vb1P7+/sHuzt7PY+2314v//ZwUG6vT/e3b+/v0+wdj8llB/cw0ef7u3SB/uf7j38dI/aY6C7ew8+xX8HOw/3Ht7fBz127x/s3iMiEZz79wH/YPzpp/v7B/f3djCET4HuvTER4+BT4Lr7YGePKPlReg0K0xf3Du7t3yfSHdwjygHkPsj54ODgwad7O59++hBU/5RQ/nT/U/qQEN+n2WASfwq87h0c7Ozcu//p7kMexaf7D2jgn+7ufnqw/+AAPd972Plod3xwv/fRzkHw0f10hyb6/t6Dh+jg3u79vd29e+numKbZ/2w3Cq3b54NPMYKD/Z0He58+JF54sHOw8ykTirjh3n1q/Om9T+/f299j2u0Roz14eH9nb2//U8w+cdzB7g6Nevfg4QF9fg8fHewQmIOHe3sH+0T2dPvheH//4YOHnz6kznYIKMTorpWjo8eTajnzfmXBepWfN3sqWx+lVT3L688+2sOLaBJpCAm0DXc3NISc3goipPlWEHdv2xDK4VYNoUJu1RCK5lYNoY5u1ZCV1q1aHkC13aqlaMBbNYV+vN08ijq9XVPWureadFHOt4J679YtRdvfrn+gGp1S/qFicteYJvq1Z7buOpuWPL5L1vIo+X8AvyhvFkkHAAA=</t>
  </si>
  <si>
    <t>D2C087FDE3F79FC9513A47599FE85D74</t>
  </si>
  <si>
    <t>JChemExcelq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Cn+e+H9a/770vvkS/7/l/rXs4/Sd3uffbS9P97Z2d259+Dep/f3D/Z3dx6mvY8O0u298aefPrh3/2Bvnz78dOfBvf5He/0XH6Tb98f37u0/2P10/+DBvd293f17/Y/oRaL9vXufPnhIfx7sHezc+/TTyGf76fan4/sHn97fO9h9+OBg/+H+vYen20S4bsv9/d5H9x4A4Z29+/d3Pt1/ePDpvQf7uw/36e376fa98UP6a//ezqf39vbvf7r76X35vANjn+jQGfOnD9PukPfvxz7qv9f95CDtkiX9lJoc3HtI3z7c3d/ZffBpt8m9GEK744OH/rTs3E/vjffvBR99Gpm9j9JrYod7Y6Kr9zygHu7thJ/sju/f8z85YFrdf7i/v/fgwe7+wf0HoJfQcGf84MGO9xALU9cPHzzY231IhP50//7uQyF3F+qnD/pvk+Bsd/E5eIAZ3HkQfHYv0u4ew/vU/+zhLjA/uH9w8On+p3v7D/Y+vUesoDx1f783doJBk0uYE/vcv7dPc8y88mkE8v0+Bg8jiD6A0Hy622924I97R6DtBrTY51f3gs8Y7eDNezQI4hZfjnqf3L8nXZIyu2u12dHjSbWceb+yenuVnzd7quE+Sqt6ltekhvEimkQaQg/eqiG05a0aQqfeqiE0760aQj/fquHebRsSjge3agijYBvubWjIpuNWIMXC3AqoGKLbQWV7dSuoB0HLjUDZAN6uKdvJ2zUFqrebebG6t2vKxvlWBBAbfjuou7dvyl7BrRHYcyywkaXZx7gVVG56y4mFl3K7iRXH5nZN2f+5XdP9WzcFWaMswD9UAd41rh/92nML7zqfMXl8l7zRo+T/AchYY1+pCgAA</t>
  </si>
  <si>
    <t>BBC503F3DF0D3C1D186291A547E28D39</t>
  </si>
  <si>
    <t>JChemExcel+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4dfJTmZY4Bvble5USf1P/vS/pv+O8v+f8v9F/5D7+/5nZffpS+2/vso/3xvd39g4d7ewd7Bzt7uw93iZif7h/cf7C7v7P/6b2dPUK5+8n99NPxwwP6uXN/79P9+wd79x9GPum+tZ92+jp4GPlkj+Ds7u3e2/105+GD/d37RNVdAvTg/r39nXsPd/c/3d190P/o4f10h0DdO7i//3D3wb3dg52D+7vpNnHYLqG1v7ezf3/n4cP7NGW9zwiv7qt7kc927z9It/fG9+7fu79z797ep/fuPXh4cJBu3xt/evBgl+DtH+x++ukOTfb2/fHO3s7Bp7v3P3348OH+Dl78lF7cv7+/8+lDarq383Cv/1H/vft96DsE/sH44OE9+v3+p/f3iXoPD/DR7oOdT3c/vXf/gGgG9OmjTw8OaD4Pdu99en9nl5ht++GYSUxv399/QPAiqD7sj/HTg96c9Dlirzv/n8Y+2d0b73+9j/bH6CT4aGf8cN//6N5H6TXxM1Fsb4+Gu7u7d4/GsE9StTc+uO9/RC/T5Iaf7Izv7wev0QxRDw8fHDzYOTh48Omnnz64T5Qg7nnwafDZfrRdDFz31f1P+6/ugo/DVwlaF92D3V4rEoAusP2HD/qd7oKn7u34H/Ua7T+81wf24GG/HTi7225/v4vb/fuQ12AExGC9Vns8qIfgYOI7emuXZJhePKDh7kEE93eJ9fb6hNzHZ100dg56A92/3yPkw94nmJQugUgQu1xF80Q259OQhwix+/vU9MEDUqN7hO29B/cI+9Nt1mH0FRrsEFASHZLdh/fvPbxHX34af4Vs011rnI4eT6rlzPuVrdWr/LzZU4P1UVrVs7wmq4oX0STSEFbmVg1h/G7VECbyVg1hSG/VEOb2Vg1hlG/V8N5tGxLEh7dqyJ7ArVqKw3C7puxX3K4pux+3a8peyu2asjNzu6Y7t2/K7tHtmgKB202+OFu3a8o+2e2asut2q6bi4d2uKTuCt2vK/uKtmmJYt2zKCNyOB7jp7SaWKXC7iRW391ZNeQpuObFwrG85sfCxbzex8LxvOa/w22/VUtz72zXdRwRwu6YcKNimezc1dRNwY9PoBPAPtUF3TTBFv/YCrbsuCkse36X47ij5fwByXdiG+w0AAA==</t>
  </si>
  <si>
    <t>645AB4089D98E85AF56A891627AB8A15</t>
  </si>
  <si>
    <t>JChemExcelE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w/++7P395Ufpuz0Q4969e58+eLi7t3uwd7Bzb//TtPvR/XRv/OmnD+7dP9jbv/fp/U93Pn34oPvRg93+a2j0cOfhw4cHn97beXh/d+fh/uk2YUwk7Te+n+6Pd3Z2d+49IHj7B/u7O58See/d23+w++n+wYN71HB/L/2Uej2495A6fLi7v7P74CA9oLf2dh7sP6AuPj3YI+I8pLfuP7h/7+D+3oOHn+7to839T/1PHqY0rbs7YSP66NNPH+7f23v4YJ8+2DvYT3f3CPi93d09Ar1/f+/eXqTRR+k1UfHe+GD/of/Q0O9h6N4nu+P7+zves0t4HRzQGPZ3Hz6gP/fu7zF5tnfGDz4NXn2QboPcO5/eo/HtEsLUMTclkPeClvto2ek4BhFvPjy4d2/nYH/v0wcHu/d2PiWA9/stD/Z4JAf7B/f2aJ7vf7p7b6AlcQD1TRPozeo9muv7n/qfHBA2Xawf9IFRq3vjnQdBq32SmrtWbI4eT6rlzPuV5ehVft7sqSh9lFb1LK+JxfEimkQaQuBsw70NDSGWt4II4b0VRIj4rSBCEdwK4p7fcBNE6vrgVg1pMA9v1ZB11K1aiiq7XVPWeLdryorxdk1Zf96+qZvNG5vebj5Fad9qRrlpdKr4h7L/XWNh6Nee9bnrTFPy+C4ZvaPk/wH2BEXUEAcAAA==</t>
  </si>
  <si>
    <t>6D22CAE862085138632BB1CB42E97BC5</t>
  </si>
  <si>
    <t>JChemExcelV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9T894L+/yX//4X9zPz3mj79Ulv0vv0ofbf32Uf74/1Pdz998PDBzqcH9z7d3z8got379NODTw8ePryPX+4/SD8dHzw82L+392B3f+/evYcPH6QPxvSN98mn99OH490H+w8OdnZ2HxKcHXrt4fjevfsP7t87uL/34OGne/v36LWHewcHD+8d7B/s7H366b2HALRz8GCHwO8TFnsHD1Oa0U8/fUiwHz7Yp5fo1d5HB+nu3nhn597u7t7Ow0/37+/dI3rv3qPuaCC7e7sHewc79+6nu/vjTx/s7D/Yube/s7tzcO/g03T3U3pvf3f/IQ0aaO6luw/otQf0xv2Dew9o/PfpvQN6b/f+zoMHO/fvP9zbf3gv+lHnxRjwPeLOnfu7RMy9B/t7O0SHdPfheO9e+BG1evDA/+jTdI/Y9t7Bwaf3H+5Tbwf3P92PftQHv7dHiO7d3ydUd3cefPpp5IN9eunTvb393Yd7D3f2PyUWi33Ue63bfRSh8K37D+/TBO8ANaLTvYOHD/Y+JUa+JrbbJp6iydl9uPPp7u7DTzGB2wckrdQ/TefefSItYbFNDHOfaLlLLLa7s3t//0FKL35KE3x/b+/Bg70HRMldfASWuvfp3sHu7r09mmYChaYPx8Qe9x7s79/bAWvcoz7ASjt7D/Z26dX9T4ld9tFsT74B97pn14HZY+yC3z996D/8xT3/kwOFSD92x/f3O603fbU3PjgIGRnN93ZpWkhUDnYfgF7c7t5u9917Y4wejL/X/Sr22afj3WAcB/zZw95AMHb/MyIE+DhA/dOBdhF4YHjq/j4NimaWZnLv/s494gRSu3et3j16PKmWM+9XVsSv8vNmT3XxR2lVz/KaDAZeRJNIQyjQWzWEXrcN9zY0hPa/FUTYiFs1hCW5VcN7t20Iw3SrwVDXD28FkY3crUCi5e6tYIrFvF1TNqy3a8r293ZN2UzfalRizW8HlY3+7aCyb3A7qOxC3A7qftB0I1Q4HW5eN0oS+y63QoCbuom9sentJlYcpts1Zb/qdgig6e0mVry02zVlZ+52Tdnnu11Tdg1v1VQ8yNs1ZUfzVk0xrFs2ZQRuN7H74uD2W/IPNQF3jZtOv/Zc+LvOv08e36XI4Sj5fwDXaxJRVQwAAA==</t>
  </si>
  <si>
    <t>73DAA962E71481631B8BD037C3710B25</t>
  </si>
  <si>
    <t>JChemExcelJ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Jr/vrS/xf77kv/P/36Uvtv77KOD8f7Bpw8f7Ozv7u4c7N/7dD99ON7Z3dl9eP/hw4N79+7vPDxIQcWdvYd7n+7ev//pg/179/ZTItz93YODg92H9M2n+/d2Pk1398Y7+3u7Ow/2Dx7c372/Q43uje/fP9j59N7ePfr8/g6NmN7b2X9478GDe/d2dh/Ql7vU332CuLd7/4Aa3z+4lx6M7+/vfPpwd3/vYG//0/sPd9MH4529/Qf37n96cO/T+59+SpT5dEzg7u/u7Dz8dH/n/sHBA2qz/3B/b39n7/69B/v3d/ceUJuHD2gk+59++il9de/hPk34/v371PzhHuG9v09U3R/vf0rYHTz4dP/+pzSiffrkISFyf/8e/bVLnd//NL03fkAkundAcPce7O3QWPeoMyLNgwcHD3f36M0D+uTh3r3d/d2Hn+7e2/2UmhNBCEcawoPdvR3CmWh5nz66twOoOw/3dx7cp/8epDvjvQcPdg92iITo7f7evfvp9u54d//e7r39+/eIEvcOdh7epw4+ffjpfRogUZJwIUwJrYf0+y6oTyTYIyZ6MH74KQ1//2DvHk3ep9TnR+k1zfL2zvgh0YA6frDzYPcBOqeO9x8ePATOOzsPaOLpdWr26YODe0Sbg50HD3fpBz6i1jR/Bw93Dj7d//Thzl6KOdzd+ZQm6yExxT3MGQ1sd2/3HsEm6tGQH9wjhOklHxYo8nDfg0Wv0yCIgMRADw52H+wRYzzEiwf37xFxdh8yWfZ2AJ5mmWbnAXHp7i5N6z3Qbe/BwadEYJriB/RjF2Tb29uh7j/9dAcgP/0UH+0TVR9+ukfz/mBnd48mgYZEo94jRr5PjI+ZfkAdELV3dz+lQewc3KcfmFHC+x4hTnJAjL6L2SMu3TnY2/sUrHBv5/49wCL236OZ2ju4v3vv0517TMWD+zTQnf0dGiHxJzXbGxP77O4+oLc/JeI8vIcB7NCI6dsDIv3uAxKah3j1/t7e3sP7+zSPRGPSDzQC+o4If2+fOPYe9cKjerCzgzcJEk3nAXfw8MEBcSVE74BYknTSXauUjh5PquXM+5W11Kv8vCHmgJYinVbVs7wm9fqRtBD9dvTdx3e9v+SPOIh7AYihhlCHt2oIpXmrhlCttuHe5oYPbgURavpWEPf8hpsgQuvfqiHbhlu1ZPMRNvUm6tu3mzaxQbfqb+/WLcWofSBDiVW8XX9sPG/XlG3s7Zru3r4pW+0PHTCb/dv1x97B7Zrev31T9jc+cBTisNxOeND0dhwl7s+tmvIoQr7x8L6tWMDFCjnq/UkBDt4LGehGIPxD1fRd43jSrz2n9K7zWJPHd8kXPkr+H7LKT3gnCwAA</t>
  </si>
  <si>
    <t>9D6FD727F4FF12B661D3161B0EC33748</t>
  </si>
  <si>
    <t>JChemExcelI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J+mX9J/8PNnwn/sWv335Ufpuj+h7f7z/YGdn99P9+7sHB/sH6e698cP7+zuf7jzYebD3cP+AOqaP9u/tHNy7v7u3s7O/v/Pw03R3b/zw091793bu7z98eP/+/YOHKVF3f//+vQf7Bzv37316/1MaGU3I/v29T/f3P6UP9z6994A/evjg/sGDnb179/cePCCyHIwf3vv004ODhzv39u99ur/zIH04pp8PCPiD+5/uHRAwarPzcGfn4d7uLmG0u/PwYfrp+ODB/t6DTwmnh/ce7FL/D8b3CPLO3i6N5uDBwz1qsr+zT1083N+jgX16sJvujw/o2f109+HBHuGADwjT+w93Pt2ltx48fHBAXHLv/sG9vZ0Hnx7c23+wR4Ogl+7d33lI5KGOaSD30nvje7sPd+89JHTv7xAGu+ne+B4NkxB88HD30wd7D+6lO2NqTuS4f2///oMH93bu7abbO+Pdgz3C+VP8s0ujvnc/3d4df0rY3Nu79+kDIvDDnYM9evcewdo/oN72D2gon95Ld8cH9z99SMMhOjw4ePApYbo3Ptinr2hkn+7vHuzsfLoHxB7sHXyKfomiD+49pE8Iyg4+2nlIhHgAcu98+nDvPiGPPvZoOAdjosb9TwnNhw+Jkh+l18QXO+O9T2k0NDqaynt7Dx/u3McAdgi/B0Sde4Q88cj9PQxg//6nNKb79/d36X+7NIG7410g+/BglyZk99O9h/dBj4cP6AMa+v0HxBM0hXtjmmBQZvdg/95DYqp74/tEhof37j98uHePJuTgU4x7Z3+PaEh8sHvv051dps7e/sNdIuru3v19ar4PxO7fe0ivUJf3aIJ3H3xKzfZ37h/Qnw8OHu7u3yNaMRGJZ/apgwfEuPTivTF1f/8hIb9z/wEBv0dIPcCwaJJ2Pt2/94D+T69RT7vEZIQ/fbN7H7O7S4TfJawOHh4Qa9//dB+EuLd7jwZHvHGwc29nj6DRZ/cP9gGISEGMSoMBssTk9/aIZ2mENIAdZg2a0ntEswNiQxrHwQEG8PCABrUP1iSBoFHRZ0S/AxKKvZ1d4s6DewRvd0zz6oGjIdAfPiyQcYfAfHpAcvqQ5PA+uIf4a59Yn8R89wHJ+wMiBkkS0en+/d37Owf790Gevf2dnXuYnnvUiJjuHlhzbw+ySAz34ME+KcO7VhsePZ5Uy5n3K6vHV/l5s6ca8qO0qmd5TXoHL6JJpCH0qG24t7nh/q0gQiffqiE0960aQr/fCseDLkS0EHNy9F15S//aBOLhrZBiW3OrlmyOwqbvj5fYtFv1d3DrlmIkb9eUbentmrLJvV1Ttsy3a7p7+6Zs64cI/u1bEpydhdv1xz7F7Zqy63ErZhYP5VZQxZG5HVQ0vd2Ui1t0u6bsPd2qKaa809SbjttKw8Nb9ydO3Yf2h/ENctRtgcDVDDnq/YGoW/o+rM0/1FDcNT43/drzx+86Zz15fJfCgKPk/wHmgUDOIgwAAA==</t>
  </si>
  <si>
    <t>E1434AB238FF910F43D68FF6F7D88693</t>
  </si>
  <si>
    <t>JChemExcelW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U/31J/3+Rmt9f8L9n/O+XH6Xv9j77aG98/8HD+5/e33t4b/fT+/v3CdYeEeDepw8e7u7tHuwd7NzbS3fG9z/1P9l9SB/tHDx48HDv4f2d/Yc7n+7eI8SILPeCFz/tfXTvXrp9MN65d7Cz+/BT+uRgd39n/3Sbet3eHe/u339wf+fT+w8PHux9enBwnz6/34Owv9/76P59wvnTTx/cu3+wt3/v0/uf7nz6sPfJwUG6P97ZoaE9oA/2D/Z3d/bRaQjqU/psZ3xvf/f+7s4uAdjZu/fg008/peHuHewffLq/R3S4t089HtxP7xG4g4NPAYn62d//KL0mgm7fG+/R2wcPaXD37+3s7xyk2/tj6uJg99N7e/c+3dt/SEPofXTvftp78wFRZW98b+eh9xw8AIIPPvU/e7iLdg8/3aN37t27v3dv597DAybq7vj+vaDlQdoF+PBTGsjBfuej3otMK5q3h/ce7Dy4v//pwc79nV2ZOELnwY737GI67u36H+3Q6O6PH+7dJ4LSYAlVGnW6/YCov3cf43/4gJjq0wf9VvskJXetmBw9nlTLmfcry82r/LzZU9H5KK3qWV6TwONFNIk0hIDdqiHE8FYNIay3arh724aQ/aAhWoj6OPquvKV/DYKA7rhVX9AwtuHehobQQ7eCyNrqViDRcvdWMEX13arpp7duKbr0VpgeQOPeCih0czjL7z95othv1R2GEE6018G3o93xD5Wju8ZW0a89O3bXGbnk8V0yn0fJ/wMKfEbmWgcAAA==</t>
  </si>
  <si>
    <t>F01F01C7CAAC35CF127B1AFDA5ECAE25</t>
  </si>
  <si>
    <t>JChemExcelt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3qSvkhfpl/Sf/gNf5+U+uOj9N0ehn3v3r1PHzzc3ds92DvYubf/aXpvvL/7cP/g04e79w/27+8f7D443d79NN3ufr4nn3ch3E93xvf27z04+HRvZ+/h7s6DT/f3073xp58+uHf/YG//3qf3P915EPvg3t69+w/2dvZ3Huzfv7dz/x4hcrC/s/vg/kOCerC/u/PpXro/Pri3s/PpwcHDh/d2du89+DT9lDojUHsH9w4eovWDdLuHUeyzdLuLws79j9JrIsn2zvjBpw/9Zzfdvj9+uLdHoyYYNCzCQMd+/17QEiO9txN8xAQ9ePhg52B/f29/597eXuS9A/ro4d69ew/uPfz000/3dj+9v88d9F4FVfboebizt3/w4OGnu/f3iSg0cIJBM0M/7h3s0ie79/bvH+zsPyTq7RFCcbQO9jsf7Y8/3SM2vGv58OjxpFrOvF+ZMV/l582e8uZHaVXP8po4CS+iSaQhOPhWDcHnt2oIabAN9zY3/PRWECFZt2q4e9uG1PXBrRpCnG/VkIX+Vi1FN9yqKTTH7aZRFM3tmqo+6jflH8pRd40WpF97GvKuU5/J47ukmI+S/wf9enQ8tAUAAA==</t>
  </si>
  <si>
    <t>BC5A55B928FBD462958EEF0D4DB5E511</t>
  </si>
  <si>
    <t>JChemExcelX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5b8X+v/wP/70o/Td3mcf3R8/OLj38NMHDx7c2z14sHPvfvrpePf+Lv2yv7/z6c693b3d9MH4072HBzsPd6jFwc6n1Pn98c69h/f2Ht6nz/d3H/An1Pzewwe7Dx/s3X9wQFAO7u3t3tu9t/fp3oPdTz/dp0/oS2qz92Dn4e7O3v59emdv797+/sM9enV/lxql++N96vDBpw8f7lKDnYN76d744MHew72Dnfuf3r/36f37D+kTQoF+O9ihfnf2HzxId8b39wCDWu7f2314f/dhur0z3tu5f//Thwe7ewcHO/sPqdGnO/cfUL8EZZfg3NsjSLvU+/3dew926f3d3Qf36aOH9z8lrD7d26H/7e0QkQmnh/f3aVT379/boy4+BeL3dj59sL9PgKnLg93dj9JrouX2/pgA71InB/tEnoc0oO17hO09QmTvPo1s/+DgIN3eG3967x7RavfTe4TafRrA9u744cMHB4TU7v7uzg6R4B5GcH+H0Lq/d3Dv4N7uzj4hTMz44OEBEXHnPhH50/17NF2740937z+4t7+3t0uE/HT/4AF99PCAKLZ7cPDw3v7Og3v3DzD6B/cOdg/u048d+mp/lz56QK/sEG2JIvs7Ow/2uU9iggf7O9TlgwMiC1Py/r2Dhwf37u3t7dDk7dFk74wJFPEDTey9/fsPH+4xLff8NzFzOw86790b3zt4QGT5FLxFDLaHT+49PHhw/+HeA+IOoijoTYMgWuztP3xwn5iBhOWulZajx5NqOfN+ZfF5lZ83eypBH6VVPctrEnO8iCaRhpCz2zbcv1VDyOytGkKyb9UQ8m8b7m1oCC1xK4jQJbeCeN9vuAkiq6ZbtRQNdqveRdHdDirrw9tBZbV5O6isXW8HdSdouhEq6+vbNWW1fisEDoKWG4Gqneg35R8qU3eNtaJfe5bsrjNzyeO7ZECPkv8H1wi9MlwHAAA=</t>
  </si>
  <si>
    <t>F0180BF187DEA3193034EFDAA06DD15E</t>
  </si>
  <si>
    <t>JChemExcelc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xp978X9N9J+mX4aZm+po++TF98lL7b++yj7Z3xvd2H9x98en9v78G9g08PDg7S3fHe3s7+3r39Bw/2Pt29t0so7Y139+5/urtH7R483H2wl94b33+4s3fv4cHOzsHBp3v3H6T744f09+7BQwK0u7/3MP10TB/fpxb7+/cJ2t6nvU/6L8UAd/reffgpYfjp/kNC7v5DQLq3s3OPWn16sLN7QCgf7O1/+nB/j2DvHnx6/979nXv37j14IG1oXPd2du/f//ThzsP7RMZ7Ywzz0z36+8HO3u6nGOmD+wcH1Nfuw3uf7j/Yv38P9LhP/z3c2wVRPj0g2DtEor0d6hFjAbEO6KNPHz54SOO6v/vgwcN9gkkfPXjw6afUI30PdPfvU4cPDh4SPoTY7n0i+IP7hOfBLr158ODg04f3d3aIcjSW/f0DwNh9iH52mFD01gF1uX/vIVGFZv8a00dMukMjvv9w9/7+w08fEiHT7mcPd3ZTmuYdGvS9hw/293fv03zv7j/Ah/fvBQ3vY2D3Huw+2N852CfC7ew8JJy77Q4eHqTbe+OdB8FnD/AZ0ab3WdDu4c6n+Oz+/sGD3b0d4rd7hFC6vT/e2aVperiLEWPk6TZJ4P0HDw72dolSn+7v3ttHq4N74J/d/YdE0wcH9NGn40/39vZ3iIWoj4NPqcMHY6L5AbHz7kNqdnCf8H9Ig6IBE932aW6pF3x0//7up5/eo5f2ic/376XbB+N9QnVvh1hxjzgOL346Jka6/5AkZG93l9jrIRGXdMzup3vEow/v0WTTxG+TJgFaNFMH9w/27t0/4Fb393buYZYf7NwndnrAn+3vfHqPRkwsTCD2gMU94t9Pd3fReOfhvQekPu5a/XH0eFItZ96vrFBe5efNnuqUj9KqnuU1KT68iCaRhtA8t2oI/XSrhtBituHehobQdbeCCI14K4jQm7eCCO16K4j7fsNNEFlZ36rl3q1biva/XVM2ErdryrbkVqPnprebdbFMt4PKBux2UNnO3Q4qm8PbQWWreTuo+0HTjVAfwA7frumnMNe3aipW/Va4ctPbTSw3jU4s/1Ctctd4MPRrz7u561yf5PFdcqqOkv8HHlZQHXAJAAA=</t>
  </si>
  <si>
    <t>DF14C31A5743E58316B2ED01A7883DE4</t>
  </si>
  <si>
    <t>JChemExcelnh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P/wozcscg39zvcqJlqn894L+/yX/+0I/cZ93P8N/X3o/8X/zZqdlSf/7KH23RxN5ML7/YO/TB/u7Dz99eO/Bg52DNPbRw/HDnU/v3b93b/fgwaf3H9BY9nbHe/s7O/f29vd37qPZp/1Wn6LV7v29vXsP9x/u7O7c2/30Xrq3N/5099ODTz+9v3d/9+GDB+nezvjTB95r9wFo9174ycH400939j99sLtPnR9QrwB9/2D3/v7epzsP9h4SyHTvHvHSvV1CYY/+pDnZ2x/v7B7sPbz/6e4+hkLTTm3uPdx9uLe7e7B/7/6nDw/uA9DBpzv3gO/9/YOHBzRBhNLD+/cJy90Hnz68/3Cf5phg7T18sLu7s/9g7+Dgwb2HhPj98cHeARNq98H9/fs063ufjh/cu3fw6b39g529g/2H9/HJ7s4Dgruz//Dh/sEeQ6IhPdzD8HYO6H9A6tMHOw/u0Qj37t/f+ZTgPCDMaQ4OCNj+gwMeDE3L/v7e/t7O/Qf39u8/eEAfPRzv7xN2u/Q3EYo4mBod7N3boYHt3r9PVL8PSHsPd/cf3qPZ/PTBHnEsYQQMd+49pN4Jd4ChMe3tf7q3s79DJPl0Dx/tEuke7FI3NCAi3D2S4p0HO58Seff2aG7203s0AfveJ8Tw9/bGO3t7D4lE92gwOw8/xWsPHoSNCPb9e7u7TJOHNFN7DOkeYU0Uo7ndObh/P713b8zTerC/c+9ToizxEn308OEuzTjNwi7h8jC9d3+8f3/nwe4BAb9PA77/KX9E1KDh05iJd/b5tU+JqLv7Ow/x7wMeyh4h9HDvYPfTh4TXPj46wATdoxYP7+8+eMgf0Sc7NA0HuzQJ++BUmgICckDiQSTevf8Q1H1AXdNLhOfOpzvgwoPx/gGheY8aEZ/cw9RRq/v3dh7eo/+ICfYe7IFS92judojYew9odAcfpdckjtsPCNlPH6LpPjEj6ZJtotZO+Akp1L0HGxvdf0CtiK13Oy/uEbZ7OzTDROUHxDHyGWZ+l0ZBU0KcdI8+2x/vEl/v3SfS7j7AzEQ+e9CH92CXPsME0KzuHhwQIWkO+aO9BySQB0Q0akaTT599OiYy3yd23qNeScQAjga/t0+03ru3t3vA07lNgk/0vnefppgoTpTa53cPaFCECNHyYOceMCZ+fbCz94AY+B7pm4cP9vkzYkHiofsP6Cd1TO1IsEnCSCdQp/QuIUfS/ykYnz6hWXxwgLFCI5AU7dKbxB40ZZ/ymyRzu/eoB9Ioe/cP6KM90ncPiIsg/uj2Hn9GgEh57Bzsk8IjbOgzMC7xNtGYJHiHFAV9dp/00MMHEHLw4s6n/BHR59MHxGL3PiW67OOz/fE9YlmiJUHfIfWBbj8df7p/nwSeBJ+EYR8fEZWIlvQHqU0ixAF6fUiCT/qDBBFycH9nL/4ZJJQGST2DBqSm6CPQhHQDycPuHskCuog1uwcCH5A23dnBsPSjPZpNUqb03j3MIAF7cID3iAUJ5B5aEc8d7JDA7T6gUR7sfXqf3zzYI1l+SLy1BzHHq6RzD3b3oBQJ5fugW6xPohEplk+h1R9CxOmj+6RQH5C9Ic1MoB7IJzQaqM0DGjnYEu+R4dm9v0MUI4MkSPTQJ01M2pxYa4cUGfUsL1Jn96CW9u+DeckZuWu9kaPHk2o5835l9+RVft7sqYfyUVrVs7wm64sX0STSEG7FrRrCp7htw/u3agjP6VYN4V/ZhnubGx7cCiJ8tVs1ZI/uVn3fD1re0Pnu7q1aiiN5q+7F37wdVHZLbweVvdfbQWUn93ZQd4OmG6ECATf5G5uyd327puyE364p++q3aiou/e2asud/q6YY1i2bMgK34wEJOW41WxKZ3A4qBzC3g8pxzu2gcjh0O6j3gqYboQKB2/GAxGG3airh2u2aclR3u6Yc/N2uKceIt2u6j1Dydk13b98UUG8n3BLD3q4ph7q3a8oR8a3YRQLnW0GV+Pp2UB8ETW8i1v7teEAC+1shIPH/7aACATexG6FyNuF2UDnpcDuoe0HTjVCBwO14gCkQFW7+oV7TXZPvoV97uaC7LlGUPL5LKaij5P8BdjiA6Z4SAAA=</t>
  </si>
  <si>
    <t>F2FD2FB6E164B37F131A999C2C455DE6</t>
  </si>
  <si>
    <t>JChemExcel/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0O/fdl//eP0nd7n330YLy3c3/n3u7ezv7+/d39B7vpwXjn04d79x/u39vfebi/d7CbPhjfe/jg/s7e7s7O7sGDh7sP76efjvd39h882EWD/YNPD+6l++MDenY/3X14sHf/gODsj+99ev/+w51Pd+m9Bw8fHBB1790/uLe384Da7z/Yo2F9Oj54sL/34NP7u3sP7z0g4Oj94c7Ow71dAn2wu/Pw0/Qhwdl/cO/ezoP7n+4d3L+3T20e3vv004ODhzv39um7nfspzeq9+w92du492Cekd6mDlCbywYMH93YP7h/sP6Bx3SNAu58SmE8P7u/vPqAeDoDzvfs7D+/vck/7NIp743u7D3fv0eA/vb9DaO2me+N7e9THwz0a+KcP9h7cS3fG1Hz//j1C5T71QMRLt3fGuwd7NJBP8c8uoXfvfrq9O/6UiHFv796nD+7d3324c7BH7zJVD6i3/QOi5af30t3xwf1PHxI1aeAPDh58SoTaGx/s01dE2E/3dw92dj7d+yi9psnaH9MUffrg4b2H9/c/3X9IPHJvvLdPwz7Yv/fw3i4N8wGDI5Lu37v/8MHO/f179/aoEeF4/+Gne/d3iEi7e3v71MODT3fuA+GdT/fvPfh0n94jJtilSXjw8IC+2L2Pge4SDrv394jUBwc7e/ep2Q5N/P2Dg3sHDw6of+p4Zx+jv4/+d/Yf0hcHu5hHGugeYYgZ2CNkH/I4d/b3iGY0ibv3Pt3ZA2kfPqRx7+8cPCSC8Cf8Ac0z/Xi4twPc79Fg6P39fXr5gKl6b5cmmwhKpLm3s7d3D5/RLGMgB7sPiJMOBKn9nQf3aJqJ8J8ShB2eJiLvPSL2AXEk4XtwgAE9PCDk98GlxE27u0CepvGAsNjbIZHYO7i3A/oQSh44wpX+8GF9Sm12CAwxGI1nj1jggNTAXasHjh5PquXM+5UVw6v8vNlT3fBRWtWzvCaNhhfRJNLwXrchWojuOfquvKV/bQKxf6u+oKdu1fDTbsP3Rwra8FZ9QWfequG92zaECv5A7FmF36oz0fS3anrv1i3FdAyN4du3G4PYHgvk3k39hTz0/jSDWRvkmtvizDbydjRiU3q7pmxxbdO9TU3ZMN8OKtvv20FF09tNvXgDt2uqTsMtmn5665Z74NKQrDdOI/9QTXjXuFP0a8/Vuuv8sOTxXfLwjpL/B0KHhav9CQAA</t>
  </si>
  <si>
    <t>165240CF6DB236072D9DA6A9CAADE5F3</t>
  </si>
  <si>
    <t>JChemExcelo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Kf77kv99kfp/uU/M58/4O/q2/Ch9t/fZR9v74/1P9z59eP/+3r2dew8ffrqXbt8b7+493Nn9dH9nd2939yH12f9oP93eHT94eP/evQd7Dx7eO7h38JDGs71D0HY/vX+we//B/fv3D+5/urMf+fB+/+W928G7f5DujA8e7O3s7Tz8dH/vwd4uvZPujfd27j/Y2dk5+HR3Z2ePCHqLRvv3eh/t9V98sNf76P7D7os7/U/6eNK0dofzKXXY+2yH6N1599ODg/Te+P69h/cePNzbof8f7O0f7PWps//wXp+MO70RHBB2D8aEkAfu4Ufp9R5kjPraefDpQ+IG/LtL7z7cDT5hlD/d2zUf4N9P0e29h93PIu264O6l3S6pz3vjvb2gzwf00cOHwUcHt2oVAd/HQWYmRPXB/fiQ9sYP73U/uzd+sBO8m27fH+/tB83S7U/HO7v+R/f7rfb6sO5Rswfj+/c7wLqoHeyTUrt/Lxho+un43k44mf1PSE+SErtrtdjR40m1nHm/slp7lZ83xB1Qa6QEq3qW18QrH0kLUYhH33581/tL/oiDuBeAGGoI/XmrhtCyt2oIXWwb7m1oCI19K4h7t20IA3CrhjATt8KRjcmtQIrNuRVQbrp3K6if3rql2Lrb9c8m8XZQ2XLeCur9oOVGoGyKb9eULfbtmrJhv11Ttv+3a8puwq2aijdxq6YY1m2bAoFbsgDcl9uJPYDejgPEJ7oVB3DT6LzyD1V3d43HR7/2vMG7zlVMHt8lJ/Qo+X8ARzddjKAKAAA=</t>
  </si>
  <si>
    <t>FC0BA9CE814D613923AB10231F042DAA</t>
  </si>
  <si>
    <t>JChemExcelj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e9F+iX9+yX9NJ/If8/w30fpu73PPtobf/rpg3v3D/b27316/9OdTw/S/if3xg937+3t7+/v7j98eG//4NN9+mj/XtDoXro7Pnjof/Rgnz7a39vdf7C382Dv3i69dnCfCHfvwYODB7v793d2Dg529u6ln47v79HX+/sH1Mm9vV1q8unDg5379/fv33u4/+Deg930wXj3071PCfLBw5393Yc7B/TJ/sHewaef7j/ce7izu3f/0/RgTI33H967v/fg4cP7Dx4SQjSDD3cfEjb3H+7d23l4kD4cP3iw++D+3v379wnsp/fopXs7D+j1+3s7ew8e7Dy8n9K03r9P+N+7/3D/Hn1BNN69N97Z26VuP917uL+3s3OfQO+Nd0CRhw+oKX18j1/cOaBRP9jf23tII3t48FF6TQTeprcJI+9Jt/fHn+52PrpPVLi/e/Bw7+Dg/r2dfRri9qfjhwcPDwjNvXuf7u0/3N/vf3Q/+uL98Q4RYufe7u6D3YdABi8SEg8+3d+7T4jR6FJC6/7+3sP79w929zCwvQf4iPDf+fThp/s0YffvAxRR41P6Y+/ePSLifRowPto52D+49+kuoNEM0kd7JA339x4+2MO8AQbD/3SPmux/Sngc7Dy4t4th7zx8QEgSjQhj4mKC9SnN8e7u7t6nD2j27+/hIxrefRoc5uj+wb17B4C1SyO7RwMHqAcHB5+m2zvj3Qf7Dw72aYrp0we79+99SsJ110rX0eNJtZx5v7K4vcrPmz2VuI/Sqp7lNakFvIgmkYaQS9twb0NDSO+tIELGbwURmuBWEPdu25BwfHCrhlA/t8KRGj68FURWZbdqKRrvVr2LYrwdVNaft4PKavZ2UFkb3w7qTtB0I1QgcLsZFTNw+6ZuVm9sGp1X/qFCddeYN/q1Z/ruOruYPL5LFvco+X8AEpaC2I0HAAA=</t>
  </si>
  <si>
    <t>5BF7AEA243B05239746D8854BCD31FDD</t>
  </si>
  <si>
    <t>JChemExcelQ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xX8v+N8vU/lLPnnh/eX++5JbfSn/fZS+2/vso22iyN7Op/cf7N2/v7+792Dn03R7f3zvvv/RQbq9Nz7Y37+38/Dh/Z29g71P9z+9h88+Pbh3796nu7ufHtzf2f9UXt15uLP78NPdvd1P93Z2Pn1wP90mgu8//PT+p/zy3v7e/sN0myZp9/7DBw8OHtzbfbh/7+Dh7v6DeMuBXnYfEIC9ewefPjigV1IaBnAmUJ/uAPd7e+n2p/Tm/r0H9/YP9u7d27//KXVwQC8e7Nzf+3Rnn/D7dGdvABNCZPcB9bC3f/Ap9b2/f5ASHvd37x3s3HtASBAuO/fTe+OHhNL9h/sP9/YOHj6gKSUsdgnQwae7+7sE4P5eSkjc39un3+9Ru/sPDj5NH9Bbn+48pNE8oE8P9vof9N/pwCV0bofhzvjTh7v39j492D3Ye0i/UisiMtH34FP66+HO/oP9+wcPQIS9e0TNhwcH9x7e33u4R5xKhN+hGby/Q4N7uEPQQJa98e6nAapEvY/S6z2IKCFHLLOzs0+9H+wTcXYJ1P3d3T3qYf+AGIF46AHNzYPdvT0iOY1wH6PYp3m7t79zj3AjgPcI4oNdakL03DugOacX6KP7D/xWu733wBQ744effgr2AXq7n+4+fIixPrgXfHb/m2/3Nd/dI63Qbbe3y0IQtos0u9fvFs3ujfce+B/ts6TsB60+7Tfb6xL4wcO9LoUfHIDlHhJzfUofPXi4+4BYaA8SsEMzeUCa4mDngGaLPtknTtvf2yF98WDnwf7+fWJeYlqa+vvEOTTFe5jQnXT7ASmeAFvSsXetkj16PKmWM+9X1rqv8vNmTxXvR2lVz/KaWA8vokmkIdTzrRpCid+qIVT9rRru3rYhQfz0Vg1hX2zDvc0ND24FEbbqVg3Zot2qpRi+2zVl+3i7pmxGb9UUhvV2Uyk2+XZN2XTfrilb+Ns1ZUfgdk3ZX7jV7ItbcSuo4n3cCqo4KbeDyr7MraBiWF7Tm6Zg73YTK07UrRDgprebWHhnt5tXcdxu1z+aRmWQf6gCvGs8Uvq1563eda5s8vguOclHyf8DSYBY3UALAAA=</t>
  </si>
  <si>
    <t>157E29583619C417A8F38CD792C97706</t>
  </si>
  <si>
    <t>JChemExcelj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X//0WK37v/9T4t8c9H6bu9zz7aH+/f2zvYfbi3T//b33n4KdHiwaef7j88uPdgd+fB3u69vd4n99IHRM+d3QcP6KWH+CU9IDD3Du5/+unu/oO9g72d+70me702/bcOem/tRz6htw4IoYf39x/uf/rwIf19cG/n3v3dBwcPHny69ymR7MH44EHY96fje/fCT+6P7z3Y2dm5t/vwYOfegwdEZBrm7t6nB/f3731Kjff3D9L98X0a9MH9+/dp6Hv3dz+9n94jTtnb27kHqu3sHtx/eC/dI/I8vL+3u/tw//7Ow917+w+o1cHDg/09Ihe992CHqJcSAxIGD+/de7hz8OmDe3sPHqbEc/v3dg7u3XvwcHeP/kdMQR/tHBzs3t+9f3/vIYE4OEgfjj+ljj99SD3uHDw4uJfu7o0f7uzt795/CEx2CVpvhh72Pjn4KL2m6X44JpQ/ffjp3u7+vYMHuzTdD6lD/xPMAVE2+OTT8YMH/icPO232dkDPvXthG2KtT/02u0QpIn/nk10Pn710hwYbQHmQbpPk7hMl9h/QR/fvHezTqPfT7V1gcPDgHjHOpzS8/YO9dJtmgho8JMLvEkt9SkTsf7b/af/dBweRXoird8Y0Bw8PaAr37hHbP7j/KX10n2b5PjiOBnD/YB9vPrwPjvn0YHfnHnVE1KdeibWIZp8+pFaY/t4nO9xn+Ob9hz34NNQuFjKC/d2dvfv3aIo/vbe3t8ts6BO3PwE0kZ+SvrprFdbR40m1nHm/sgZ7lZ83e6rEPkqrepbXpGnxIppEGkLV3aohFOKtGkJt2oZ7mxt+eiuIUMG3aghFfauGUOe3ashK/1ajEdtwK6BiQm4HlS3N7aCyQbpdU7Zbt2vK5u12uO4ETTdCZYN5u6ZsV2+HAJvf20FlK307qPeDphuhwt7fjgfEPbgVAuJF3A4qOxu3ggom9JpuhAoEbscuIOvtWMD4QrdoOtiSf6gKvGv8O/q15/vddY5h8vguuZxHyf8DXs6nu44KAAA=</t>
  </si>
  <si>
    <t>50807D516E8009572BDD476E8E9CA8AD</t>
  </si>
  <si>
    <t>JChemExcelI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Nf+98P4d+u+F/neSfpmelOnv9ZFQrTyZZ/UFQdtJ3/+/7V39hVB7t/fZR/vjvf3dh/f3H96/t7f76R6NYG/8cOdg78H9g3u79w4OaMidDw4O9tLd8f0H+/cffvpg5+H9T3d27/c/2QGgg72d/YO9g4Odg4cP7n/68B59dG/fb0XIjA92gvfu0Uf39g4e7O7cv3ewRwhRr/cI7fHuvfsPdz/df/gpfXewcx8f7d//dHdn5/7ODjXavb9PnxGuezsPCNl79w/27n968HA/3b5HQ9x5SA3u0bvUAT7bG+88/HQffx7s7z88uE/j3t4Zf3pv92B/d//BvXv379+jvvAZQf6UhvbpQyIRoXkP7+7vfvrp/b37u3v3dqg74hbqgyiz94AI+WB/596De5+m20TZnd39TwnU7t6n93YO7qPVzv0HO3s79/d2dvYeEFEeYBT3H+7de3hv/2D/4b179z4lgtNnew/29nYe7h/s7hC83XsPiCi7D2mmHty/v88A7jHN9+8d3KPu9mi4Dx7ug76f0gAOHh48/PRTmtFPdz6lj/Z2/EY7gPXpp95H9x4eYKCg5MO9+0BrZ4+oBzQ+Jaa4/+newwcHNKaHD3dT0JL+uv/w4cHOw5379x8+SA8wTp+DPkqv96ACHu7cu/fg/t6nDw5A33u7KebQ/2j/Ifrd3/n00z2i+d4uUZ6I+ilP9gP/w/0HoPqD3eCzA9Dz073dg11Q5NP9+wSckL4/3jn4dH+f2Oc+oQwyxD/rvrvHnLJLvEgzQ1Ox8+DB7r19IcLD+8Rw9P6DBzTtB4zfp/eII4iCBwTg3j5oem9/j759eG9vj+i/R7xC470HxsQASYD2P32AZkTePcw9Mcp9kg7hO7DnQ8LvHjHkLovcAU3VpzTxu3u7ewSVCA+e3H9wf3+PSE1vP0j3xwef7hIWB/sPPj3Y2dl5SMry4CFN2P2HB6DQp/fpA2LVvU/pb2IiYhoC83Dn4cO9vfuQGqI1AO/fI5b9FLxHGBI0AnzvHtrQZO7Sq/fv9xrdf0CDe0h9E/+T9NCckPh2P9rdIVJ9SrD27oGdHxBFSRHgo10i7X3q4x5NysOd3VgrMgqkwu9aHX70eFItZ96vrNRf5efNnur1j9KqnuU1cR5eRJNIQ2j/WzWEjbhVQ1iSWzWEvbEN9zY0hFW6FUTYrltBhIW7FcT7t23IBvNWLcWu3q4pm99bjUis9O2gsjG/HVS2+beDyq7B7aDuBk03QgUCt5t88UluhwC7LreDyh7OraCKI3QrqOIv3QoqhuU13QiVPbDbNWVH7VYIiD93O6js9t0OKnuHt4N679ZN4Wo6FtgIlL3SWzV9AN811pJ/qAa+azxu+rXnjd91rnry+C4FAUfJ/wNuNJaWIAwAAA==</t>
  </si>
  <si>
    <t>0D8DAC4157BCDA5D7391E762FBE77308</t>
  </si>
  <si>
    <t>JChemExcel0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mWK/7+gf/F/86/896X3+8lH6bu9zz7avj9+8PDezqcPH+zdu7f38P7evZQ+2tnzP/o03b433j/wP7qfbu+NH+z6H+0/6H9GH+2Odx90PtoZ73364OBgZ//e/oOHD3d3D2h41Ozhpw/2P/10Z4da7e8e7Pc+ehB59SG9uje+f29nf+/+g7293b17++ji3vjg0/3dnf2D/XsP7+/uHxz0P7nfe+8e5vnhgwcH9x5+ev/BAwwp8smn9Nbu/qf3dg4efLrz4P79h+kDAk0g9/Z2Hu7fow/204f01sHB3u69e7t7n977dO9h75MHvbd6gD/9KL3GBN0bP3ywQ/TYvf9wlxD+VOhMQO7v3N+59+De3v2dvQOej/CzB5i18NU9TMc9ar6HD/Yffvrw4c5B77ODh9zD/f2DB7t7OwefHtzb3995cIDPdh747WiOaELu3ws+w0c79z99eO/hg310fP/Bzs7OfkoTd+/B7oP9nYN9wnBnd+d+/92He/0+HuKjg/1Otz1o98BBDx4En+31enhIn3Ve3Tkgeeu12+uP9iHNfReVh7sRhPdI6u9asT96PKmWM+9X1gOv8vNmT1XBR2lVz/Ka9BVeRJNIQyiMWzWEWrEN9zY3vH8riFBRt2oIRXarrqHubgURSvFWEFl13grkp7duCZi7t2opGvtWiIpivx1U1v+3gnoQtNwIFP3fbt7F7tyqf27q5n4jVLZit4PKxu52UNkm3gqqmM5bQTUW9hZQMSyvqQeVf6j83zUuAv3acx/uOt8ieXyXvJaj5P8Bba+n7dEIAAA=</t>
  </si>
  <si>
    <t>B14C7D73FA0536248D4B708B38864F29</t>
  </si>
  <si>
    <t>JChemExcelz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Dv33pff/8FP676P03d5nH+2NHzy8/3D33sH+w7379x8cUA/3xvd26ZOH+/c+vb/z6f3d/Xvp/vjg3v2dh/d3D3Z3Hn66f7BPdLx3/+De3s6DTw/u7T/Yo0Hsj6n9/Yc7n+7u7uw8ePjgAG/Rs/vp7sODvfsHD3Yepp+O93f2HzzYfbi/d7B/8OnBbvpgfO/hg/s7e/TO7sGDh3vU5ODB/t4D6nfv4b0HuwefpgfjnYc7Ow/3duk19L+fPqSu9h/cu7fz4P6newf37+1Tm4f3Pv304ODhzj1Ce3/nPrXZ/ZRafHpwf3+X4O6lxBf3H95/8IAw+XSHRkr0fzCmD/Yx7Hs7+/TiwX20unf/wc7OvQf7+zsPdx98+iAlhrl/sEe0uH8fg7lPje6Nd3b2Hn56/95DjO8hTSm4ivCngd7bvf/g/sMHQPtToimRkQDReO+le2Oi8qf3aOCf7u8e7Ozcx0f39gjdh3sPHu5++mDvwf6n6c6YBrl//x4Ni7C9t3Pv03R7Z7x7sEdE+RT/7NJQ791Pt3fHn1J/9/buffrg3v3dhzsH9Cr3dUBTtH9A2NwnvtkdH9z/9CFRnYj4gIb+6T1M8IO9g0/RCdHswT1iqGtihW0aFVHs3v7ep3v393YIZfRx/2D/0/17RK4HmA+aDvrs3i7RiLqkQdzboVmhjndpWLv392gGDg6INA/Q8b3dvV2aQqLK/T2ayT0aLUiPcewA5qcP9lP0uXv/IfVIc7KzS0wOhIkB9u8REXfu02zeI/A0owcHROCDh8SOBzQboAmR/x6R6iF9cbC7ex/t7u3t06Q9oJ7v739K+AIajYRISXyye+/THXqThg9CP7y3v0/fHBCP00cHD/cO9gjRnZ2DvV0Sgv0xMxax9P6nxDJ7PFUPHxIZ93cOHhKBd3YJNn23Q8jv3j+gJjs06Xs06Xt7D+/zPBNPHwDPHRo0sT/N5qd7Dw52HkDE9vaJxw72MYIH+wcEaoeaE7MS7D2aXaLpNkb94N7eLjH1waf7nx48fHAPH35K3ErzSXAe0uAPMOtEAoKD/h6A+cFDxCgHJBt7O7sknTQz+9QFYe+D2yds6U8P2EP6hLhnn6T4wQ5NHA31Pum5u1bRHT2eVMuZ9ytrvlf5eUP8A81HerKqZ3lNKvsjaSE68+jbj+96f8kfcRD3AhBDDfe7Dd+/L6joW/UFRT7U13dv1xcMwa36grm4VUMYlVs13L9tQ7ZRHzhOMXK36k5s4a2aHty6pRjXDx0EW2cLZG9Tf2h6Oy5i1Ab56JY8K87C7fpjn+J2o0DT2zHJARyUD6QvnJnb8Yj4QbdrevuW7FjdijDif90OKrtpt4OKpiEnDDZlp+92TXffr2moZm6cRf6hmv+u8Y/p157vfNc51snju+SyHyX/D+Wl6CPOCwAA</t>
  </si>
  <si>
    <t>4D92509E591AA39AF5488C406D5D7F90</t>
  </si>
  <si>
    <t>JChemExcelV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f9eBH+dpF/Sfycfpe/2PvtomwZw796nDx7u7u0e7B3s3Pv0IO199uBBur03/vTTB/fuH+zt3/v0/qc7D/buRT6LvHuwh3YPPv304ODew/393YN7OzsP7p1uE/r0+b0H9Mn9h7sP7u0cPLj/4FP5fH+8s7NL3RLU/YP93Z2D6Efd3vf7H9170H/zYbp9n3Dcf7D76f7Bg3uE5/5+9KNPCRjhTHAe7u7v7D542P+IsDgg8HvUOY3g4acH9GYE14/Sa5B6h8jw0HsEY3qv89m98c4D/7NPmSSf7gaffco4HwTv9ps96EN7IKMN3vwUQ3u41/nowThA9yGh8XC8d6/zEUQkGMJ+tFkXWKTLCGL3Im/u9an26X0SqbtWpo4eT6rlzPuVhexVft7sqZx9lFb1LK9JGeBFNIk0hDTahnsbGkJmbwURkn0riJD/W0GElrgVxD2/4Q04HtyqIVTTrRqyArsVkqLnbgVU1OHtoLLWvB1UVq63gvowaLkRKGvr2zVlpX6r/rnp7aYUg4rOKf9QOblr7BT92rNhd52BSx7fJdN5lPw/QOtk21YHAAA=</t>
  </si>
  <si>
    <t>2A098EDBF554E4A246ABE99C88CC5E29</t>
  </si>
  <si>
    <t>JChemExcelt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NPuf1/Sfy/oP/6r1B8fpe/2Pvtoe3+8s7O7c+/BvU/v7x/s7+7sp/2P7qfbe+NPP31w7/7B3j59+unOpw8fpNtElHv3Pn3wcHdv92DvYOfevdhn9/rvHsQ+O4i/G+ljd3ywe7C/d+/g4N6nD/fozdPt3RiG6b3x3s7BvQe7gL77kMbxYKDlg/6Y7/c/+jTdvk/Y7D/Y/XT/4ME9wmh/r4/gwGf00YNPH9KH9x/u3P+U/vkUuHyUXmMO7o0P9h96zwPgeG/H/+iAaXv/XtDs0347ataF9imP5dPd4DN69dPx7v3Oq5+OH+51PjoY73/a+ejheC/A4yD6URf8QUq40vD3dj7d33lwsP/g3v4+z8fO+MGDHe/ZfYiWu/5He/doMncOglb7vRf39m7z4h5J8uO7Vg6PHk+q5cz7lQXzVX7e7KlsfpRW9SyvP/toDy+iSaQhJNg23N3QEHJ+K4jQBreCCJ1xK4i7fsNNEKGCbtUQiupWDaHObtWQld6tRoOWu7eCCSXpZhEt0UQU89G35TX9a9O07d5ugkVP364pq/PbNWWtf7umQOB28yc25HZN1dT0m/IPFaC7xgrSrz0LedeZz+TxXTLMR8n/A/YL7b+0BwAA</t>
  </si>
  <si>
    <t>09ADAA206A8D48C95FF0B8C9F374226A</t>
  </si>
  <si>
    <t>JChemExcelM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Lv/fUn/yb8v0i8/St/tffbR9s74/s69vU/3dx/c//Te/r2H9x6mO+O9Tz99cO/+wd7+vU/vf7rz6afpNhHq008f7t/be/hg/9O9/b2Dh5HP9vuv7j7offbgfv/VBwfp9t54f2fn0729/d2Hew939j+9F/ko8upBujv+dGdnf3f/4f6nuw/vfRr7aPdh7KO98cN7+zsP93c+PdjZ2/30wYNPqdXOvc7YH9DM+q0OPkqviXL3xvf3d3d29/bv39/9dJdeuk/w9nYe3HPP3gOCt3+v8xGRfHeHSGKfBxjWzvjggf/h/U95+Lvdz+6Ndw/8zyLNHvShPdhNt/fHD/Y6b3aBUQdEkwc+wvfS/fH93WAIsXGiQyLY/t7u7v2d+zQ39MkO8fZdy9xHjyfVcub9ytz+Kj9v9pThP0qrepbXJJV4EU0iDSEWt2oI4blVQ4iYbbi3oSEE8VYQIa63ggihvhVEiP6tIO77DTdBfABNcquWn0Lf3KolNNLtZlGU161GxE1vN5No6abSa8k/lPXuGh1Mv/b0812nvJPHd8ksHCX/D3epuQAyBgAA</t>
  </si>
  <si>
    <t>382408554431404F17EF9D176A5C1FE1</t>
  </si>
  <si>
    <t>JChemExceli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eb/vgx+fsn///Kj9N3eZx/tjR88vP9w997B/sO9+/cfHNz7NL03vrdLnzzcv/fp/Z1P7xN2++ODe/d3Ht7fPdjdefjp/sF9IuC9+wf39nYefHpwb//BHmH+6fjgwf7eA2q/9/Deg92DT9OD8c7DnZ2He7u7D/fx4n76cHzv0/0H9+7tPLj/6d7B/Xt71ObhvU8/PTh4uHOPutvfeZA+GN97+OD+zt7uzs7uwYOHewR4f2f/wQMCsnewf/DpwS7QoWf3092HB3v3Dx7gA0L1/sOdT3fprQcPHzxI98Y0oE/vUftP93cPdnY+pU/u7VEHD/cePNz99MHeg/vpzpiw2r9/7/69/fsPHtzb2d9Nt3fGuwd7NIpP8c8u4baXbu+OP6WO7u3d+/TBvfu7D3cO6M17BGn/gGixf0BI3qdZ3B0f3P/0IWFKg35wQBDugZAP9g4+RR80xgf3HtAn9M4OPtp5SAN6sLMPKn1KpCdqAyRRJSXWvXf/wc7OvQf7aEajoU/u3yes6fedTwlVarM7vn+wR/Nz/z4Icf/+Xrp7b7yzs/fw0/v3HoI4D2neHo53PyVqf3pwf3+XSLm391F6TXO+TS3p43v7e5/u3d/boU4xyPsH+5/u33twsPsAE3iwj8/u7RImNGYi4T1MB418l4i6e3+PpuwAH94HHfd37h8c3Dt4cPBwd/8eTQ3oSGjcI/I+pM8Pdnfv3wPR9vYxnHu7e/f3acyfgmbUO5Gfhr1779MdYnSQkdho/979hw927hM+eymw3b3/kHDdIbLs7vH0Pvh05z7maQc4ExOmQHZvlzjvwcMD+oboMaYZxdgPHlJfBO9ToEUsdm9vl/jt4NP9Tw8e3ucPPyW+p6k7IN4ByhjRwwNCfx/sBLbco4+IIw6Ia/d2donhD3YwUWOaQh/aHiFGfwaw9sbEJ/vEnA92CDfMMQ2ICfyQ5vT+zsE+EZ4+2tunGT/YB9UeEIXBrw+ZQ3YI/0/xO97be7C7+2CHZn73wT3CkFDY/5To9JBYgAa6x3y+Q8z78D6zP+HPbEgE/fThvf19IvYByTRprbtWbR09nlTLmfcr67FX+XlDrAI9Rlqvqmd5TQr4I2khGvDo24/ven/JH3EQ9wIQQw33uw3fvy8o3Fv1BbU81Nd3b9cX1Pqt+oLyv1VDmIhbNbx/24ZscW7VUgzT7Zqy/bpV0/1btxSD+IFTIhb1Vv3t3bqlmGjbdG9TU7bkt4PKBv92UNH0dhwk7sPtoN4Lmm6ECgckZKOvMTfwZgZ1yS2BwDMK+en9YRzAo/pAGOKS3YrO3PR2SkkcvFs1xSBC7eOhHVeW/EP1/F3j29KvPb/3rnOKk8d3yd0+Sv4fa4LuU4oLAAA=</t>
  </si>
  <si>
    <t>0B9DBA769324D56E4ABC86B9D3CFDF71</t>
  </si>
  <si>
    <t>JChemExcelEx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CjNC9zDPzN9SonOqb470UqP7/Un+6/L/X/t2/1Jf+nPz9K3+199tH2wXh/797evU/v3z94uHvv4c79dPvBeOfg4f37D/bvPdg5uH/w6cPoR/fHD+idBwf3du/v3acf++n2PsHa2334cPfhvf29hw8eHqTb9+jFg/t7OzsPdj/d2X3wKVFle5fe3D/Y33m4//DBg3sP9h5Qux16dXf3092DvQcP9+9/+pAotjN+uLt3f/fB3sN7Bwd79/ZpYvbGe/uf7j78dH/3/oPdnXsP7h+k98b3qSNChf66d7C/S1MZ+SjyYgT8Pn107/79/U/vP7z36af7NDuf0nsP9u7de3Cwu/twf//gXvpgfP9gh958uHNvZw/vpwf01v79h3s7e/sH93fu3+8PmqZ6lz57GLTaBbVouLu7+59++gBEjX5EZCbE7+/sfUqvffrpXrpLc/Hw/qeENqFwj3A9SHcxiQ/v0czs7u1+ukezs/uQXtsjInx6797DhzsPiGn3SFYffkoPpm2Xvkn39sb793bu7dMsEo6fPnj4IN27R+/tE44PHz7cf4Dx7t2n1x482Nkn0DTigwexT/pvRUB/Sh/t3ju4t4cfOw939tK9B/QejYrYb/8h8R8xx95DAn7wYH93/4Ao8Cm9d49Yg97Z2/l05+DT3fs7O/uR8e6MaWAH94guNDf7RPOHYKnOZ8She+OdnZ37uwefEpUJ5P17mCyi4u7DBwc7+/cf7NDERVp9GoUWadYF9vBerFUf1kfp9R606R7x5wHR8N6nB9T24R41JTb0P2L5IVba2925v/fpPW5PzBS+udt9jxr32nxzjWJtYljSZwefBp/dqtnDnX47EtRbt9uDpgrG9CNC/5AIvU1Cf+C32oMt2bsfvHirVnswL6SCvY8IsYPxgwCJ24Hf7b/Yhw7P4q51LY4eT6rlzPuVfY1X+Xmzp+7GR2lVz/L6s4/4RTSJNISPcNuG+7dqCAfnVg3hBt2qIZylWzWES3WrhnC8btWQ3TPbcm9DS/HibgVUnL3bQWWf8HZQ2XW8FdSHQcuNQNH/7aZTXNbbNWXP9nZN2QG+VVMAvd2s7rEnfbum7HDfvunt5krc99s1ZS//dk05GLhdU44ZbteUQ4vbNeUI5FYsKIHKraBKPHMrqBL23A4qR0e3gopheU03QgUCt5vYe/sIy27XlKO32zXlIO9WTcEu9243sRIu3qqpRJW3a8rB562mgJvebgoYgVtOAYZ1uymQwPh2uKLp7aaAEYhOAf9Q637XJBno114C4q7LTiSP71Le4yj5fwCbT1LPExEAAA==</t>
  </si>
  <si>
    <t>E42D315B7B736CCE1C2298C21859843A</t>
  </si>
  <si>
    <t>JChemExcelYA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j9K8zAH2zfUqJyzTF+lJKv++/ih9t8eDuf/wYHd/58HBg0/3Dnb27qfdj+6le+N7O/cf7NCXO7v0794etTnY89vs30t3xnsHwUfp9s549+DTnQd7Ow/37j/Y/3T3/sNP0+3d8af3dz59+HB378Gnnz7cvb9HWF4TJvfGn+7tAPr+/sGne7v7u59SvzsHwUfU7+6D/YPdvYf3P713b/fBvXv30UvY8b39T/sf7t/vvYtRhKjs0Fw8vmtJe/R4Ui1n3q9M61f5ebOn5P4orepZXhMZ8SKaRBpiUm7VEFNnG+5taIgJvhVEsMGtGu7dtqFwVR9H/qGkums4ln7tcfNdx+rJ47skREfJ/wP0ujSkYAMAAA==</t>
  </si>
  <si>
    <t>E1BAFC02F07F7C1E03833B89CFFF76B4</t>
  </si>
  <si>
    <t>JChemExcelO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epC9S9++X9PPL9MuPZAjlyTyrL6jZTtr9b5f+v737Ufpujwly/+HB7v7Og4MHn+4d7OzdT7sf3Uv3xvd27j/YoS93dunfvT1qc7Dnt9m/l+6M9w6Cj9LtnfHuwac7D/Z2Hu7df7D/6e79h59Sx+NP7+98+vDh7t6DTz99uHt/7wE+e/hg5+Dg3u49+vvgPrDYvjfev3f//u7O7qeffrp3b+feQ8AjGPce3CeADz598OnOvQPqlVB6+PDh3t7OfYJGSH1KDffGu/ufPrx38HDv4NN7+w/273+UXtNg740/3dvBAPb3Dz7d293f/ZSGtnMQfERD232wf0CQ7n96797ug3v37qPjcGz39j/tf7h/v/cuCBWOlqh5b7xLxNz/dP/e3gNCnOaW8Lq39/De3qc7+7v3aLQP90GS+/d8mqPHvfHD/b37n9JnhOxDmoH7aHfvwf6DvU/3QSfC7CEx2F3LYUePJ9Vy5v3KLPcqP2/2lOs+Sqt6ltfECXgRTSINwZu24d6GhuDgW0EEn98KIqThVhD3btsQwnWrhhDBWzWEoN6q4X2I861aitTfikLcNDqP/EMn/65RRfRrT03ddToseXyXtONR8v8AeYSX1DkFAAA=</t>
  </si>
  <si>
    <t>A9D13A46BCEDB5E2176047D0CE0C477D</t>
  </si>
  <si>
    <t>JChemExcel8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Sk43/fRn89iW1/1L/4zc/St/tffbR/nhnZ3fn3oN7n97fP9jf3dkl+t27t/9g99P9gwf3dvd2732afjr+9NODew/vf7rzcHd/Z/cBjanbaL/b6NOD9IBA7+082H9wb+fhpwd7O3vpQ3rr/oP79w7u7z14+OnevYOUpvLTTx/u39t7+GD/0739vQd76e4evXdvd3eP3tq/v3dv50G6e49e/PTBQ+rpYO9g597+brq7P/70wc7+A/qD8D+49+BB/6OH/RfvRcH3kehj2h9N+Mnuw4MeDR706LSbhgSnN+/3PnqQ7hGgB/fuH+zt02ef7nxK9O1+lBKT+2Pb6zW5f9Drvofhp9EZiFAtMgNdQu5HJuWj9JqYbHtvfG93x3/up9v3xjsH/kckLb12e+k2gdwLmqXbNKqHwUf3+832+s0iwO71W927VSuC9en44b3ORw/GD/xPYq3ufUCrh+O9/Rte3OUX+fO9h/4jQ+Cx7fqfP8ALnwZND/qvP+DO73VaRfA5GO8/iH4R+ajLAKT6egxwL8ITpNsf37Wa+ejxpFrOvF9ZVb/Kz5s91dYfpVU9y2uyMXgRTSINoWJv1XC/CxEtxGwcfVfe0r82gbh/q75gX4b6+vbt+oJ9ulVfsGK3aghbd6uGbBFty70NLcVw3gqo2NfbQWUzfDuobK1vBfVh0HIjUDb/t2vKXsKt+n8QtPx6TCEOye0wY7/lVphx09uxxv1btxR/6VZNxa26Farifd0K6v6tW4o7d/v+b8dF4hzeDiqahryxkVa35ADMQKgaPB67pcoDg+/dcsbvwfO9XVN2kG/VVPzo2zeN6g3+oabmrokg6NdedHHXhR7J47sU1Bwl/w+6D+eM8AwAAA==</t>
  </si>
  <si>
    <t>7AAD9A73D0944D04B9F58267B90AD458</t>
  </si>
  <si>
    <t>JChemExcelS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9T998L790v9v//fl/xfp1VJ//sofbf32Uc744N79+7vP9y/v7u7v3d/j/DZG+9++mBv7+D+g72HD3bu37//aeyj7os7B+n2zvj+zs7u3sNPH+x8enD//u7+/chnu+n2Lt492Dl48HDv/i6A3Eu376GLffpod//e/u79A3p1n17dpU937n26++nDT4l02/fpzf2D/U937z94+PDBp4TH9gN68eA+YfDg4cHe/U8fptsH9N7e3s7+/s7up/fvPSDybj+k9+4f0P/36PXdB5/u9ZE42O8jsf9pv92Dg367vchH+/1XP33Qp8duhG7EHLeYl4N+q/17PaoRA94D+Ic7Dz59uE80uv+QeHQfdLx/8OnB7qef7uF/6acg496n9x/eO9gnTD/dTR8AEIHe+XRnj755+CA9ABU/3dvfPdjb3d15QLxJEkid3Nu5R/+jN6mLlISOyE9zQQg9+PTTg539dPf+mGAHH5HkfpReEwNu740fHtx7sP/QPil9tLd77wEzz6cP6Jcd++ziRWIFr3ms2X0PRg/+A/Nlp8+v1+yWrXpoO7zdhzSju+NP733Kk72/E7SnWXy4H36yP36wu7nNwYMIIOnCa7TXa0QfdYEf9N7bOKjNc/aNtPM+uvcQn6Xbn453PqW2pMHvWhV+9HhSLWfer6zTX+XnzZ6q9Y/Sqp7l9Wcf7eFFNIk0hC62DXc3NISJuBVEGJJbQYS5uRXEXb/hJoiwXrdqCBt3q4awhLdqyPbyVi3FrN6uKVvf2zVlI32rpjDhbio3AmWLf7s5QtPbzZL4D7eDym7G7aCyN3I7qOy03Aqq+Da3g/pp0HQjVPaWbtV0/9Ytxf26Fao8qluyABy428kzXL/bcYB4hrdryg7k7Zqyn3m7puyO3qqpeK23a8rObawp/1Bdfde45vRrz22/63z65PFdihaOkv8HYZMv8UkMAAA=</t>
  </si>
  <si>
    <t>62250A0D57FB92F620EB0F60A83FDD5A</t>
  </si>
  <si>
    <t>JChemExcelBB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t37KM3LHBR8c73KaUJS89+X9rf+f1/q/8P/XvQ+/ZL/67d1n3r//yh9t/fZRzvjT3d3Pn2w8+nO3v7ug/s0WOKbg52HB5/a5yDdGz/Yf7i3Zz95sJ/eGz/c2Xnw4J559olLPn2wu7u3Y57d9NPx7sHewf1P7997uEcQdx7QJw/29vb2bZu99GC89+nuwf49YLC/R/R6ON6hDx4+PLh3/8HOvV2amYPxvb29e/f39u4/vLe3uwu4Dw72Huwf3L9/b+/BAf1DfT882Pv04d7+3r1Pdx88fPBpuj/+9N7DB24UDwjjnQd7D3fcJ/fw0cP7+w+9Qdwb7+/uPXiwRxjvPvh05wFN5t6YOt5/+OD+w4P9g529g4dEoQf0w4OU7oz3du/tOmrcI6baJpnZuX/v4ODBp7v39nbufUqMs03ADj7d3zvY39m9v3t/59P73I7G8nCHOnmwc//TnU8PDtLte+ODnf2HD+n/n+5+ShAAb5+G/enOvR2iCf23/yl/tEdk2Hnw6cEutd2nqdq+P97bo0E9IJrtPHy4++lDtCLS0PwefPrgU+qYBk7w6cf+pxgqTfX+g/tAbZcJSMg+eLj7gOaYPqKvH+7fv3/wYI96Ifw/pTHt3ydeuLdLgHY/JVAPxpjje7sHD3ZpdggYWtGIdnce7u9++uA+DZhePMCAdh/ee/jp/QMaNQnD9sPxvX3A2Cfi7FEn1Ir0EA0Rk7pLFD/YY/Lsjg/2iboHu/fv7xI+JFv47N7OvQcPiUV2Huzee0gyRuDotb1794iC4Gb0sE897N3fpXd2MFT6iMZ97+Hu/s4eze99ItrBPeKUezs79AnxDRHwUwK/Nz4gqhBWxIN7hMYBzfinRKa9ezsP9unPh/d2wRb7RPJ79w8efnqPpv4By8Sne0QSmmwi1h798il9tHdADE+0eXDwgOi9T6AOdneJaQiBh8Ti1B2JINHmU5rpe7sPiRMesgwSbvf3d3d2iBMfguUPiB8P7kGgCNVPWSruExsStxwc7O8TbBICmhuaS2pEtAJN9sdE8Ie7ewc0LQ+ALMHZgdA8vE8DO4AIgeNJ3naJGjQPxGCkWkkEd0AmQn1/b//TnfvpA2KXg929faI09b4LYbpPE/bw3v4OwX1wcI8ULHHZwb2dA+ppd59w+vThfZD2HvEBdXSfqHmP2JNUAkntp/eImDQB9PZH6TVrIZrzfUw7sQI4/B7EgliKpsQTM/rs/v59T6rB3TukiQgBq1NI8VA7Ihwp5Z3xPhH0U6LqwX3SP/d3+TuIshN6EdUHe/sPic1pzneo/cM9iAhxBekZ4nRSjcRHzE8kUSTVRLKHnxIe+Gh/j3iGOJNmgzQYixZpVOJzmmKQ4R7k6CHJuxsKK4J94n6HxD4GQoPY8xC7B8a7Bz0DwtynWX9IGpPG9pAmmgb6gIZE3MjwP6WZdyT4lMV5n9BwwPgzkr8HRImHpFoOSO0fYOikJz598AA6ameXtDNrM0LoU0giabx79z/dYxKRxnmwT6r5gLiWpPABY4zJAD6EG6nmB+Bvkuh9qMp74BhSOSQq90jZ0dskBcT0kEKaWDIWEMsdYpmH0NcQmgckpiSo9yEoJIWk5x7ep7ESlz8ALYhDSV3DLpBCIooCg/v39kk5ffqQJvDeAc0LxInUADE4mZRPSX0dPCBQpOfv75A0kV4hBnqAMRIpyBzcxyST7dgnEw+2oWHTq6RciHJkCUSLkwQSxWhOSU552BCXezQZZATI4hFWmChiFVjS+9BnNBD6iBrdI2mgQT+kCXzISpYID5Nwj7jowf1791kXE/IPiIdJIZHm2iUHBmxFFuNg/z6wIJ7HJzQfB/dIjZBU0EgespEgPKgJSeLDByQ9rHrv0bCIGUnkSIWS6iAFTXL2ECqRTCyEC9qYQRzQpBNZ6EvWxp8SIQnbA9La9wCLDS+9RRS/9wDMCvCkF0mh7tB/u/chOmR6P4WNOoCCusd/E8rQu2QkHt4TK0XSR5y6S4Z5HxqB0aSZJG1OA9/dh/omLIm3iO3ukR3bOwC7ws4T7e5DKd4jU7wL0gOT+yRLGC7B+pS5kFiIeqdJfED67h54gGwUTcQDmhvSSg8fQIOTsbmHd2jOCDeoa0g1iAATQVMMvUt2lKwy5JtU1P0d8nof37U+69HjSbWceb+yE/sqP2/21I/9KK3qWV6T940X0STSEM6nbbi3oSE8z1tBhNt5q4bwr2/VNTV8cCuI8NVv1RAe/a0ast9/q5YSHtyuKUcRt2r64NYtJSy5XVOOXm7XlIOcWzW9d+uWEjXdvuntJp9Rvd30S6h2q6Z7t24psV/QFG0k5jz6trynfw13x8HjrfqTGPNWAsRNb8cbErHeruk+AtvbNeX493a4cph8O6gcTd8OKgfdt4PKsfntoN4Pmt5ErHvhxHr88N3bcYekC27Vn2QVbjUKbnq7Kb+HUbgp3wiVUxm3g8oZj9tB5cTI7aBy/uR2UPeDpjfJx/6HSjlU1f6HMgO0+H7IDO+PiSSVbjVyyT3dip7c9HaaQTJZt4PKCa/bQeW82O2gcvrsdlA5y3Y7qPeDphvtBnJ2t1P5kt67VVO4I52mX4PF0F/IHe/PYpKLvBXSkrK8FYG56e3UC/KeIdu8PyU4f/qBMIBxyGjvD0MSuLcatuR5b0VMbhrlK/6hQcZdk1WnX3sZ97suHZ88vkuJ/qPk/wFzi7HUBBgAAA==</t>
  </si>
  <si>
    <t>28806D2723A220634496E091F09906BA</t>
  </si>
  <si>
    <t>JChemExcel5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T9MsW/sf/om4/Sd3uffbT96fjTTw/uPbz/6c7D3f2d3QcH6fb98b17+w92P90/eHBvd293f6//0W66vT/e2dnduffg3qf39w/2d3c+Tbf3CNaDe/cP9vbpw093HuzcT7eJNPfuffrgIb11sHewc+9TfPTpvYOd3b1P9/d2H+7uEpjTbRpHt+W9B/2P7qETwoSwuHewf49e3d29x2/3OnqQdtChYaZdpPcjn/ReO0g7w7/3sP/JR+k1yEnY0YC8hzC7N945AL0+3WPsdx76z6f8/YPgs0izfqsDoUXQjLrZGT/41P/owadExZ19Gsj+/Qf3d/fv7+zt3BeKdZs+3E8fjnfuP7z/8N69+/f2Dg4OHqDlp/2WRJJ+3/eiOD4YP9i5t3f/0/179+/vPKT/McTd8f39kEwkDXetOBw9nlTLmfcry8er/LzZUxH5KK3qWV6THONFNIk0hCDZhnubG+7fCiKE8lYNIbq3aggBvxWOUAO3gghlcSuIrFJuBVI0z62Afhq03AQU3d9uHkXh3ap70Yu3g8rq81ZQD4KWG4Gi/9vNvFHb/ab8Q7n/rjEc9GvPqNx1Fid5fJds2VHy/wBFCPiV5wYAAA==</t>
  </si>
  <si>
    <t>7547B458B99FB80BA2E65AD0066B048C</t>
  </si>
  <si>
    <t>JChemExcel5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R9of+P/ld+lL7b++yj7XvjnU/v7e3f39s7eHD/3qf3CSp9dnDP/2znfrq9Nz7Y2XtwsL/zcP/hp7s7OwcH6TaN++H9h3v02c7uw939nXuf4rP79z89ePjg4d69T/fu3T94SO2Ifp/u7e3Tiwf3Pr1379MH+58OfNiFuBv5bO9B5OUdosTueO/B7v69/d379/Y/3f/00wcH6d740537u7v39h7c33u4R60O0nvjh/cOgN7DB7t7Ow/uPbjf++hgv/fivSj4A5p7/8WHH6XXIOo+8QyaHjzYfcgNiXwPPn3w4P79B/d3dqmv/X2Miwh0b5eAHjwk+Pc//RTN9jAm6gcD3jt4uIfZeHCwu3d/5+DTg92dB/t7D+/j3f0HfjuaDZBkh8Ad3N95cJ/w2TnYo88O7nmf7TzcpYHdexB8RKPH1Pmf9Nrc7zf6tNtqt9vb7s5+F6mdhw+JkN12aEXScNeKw9HjSbWceb+yfLzKz5s9FZGP0qqe5TXJMV5Ek0hDCNKtGkLcbMO9DQ0hlLeCuHvbhgTx01s1hCa4VUPoi1sNBlrlVhBZ99wKpKioWwEVTXY7qKzwbgeV9eLtoLL6vB1U1rK3g7obNL1houIt+Ydy/11jOOjXnlG56yxO8vgu2bKj5P8BiadOwOcGAAA=</t>
  </si>
  <si>
    <t>114BCB7933E1EC98E6A4858D15D95976</t>
  </si>
  <si>
    <t>JChemExcelz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xT/vaD/TtIv+V/8POn998L7N/ivpP99lL7b++yj7Xvj3b2H9+4d7D7c2dt78HDn0/vp9u74wcP7n96nPw7uPXx48OnD/f5nB5+m2zvj+/sPHzzYO3j4YOfTvf39h5+i3c6e3+7Te+n23pg+8T57kFK3+w92DvYP7t3/9OG9nb0H+/v4bGd/9/7+/b17Dx/cI6gH9Nn++P7Op7sPCDVqu3tApKKP6Ae9t/eAMNvdfUCtPh3vPdx5eHDv3u69Bwf3H9Bk0Eef7u7ufvrg3u6DT/cJxg6N62C88+D+g4f79+7vPbj38D7QPRjjlwfA4/7Dg4dA48F47/7u/Xv37+3dv/fpvQf3D9Lt+2P0tXNAvex9+nCPJpA+2v/00wd7+3sHn+5T1w/ugxy7ezv7nxJFmGb3Qcqd8YP9Tw/29/d2d/ZoIAf0GTW7f3CPcKJe6X2iW7o7/vTgIcF/8PDB7sPde9Rob3xv99M9arD34P7ewQ5BS++ND/YfHBD8/U8J5717+w/S/fGD+/d27n1KfzwkqlOjfcLh00+po539+wcHD3cB6f7D+4ThDhFmb/fBA3qNyHWwf//hw4f37z14SGTEJw93dx4+2L93sE/scJ+49mBMSN8nvtjZe/jw00/vP0gfjqnLB6DcLtGP5pLaEEQi5kMi9cOde/c+TR+Md4kZDh7SuO7t3dt9eP8+vUZNH+4SLH4OHqa798YEwIP04KP0mnhxf7yHKdvbOdjdA0N+ijHv7/sfHRCpHu4EjR4SQR9iDvcwlh0i/s4e6E5k//T+PhAhhtt/8LD/2cMHzNa7+/f3ifGI4/Z3+9Aws7vErLsH9w8e0lQTe+7c/5SoSsOkGSV22KUZ+vRToEpwaOT7O/dpDg4wFw8/3dknZiZW2N8D4YlpiKX27j+kjg52duktIvz+HnEp8dQukZrUwQOCTHxMTEoCQ9x1QJ8Qqnv7B7sH4Kn9/QOCQ9zycAcMQ+3uHRz0B0KUZ9ne3d+hzw72H957QMOB9NwjtiUyHJC80LThExrHvV1iNOIrAroLgX3wkFiOPiJKPyRue4DPPr0HBny4S1R/QK+wxJKQErvuHBAr7ZMKgFzs0WTvEcft39sh7n7IonJ/j+aOCPrg3qeEDKP2YO/ePbDFpzRswEAPxPP3CZP7u/fuEe/vsurYvU/Pg/1dmlfqkzvd39ndp3ETwHsHJFSsJoi/SRLuP6ThPvgUGgbUR4+g/L2HB/f3RRhJMgkYwd4lucFs75C+v2sV/tHjSbWceb+yBXiVnzd7agQ+Sqt6ltdkqfAimkQaQnPfqiEMim24t6EhzM6tIMI43aohTNituqaGB7eCeO+2DWE3b9WQreutWooRvl1TttW3a8om/VZUEst/O6jsINwOKvsRt4PK7sbtoO4FTW9gp93bTaq4Obdryt7QrZqK03S7puxb3a4pu2C3a8qe2u2askN3u6bs992u6e7tmwKB282rOJy34hbxS28Hld3XW0EVL/dWUMUZvhVUDMtreiOuUR7gH2oD7poAgX7tBQ93XWSRPL5LMctR8v8AYPhprs8MAAA=</t>
  </si>
  <si>
    <t>3BADB3F46A787C164E5881CC758DFBA1</t>
  </si>
  <si>
    <t>JChemExcelq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Aa/+/L/u8fpe/2PvvoYLzz6cO9+w/37+3vPNzfO9hNH4zvPXxwf2dvd2dn9+DBw92H99NPx/s7+w8e7KLB/sGnB/fS/fEBPbuf7j482Lt/8GCXPrj36f37D3c+3aX3Hjx8cEBUvHf/4N7ezgNqv/9gj9D/dHzwYH/vwaf3d/ce3ntAwFPq/eHOzsO9XQJ9sLvz8NP0IcHZf3Dv3s6D+5/uHdy/t09tHt779NODg4c79/bpu537Kc3evfsPdnbuPdgnpHepg5Qm7MGDB/d2D+4f7D/Yf0C0ezje/ZTAfHpwf3/3AfVwAJzv3d95eH+Xe9qnUdwb39t9uHuPBv/p/R1CazfdG9/boz4e7tHAP32w9+BeujOm5vv37xEq96mHnXu76fbOePdgjwbyKf7ZJfTu3U+3d8efEjHu7d379MG9+7sPdw726F2m6gH1tn9AtPz0Xro7Prj/6UOiJg38wcGDT4lQe+ODffqKCPvp/u7Bzs6nNKnXNDX3xnv7NMiD/XsP7+3SoB7wy0TA/Xv3Hz7Yub9/794eDYEwuv/w0737O0SS3b29fYL34NOd+0Bv59P9ew8+3af37u3u7RLJHzw8oC9272NYu9Tj7v09IuzBwc7efWq2Q9N8/+Dg3sGDg4e7+9Txzj7Geh/97+w/pC8OdjFrNKy9faI70Xvv/v6nD3lUO/t7RCGast17n+7sgZAPH9Io93cOHtLw+RP+gGaVfjzc2wHu92gw9P7+Pr18wDS8t0tTS+QjQtzb2du7h89oTjGQg90HxDcHgtT+zoN7NKlE5k8Jwg5PChHzHpH2gPiP8D04wIAeHhDy++BJ4p3dXSBPk3ZAWOzt7BJbHtzbAX0IJQ8c4Up/+LA+pTY7BIbYicazRxN+QMJ910r30eNJtZx5v7K4v8rPG5pIiDsph6qe5TXpqY+khSiKo+8+vuv9JX/EQdwLQAw1hF65VcP73YbvjxS01636go67VcO92zaEyvxA7KFyb9UXK+Zbtdy7dUvR9EMj+PbtRiCmwgK5d1N/IQe9P8VghQZ55rY4s0m7HY3Y8t2uKRtI23RvU1O2o7eDyub2dlAPYJVvBVWM9+2aqo2/RdP7t265t9cj643TyD9Uvd01ng/92vOK7jqXKXl8l5yxo+T/AWJQsH+oCQAA</t>
  </si>
  <si>
    <t>85D7FC3B1EFE67BA702F6D59A3DA2BA6</t>
  </si>
  <si>
    <t>JChemExcelC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QvUvx7kn6pP+W/F96/z/jbLz9K3+199tH+eGdnd+feg3uf3t8/2N/d2U/3xp9++uDe/YO9ffrs051PH0Q/Iqrcu/fpg4e7e7sHewc79EfvI0Kx++JB/5N7aReFe0T1e/f2H+x+un/w4B5Bu/cg/ZReO7j3kN54uLu/s/tgr/dJ/62DCOQD+mRv58H+g3s7Dz892Nt5mD6kt+4/uH/v4P7eg4efElopccSnnz7cv7f38ME+fUAfxz7qv9eH3f9k+9547wG98+nBwQ4htrf38HSbpnm7S7sDtCQ6Pdh7sLNz//7upzv399Hyo/SaJm2bhnrw0H/S7f3xp7v+Jwxh50Hw0YN0e298b3fHf6jznfGDB8Fn+2j34ODTew8f3j+4t3fwgEaN7j+lOb5/L+j4IPL6LsZDE7NLNNv7dG/n00/3d/ltNP00eJ17Iur4Tx/xh59Gmn3K7Q76Q9qVLzofEX32Oh8RFYVwe+mD8YOH9/b27+/tEmveP9j5VPAlRXJ/9/6nDz49eLDz8N6nD3cOZLq6Q97rEwYq4K7VAUePJ9Vy5v3KSuFVft7sqV74KK3qWV6T8sKLaBJpCO1xq4bQMbdqCE1kG+5taAh9dSuI0Gq3gkgND24FERryVhBZj94KpKjbWwEVrXw7qKy8bwX1IGh5w1TesiVjertpF/Nyu6ZshW7XlI3V7ZqyTbtdUzZ9t2u6f/umMKS3Y5b7MLm3aimW+VYMwE2j88o/VFXcNa4F/dpzO+46nyR5fJe8naPk/wHPPSz7CQkAAA==</t>
  </si>
  <si>
    <t>E61B59B0CDA63F9ED6B8830B8D9A7729</t>
  </si>
  <si>
    <t>JChemExcelgh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c/SvMyBzXfXK9ympzU/fcl/ef/fdL7e1Pb4ZamvfnP/fUi/fKj9N3eZx9tPxzvP9i5f//ewc7+3sHB7v0Hp9sPU/fp/sHD+w/2Dj7Fp8QW9+59+uDh7u7evfsP9g927vc+oilz797b/3T//sGuQLQt7+3uPTy4f/Bwr//ZwYN0e2/86acP7t0/2LtPH3766R5NwPb+eGdnd+feg3sP9h/e3//0/sP76fZ9enf/we6n+w8/3bm/v/tw1//owX1CKN3+lGAd3Ht4/9Pdg093dx4QL2wfEKi9nQf7D+6hB/qf/xGhQh3yEO7RcGgI9z/dv3fw4NNPCdcdAvZw/97ewwf4Yu/hp36z/Yc0TuIFv9k+wdp78CD47N7upw/2GNwe9XqPsNx5uHew8/DBw+Cj3Xv39x4c0Ef3xkKgvd2dhw/v39vZ9T/beciI0Ef7408f7BDVqYvdgx2eBe+zBw/2ML302afUw/7u/sN9DPZT+ib47P7DnYf3dvHZA+riwcEeDf/+/fu7B3j1gMDt3t958OnBp5/e370XttrfebhPvwTQ9ghhppL32S4QPrgfYLcDCjPp3MB2MBEksv5ne5ivfXxm6XSwh2ndAye5z/Z3Pn3w4B4+s2T/lLC5vwfauY+I2/b28JmdRJqvew8f+B88+PQhYXngsQjNFTHbwaf+Rw+J2XbxomW3nYcHRKYH930O3CVm+xSUdFy6S1/tkoLwPrq3u7+z+2DPZ/l7xM5EcX+MRB0gthfQ8R54Bq9683KPZzlst8ssGLajsd8/CKbq/g4N9d5+MFU0VzTNmBbH+HtM7ZCh7zO/PfSbPWSGDghyH2MgRg8EENACGu3tE76fPvQJcp/J5hTN/u4OgXl4//4eFI3VH/donoh5H/Q+IU18Dc13b0yE5OeAtMHuw3108ulu5yNC5cD/iNXKw73ORw/Gnz70P7rXb3WvD+verV4MwOsXGDxxKz+kE/eYarDrO/LZp3u7pHq51f4OPyQA9z6FYngwfiCf7Dy4T8xNBhA93uNPdkkU0avXavf+7j5xzEPG/qF8RMr7wS5Ta8+DDZkjmh7wR/eIf+6BL/bG93blE9LbhDI12hk/EOAE+N5DovgBYD0g3vqU+IloQJO/s3+6fUDm5b4MkiaaWtOXNJv3ZIwk5w/v7xwcpPfGB/v8yT1SRA+Ije0s7hGog4N76afj3fvyAWml3U9pTKkl8i4NGJLpGkE+SM9Ro4PxvtCdzNO9++Q+WKITTR4+2CUHYReD4Y9IaxMa5KOQ+3RfENolnEma971WApymxoLa231A5CW0bW8keQ8g3RbHe2QK9/f2PRzvkRK7t3ew68a6vw+DvOORg5Q1Ge99lgCl2f37B6RNP/UIK4yyQy4WzR11/OlD0qd7RBHSapgBN1l7sKsP70GF2TnFyzsPCDlv5pVhDjz+oMYwL3titoWJSJQPYLd9cslUELkATD6yFLStLJ3d7JjJsENXCt5z41SCBdxHpN+Bg+IP6CGNiXyXBx6mOvCHImDSTrGHxbOICS3Vkt/blc+sCHuf3fuUBvHpg0BgRYjv+XK9Sbl0FRX564/vWm/76PGkWs68X9n9fpWfN6T34H6Ts17Vs7ymuOEjaSGO+9G3H9/1/pI/4iDuBSCGGsKbvlVDuNK3aoiY4VYNEVncquHebRsSxIMPJBwCnVv1xeHQrVpK1HS7phxc3a4px2C3a8qh2u2ackR3u6Yc+Nmmezc1vd0UShh5u6Ycbd6uKQelt2oqsevtmnKIe7umHAnfrikHzLdruo+4+nZNOfy+XVOO0m/XlIP52zXlmP9W7IKm9243W5JBuF1TTjTcrinnI27XlNMWt2u6j+zG7ZpyEiQgFtqo8npzO1UmWZTb9cfJlg/tj7M1t+uPkzq3aiq5n9s15RTRB45Ccky3649TUR/a3z5yWbfrj1NeH9of58xu1x+n1j6wv4cBjJvkY/+W/IPk3u34B7J8/3b8Aw1x/3YaAjry/u24BEr6/u00BKzE/dvxAiza/dvpc9jJ+7ebcXgK9283W/A/7t9utiTleivVz01vN1vwlT693WzBJQ0nC02Uc2/pGO4jTfyBMJBqDqfXe+u7URj8QwOFuyanT7/28v133WJA8vguLTMcJf8PLtZ1A4IYAAA=</t>
  </si>
  <si>
    <t>534C4CC73C504534C315AF3635ACD6AB</t>
  </si>
  <si>
    <t>JChemExcelE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ivy/53xep/5f7xHz+jL/78qP03d5nH23vjT/99MG9+wd7+/c+vf/pzoO9dJtocO/epw8e7u7tHuwd7Nz7NPIRN9s92L13sL/36f2dvXv3P71//3SbBtFtur/X++jeA7z96aef3jvY3f10d2/v04NPd/b5bfp8Z+/+/YOdnYcP93f273/6YD8OdT/tYP7pwwfp/nhnZ3fn3gP6YP9gf3fn/m0a7d/vfXSv996Dfn+fdl4jjHufHPTe6lFj78GD3ui6b91/SLx5797+g91P9w8e3KNm9w56L92/l27fH+89uH/w4P7+/sG9g/v39jAlD7rQHux+lF5j7j+lz3fv0STsP3hwf+fh/h61psneGT94sOM/NNl743s0PvccUGf3xjsPup/F2hG8T4PPMAcP7997+HDnwYNPP917eO/gAfe8O74PMt/btb8FsB5+mj4cA/3d+/v3d+4Rf9y/ZzEOeiC69zB5GEd4f/zpbudNIvVB581Pxw/3Oq0ejMMuH/Rb7fdhEYc/HO/d8z86YMQO0nvjA3AicUgXp4ekYO5aDXP0eFItZ96vrHJe5efNnmqdj9KqnuU1qUa8iCaRhtBNt2oIDXarhtBzt2oIbWgb7m1oCJ15K4h7t20IFXyrhlDUt8KR1fmtQIrWvxVQbnq7efz01i3F2tyufzZKt4PKtutWUO8HLTcCZWN4u6ZsM2/XlE3r7ZqyBb5dUzbUt2oq9vxWTTGs2zYFArdkATgQtxN7AL0dB4hXcisO4KbReeUfqtTuGheLfu25X3edb5Y8vkte31Hy/wAYuWLlEQoAAA==</t>
  </si>
  <si>
    <t>A619945F90D75F778AC7CA22042F61A4</t>
  </si>
  <si>
    <t>JChemExcelh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wp/nuRys8v9edr/k0+Nd/xtx+l7/Y++2j74fjT/Xs7nz58sHfv3t7D+wR5+4BI43+0l24/GN+753/0IN2+P37wsPfRzp7/0f1+K3zWBRbvMoJYF/5uun1vvH/Q6XJv/GC3g1i31QF9tjvefdBptjPe+/TBwcHO/r39Bw8f7u4e0BxQs4efPtj/9NOdHWq1v3uw3/voQeTVh/Tq3vj+vZ39vfsP9vZ29+7to4t744NP93d39g/27z28v7t/cND/5H7vvXtgxocPHhzce/jp/QcPCNf9/icfpdeYzr3xp/c+vb9zf+feg3t79O890CP8iDCjwd/b2TvYu/9w9/7+w08fPvz0oP/Zfu/VvQOQ8uGDHaLCLtoR/fb7H+Gz+wTs3sGn9/YOdh4e7O7u7N3io52HD+/3+3zQx2znICXZvbdzcP/e3s6n9+4R+e4d7NzvNTx4+ADw7u8fPNjd2zn49ODe/v7OgwN8tvPAb0eTSjNI0PzP8NHO/U8f3nv4YB9ju/9gZ2dnn3reu/dg98H+zsE+4bizi3677z7c6/fxEB8d7He67UG7B5Z78CD4bI+Uyl2rVY4eT6rlzPuV1cyr/LzZU03zUVrVs7wmdYgX0STSEPrINtzb0BBa61YQodtuBREa8FYQoSdvBXHPb7gJItTurRpCOd+qIdT0zq1aQqnv3qql2IPbNWWzcSsicdPbTaUYodtBZVt1O6hs0m4HlS3f7aDu374poN5uWsXk3gpXscy3gioG/FZQQSyv6UaoQMDxwMam6jn0m/IP1Sp3jV9Dv/Z8nrvOIUoe3yVX6yj5fwBZqrcphgkAAA==</t>
  </si>
  <si>
    <t>6EFEDCBAC4F4BE8815E4A425AAB7D59C</t>
  </si>
  <si>
    <t>JChemExcelq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78XwV8n6Zf8/xcfpe/2Pvvowfjgwc7ugwf7D/ce7tAve+nB+ODezr37uw8OHjz4dO/Tvb2USHFvZ/fhvXsPdw4+fXBv78GDlEa/f2/n4N69Bw939+h/u/hk5+Bg9/7u/ft7Dx8e7B98mj4cf7r76f1PH+7f29s5eHBwj0DvHzz49NOH9/cf7n/68ODhg/QB0dnv/h5R9sHu3qcH9/fvfXrv3s7+/oN0f3z/4N6Dg/v379+jr+4TyPQekX9vb+ceQT7Y2T24//Beujd+QID3dncf7t/febh7D40OCI+93Z0H9NqDnU8Z+L0HOzs793YfHuzce/Bg71766Zh6CcZ/f/zpp7sPH356/97+p/cJ0F4cyU8/3X9IaBH0vd17DzC0e/cO7tOr+w/2Dmi8H6XXRN798d7DewcPCYtd+uZTmsF7RKaHBw/uUSv682CfR0OjffCQCPNgb4fg0lj2H2L0nx7s7tyjl++nO+OHD4lou58+/HTvAX7u0Uf393dp8A/2Hnx68Omne/f2012iFFF+/8E+oXLvgP7Di0SnHdDvU6LCw4PdfqseqL1Pex3u97GiVh3MCVRveGmXBEzhA/qOmOtg9wBkS7d3iFUeoq9dQopgEWtvk4AdBJ/t9z/bu08SddeK1NHjSbWceb+yjL3Kz5s9FbOP0qqe5TXpAryIJpGGEEbbcG9DQ4jsrSBCsG8FEeJ/K4hQEreCuOc33AQROudWDaGZbtWQ9detkBQ1dyugog1vB5WV5u2gsm69FdSHQcuNQFlZ367p7Vuy9r8VprANt5t7MSW3AspNo/PPP1T47hrbR7/27OJdZzSTx3fJHB8l/w9zf7NPqgcAAA==</t>
  </si>
  <si>
    <t>3A5B34F3464AB5919F1DA61EB815AB9A</t>
  </si>
  <si>
    <t>JChemExcelz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+1Puv5P+lX6Yv+G//326rF9SK/vtISFaezLP6gsDtpO//3y7/u737Ufpu77OP7o3vHdzff3hv9/79/Z2Hn97b2U/3xjv3dw9293fu3bt/sHv/4af76c74AX1yb//h7u6D+/fuf7rzIPZR98X9T9MI+H168eHug729Bw/27j349NNP0+2d8adosL+3u7PzYH//wf3IRw/jn+2OH+4/3Nu7d+/e7sOdvfu7NFPRz+6N9w726K/9+/ce3Nu5v//gXvwzGsO9Bzu7n9I39wjtvYcP8Nn9Xb/dAX22T2P1P3uIj+7vHTw4OPh07/7Opw8efnrQx5g+69Dt/oPdHt3uRT6JvBaD3qH33sGnsTdJ2vY6c0AfPTy44aMH6cGYBuZ9cv+j9JqZ6NMDosLB7t7+zu7uw/sYEjXzPwErdBvdHxMg75M9+uThw81tuk32+x/dvxfrnhTIg85HRL+doP990PThvb1PH+4eEHcdHOzsP9gHPz3YCT7bY97ZDz7D/O/u0/QTu+3T5O3fJ667TzNE3HCw+/Ah/fKQ5jH2UeTFXpcx1A7eA7Wd3c5H3VZg126zgz6J0OXu7g5JF/E+cfru/U/vn24Lfe/dA3fs7R7sHezcu/8ATTuf3Rt6nTT1Xauqjx5PquXM+5V196v8vNlT9f1RWtWzvP7soz28iCaRhlDytuHuhoYwBbeCCINxK4gwK7eCuOs33AQRVupWDQnHg1s1pFE/vFVDtou3ainm83ZN2coGNEKb121e59XRG3lP/xoGwmb6dv2xNb9dUzb6t2vKvsHtZppdiNtBZU/jdlD3g6YboYJYt5txcXFuhYB4QreCKg7T7aCyX3U7qOx+3QoqD+t2PMAI3I4HmAK3E2JxDW+FKze93Wyh6b2ogPIP1aN3jXtMv/Zc57vOr04e3yWP/Sj5fwB/O1BWzQsAAA==</t>
  </si>
  <si>
    <t>A08A87E69BE184B7AF93F1CCF79621A6</t>
  </si>
  <si>
    <t>JChemExcelg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VP57kX6pv5n/vqTP5JsT/e61/Qb/vcg+EnqVJ/OsviBYO+nX+W97l/7Z/Sh9t/fZR9v3x59+uvdw59OHnx7sPdi5/3Av3d4fP/z03oNPd+8/PPj0we6nD9Pte+P9/b0He7v37+/T/3cfHOCjvZ3dg929/QcPHj68t7dHY6YX7z+49/DTvfv03/69e7tpDPru+GDvIX26f2/nwf693Xuf0mc74/v3DnZ3Hj64/+nuzoPdg33CcHxwb39nf2fv4e7uPoHYw0cPd/eBGf3//oOde/sHeJP+frh7f2d35+DBwcPdh/fQw4N96vP+zn3C7+HOzv6n6fbe+N79ew8ePNilZ48a7t/HZw/u7927f7C/Ty3v05cAd0Co3d+9d+/gU4z44X3qlQb36cN7uzv79w72799Ht9TDp8Fn9/sf3eu/udfr4N7OfkqUpF+Imvce7j94uPMw3R/v3tu7v/Nwf+9gh/59+LDXZGePBGL/wT7NxKcPH+ze27//sP/BvTHRaG/nU+r/YJeocXAv3Rt/+mDvwT7N4IOdPcLgU3prb+choYbZ3v/0/oP04fjT+wEYEsuP0mtiFZqkhwe793cP7u3S9O4/IHg0nAc04w8PiDUe7N3/dOeAJ3hnl+hPxNs9OKAZ3QeliUSE+r17n2JOH3x6jxnoHg2S2OLTHZpl6hHtaIJ39w/2iGnoTXqj3w7TRLNJLLp/QAy18+Dhwb0HDI8Gsv+Qvtj99MHBA5pTMOSn94jS9/b37+/t7Dw4uA+O3CdG3ntw//7D3b17D/f2udkDwpYGcfCQWFdYjZhz594DGi7R/MEuQaYZJu68T5jtEc/uHwAYcR8B2Ae97pEwfLr78FN69cGnxFE7e5/uP9ihPnbBQp2PHtBM0NSHrSIf3aNx3iPsH+wQmT/FkIhnD3b2iHfufUp8TTMFtO71+tsj9Hb3d+jlB7s01fcx9SQKNN4dIgVhQ78BrQcH+zsH+yRv+7sHkJP9Mc3sQ5p4EpR9EsUDYpB7Bw/v3Sf+2bsHDt+nNvjr4YP9B/d3SLhI8Ila6fbB+P59n7D3SfXetbr36PGkWs68X1kZv8rPmz3Vxx+lVT3LazIaeBFNIg2htW3DvQ0NodtvBREW4FYQYSduBXHvtg2p6we3agjjdCscYcJuBZEN3a1Aij28FVAxm7eC+iBouQkoTLCb8o3ds7W+Vffc1E37Rqhs+2/XlF2E2zVlT+J2TdnhuF3TT2/flF2Y2xELnsztOEAcots1Zb/pVk1BrFs2Zai3E3xuejse4GHdjgfE/bsVXblplAf4h+rKu8anpV97/u5d5wwnj++Sm32U/D/x2M8jggsAAA==</t>
  </si>
  <si>
    <t>2BE8E3D13990B9C20279CE2CF5EEDE5F</t>
  </si>
  <si>
    <t>JChemExcelN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t+mZ7wfy/052v+5EXwmbR6Rv/Rz4/Sd3uffbT9cPzp/r2dTx8+2Lt3b+/h/b0H6fYBkcn/6NN0+8H43j3/o/vp9v3xg4edF++Pd/Y6L3Zb3evDuhft8d54/6DT4974wW6nx26rA/psd7z7oNNsZ7z36YODg539e/sPHj7c3T0gQlOzh58+2P/0050darW/e7Df++hB5NWH9Ore+P69nf29+w/29nb37u2ji3vjg0/3d3f2D/bvPby/u39w0P/kfu+9e+C4hw8eHNx7+On9Bw8I1/30U2qzu//pvZ2DB5/uPLh//2H6gAARgL29nYf79+iD+702B33SH/RIf++j9JomnASA3rt/b2/n03v3iOoH+/sHafdDegd0vLezd7B3/+Hu/f2Hnz58+Gn/o31Myqf3Pr2/c3/n3oN7e/fp2/uYlYcPdoigu2hIKOw/6H92v/fqPaJsD9yDfqc7PXz37x3s3O81PHj4APDu7x882N3bOfj04N7+/s6DA3y288BvRzNP00zQ/M/w0c79Tx8SLfaB9P0HOzs7+9Tz3r0Huw/2dw72CcedXfTbfffhXr+Ph/joYL/TbQ/avU974B7u7HXb7Qjhgx4e7nzaI8seMQkx9b1PidX2CCYNY+fBpw9JXd21+uro8aRazrxfWYG9ys+bPdVhH6VVPctrUrR4EU0iDaHpbtUQ+tA23NvQEFrzVhChW28FERr4VhChp28F8Z7f8AYcH96qIRuHW7UUG3IrNLnp7eZRLNLtoLLhuh1Utm+3g8pm8HZQ927fFFBvN/lif2+HK5vp20Fla347qPtB041QD+Af3KqpuBG3a8rexu2b3o4H2HW5VUvj4fSb8g/VVXeNH0a/9ny0u86BSx7fJdfwKPl/ANrr21Y2CgAA</t>
  </si>
  <si>
    <t>0A072C677D783B93F1C98FEABC49B410</t>
  </si>
  <si>
    <t>JChemExcelB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HqSvkjxb/jfM/r/l8EnX8r/y4/Sd3uffbQ/3n/48NOD3QcHe3sP7h18SghEPro33v30052dPfpnf//+wd6DT9Pd8cG9PfrvPlo8ePBwN/JJ97VPbwPoXvSj7osP7/Xw7GN+r/vavXvpDrU5+HR/f3/30wcHDx/cv0/k3N6hDu/v3Nt/sEP/Huwd7NxPt/fo1YMHu/Tnpweffnpv9/69dPve+P7O3r2Hew/3Dz59uH9vn7DY3qd3P915sLdDL+/t3Tu4H/2o9+aDSA/p9qfjezs7nz58uLtz/9PdTx/StG8/GO/t3D84OLj3cH93/wGNoNdoLz0Yf/rAH/inH6XXNLnbu+NPP6VBu2cfmOzt+J8Rq9FnDx/4n9FM9dpRxzFwRLqHnc92xp8Sdd3zgCZ0f9f/5NO9dG/88H7wEc3Vg73gkwe9RjQHEVD3x3ufhv3FsOphH0P+YWSQe9F23UHej44y2mp3F2x3cO9gZ2d/52Cf0d3dC+CDZUgtPdjf2314f2f/0wc7D+6Dd3dIy9y1aubo8aRazrxfWe+8ys+bPVU9H6VVPctrUph4EU0iDaGgbtUQauxWDaHsbtUQKvFWDXdv2xAaNmiIFqKnj74tb+lfgyCgoS2IvQ19QY/fCinW9rcCKUbhVkDFdtwK6oOg5Uag6P923ABTFbKDR9zv3o7UYvNu1Z2Yxts1ZQt6K8qIob0dVLbHt4PKZvtWUMW63w7qp0HTjbgCgdvNuLgVt2vK3setmoJY8ab8Q3XWXeNX0a89n+uuc8iSx3fJ1TtK/h9nkVpqBgoAAA==</t>
  </si>
  <si>
    <t>D83A923D8E7C1044B3229057BB8D7A97</t>
  </si>
  <si>
    <t>JChemExcelS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X6QnqfkX/33J/3+hn9FvH6Xv9j77aPvT8f7e7oOHO/cffvrg/v379/bS7Qfj/ft7e/d3H9zbub9/QD/up9Ts0wP/s/10m0b/4P7Dnf39vfv7uwe7hBt9tLO7/5CaPNx9eHD/4d6DdPsevbhLL+4/2Nm9/+CA2vc/202398b39h/cf7B3b//g3h69ez/y0afpNs3d7r2Dh/f29j69v7N7sLez2/ts9+H9/mcHB+n2/nh3//7+PsHa/ZRQfnAPH326t0sf7H+69/DTPWqPge7uPfgU/x3sPNx7eH8f9Ni9f7B7j4hEcO7fB/yD8aef7u8f3N/bwRA+Bbr3xkSMg0+B6+6DnT2i5EfpNShMX9w7uLd/n0h3cI8oB5D7IOeDg4MHn+7tfPrpQ1D9U0L50/1P6UNCfJ9mg0n8KfC6d3Cws3Pv/qe7D3kUn+4/oIF/urv76cH+gwP0fO9h56Pd8cH93kc7B8FH99Mdmuj7ew8eooN7u/f3dvfupbtjmmb/s90otG6fDz7FCA72dx7sffqQeOHBzsHOp0wo4oZ796nxp/c+vX9vf49pt0eM9uDh/Z29vf1PMfvEcQe7OzTq3YOHB/T5PXx0sENgDh7u7R3sE9nT7Yfj/f2HDx5++pA62yGgEKO7Vo6OHk+q5cz7lQXrVX7e7KlsfZRW9SyvP/toDy+iSaQhJNA23N3QEHJ6K4iQ5ltB3L1tQyiHWzWECrlVQyiaWzWEOrpVQ1Zat2p5ANV2q5aiAW/VFPrxdvMo6vR2TVnr3mrSRTnfCuq9W7cUbX+7/oFqdEr5h4rJXWOa6Nee2brrbFry+C5Zy6Pk/wHHT0AqSQcAAA==</t>
  </si>
  <si>
    <t>3CD2D8B0426E9F7F54BA998FFDDB9DC9</t>
  </si>
  <si>
    <t>JChemExcel5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9Sb9M8S/+e2H/euH9nz75KH2399lHe+NPP31w7/7B3v69T+9/uvPpw3R/vLOzu3PvAf29f7C/u7N/v/8RUeHevf0Hu5/uHzy4t7tHqH1KcA7uPSQQD3f3d3Yf3E8P6KW9nQf7D+7tPPz0YG83fUjv3H9w/97B/b0HDz/dI7hE6U8/fbh/b+/hg336YO8g3d2jt+7t7u7RO/v39+4R5NhH9wjUpw8eUs8Hewc79+7HPtkfH+zs7tOf9+/de7B/cEAf3R8/2Pn0050H9/d3H+7c33u432/1AK32HhDS+/t7NMK9ezv3oyj0UO8O717ktY/Sa6L59oPxpw+DJ93+dPxwr/MR0fig81H3xYP+iwffYKtbI/FwvHev99GD3fsHB5/uPtgFZYlrtw/G++GbgLW3t7+7e48m7dNP9+4/eHgfXT64/3D/gGbz3v1PD3b299JtiOTOzX32mlGnJK339/3PHpAk3rWiePR4Ui1n3q8sm6/y82ZPxfOjtKpneU06BC+iSaQhhNg23NvccP9WEKEQbtUQauNWDaFcbtUQKuhWDaGobtWQ1dmt6IOWu7eCKbrxVkBFhd4OKmva20FlhXw7qLu3b8oq/nZNMazbTakYjFs1Pbh1S7FAt6PVAzFUfaj8Q+XvrjGb9GvPpN519jZ5fJcs+VHy/wAaDVIZ5QcAAA==</t>
  </si>
  <si>
    <t>1B6DE9C22A1FBC79E57257F16F4C8A4C</t>
  </si>
  <si>
    <t>JChemExcel2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17Q/1/zb1/y71/q//3/vuRPfq+PhCDlyTyrLwjATnr7/7Z36Z/dj9J3e599tH1//HBv/+Hewc79h/s7D3bvf5rSRzsHn+4e3Hu4f3//YH+HBra9P75/b3/v4YN7O/d2D/b37tNAt/fGDx9+Su8c7D789NO9vZ2DfXx2/+GDg71P9x/u7O3s36Nf0u1744ODh/cePNz9FND2HjykLnZplnbu7VCHDx7s0jeAtzu+v3NwcEDv4VN6m97dGT+4F3xGqI/39u7de0Cg9nep/YN7n36a0qv3H+zcf3B/7/7De58+pI+7H+2me+ODhztovf/gAeG3v5/uE6T9/d37Dz59eP/h3sMD4p379w92Hu4fPNzd39vdIaQ+pZeoYyLCPaLSzv30gN65v3//3u69+zuEEI25+8le96X9Bz3AeyDyPaLm/u7+7oNdQushDfbT8cPdnYf3dh7u7Hy693D/3gPQ/VMiwMNPCQgRZ5+GQa327x/cu3fv4cO9B/eIBLvp7t549yBA6qP0GnO7O/704N7+PpHr/r1PaS4PPgVF7z3cpQn59NOdB3sP79+7/5BItUMg9/ZpHnce0FTsE40ffnp/b+/Tg717+5/u0VQ+wIv0CVHpIeb23u4+DYs6uPfpLs0K4/vpnsDf3btHk/Xp7sP7BIMYA3Nx79N7BzsHu/f3Hu4+pNf3aDY+ffhg/+DB3oN9+u/hvQO8CTbx3nzQh3aPJGt3vL9Lfe0RROIRmtGHt3+31/BeBOX9h/f7DT+9B+7evxd8Bube2wne7be6h9HSJ/cefHrwgDieGODTA/po7/6nDx4QNYkxHjx8sHc/vTd+sPOQXiDmefjp3u7DezQP92iWwMg0dw/Bu/TRDqmqu1ZXHT2eVMuZ9ysrr1f5ebOn+uujtKpneU1KFi+iSaQhtNytGkIX3qohNOatGkKv3qrh3m0bEsQHt2oIZX6rhvu3bQjbYBvube56d+dWIMXQ3K4p26Nb9c9NbzflYt1u15SN4O2asq28Ha5sUm8HlS3v7aCygb4dVLbjt4N6P2h6gyjt3W5exX+4Vf/c9HbzCockOq38Q1XKXeMq0a89N+qu87GSx3fJeztK/h+BRJf+2QkAAA==</t>
  </si>
  <si>
    <t>FA1FBD5B6C5299D6A86B642AC50E887E</t>
  </si>
  <si>
    <t>JChemExcelH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PUlfpObfL+3/5TP/P/OZaXeSvrbffPlR+m7vs4+274/37j98sPPpwaf7+/f2Pr33abp9b/xw79OdvQcP9unH/qc7NLrtvfH9h3v39g8+3dt58ODT+5/eT7d36c2DTz99uP/w4OH+wf17NFiaqgf3d3Yefrq3d/Dg4f2dfSJG97P7+71X9x72P4v0ud9F7f7Dg0/T3fH+zsGnBwcP9vcfUE/3Hh70P9pP98b0yr1PH1AP9+/dv/9g/9N0nxDD+B4eHNyjce92P9h5eJ/Ya3/n4YO9T3d3d3Yf7n66vxf9qPvip73u9nqf3HvQg/Rp75P76af02r39nft79/boo08PdtMD6uzBzsH+vfv3DvYfPCBWezgm2nxKr9D03ds7ONijTx5+SvOxu08dPSTc7tFb+w/uU9efHty7t3OfCJc+GD/YCT65n5Io3d/Z3TnYeXjv4b3dvYOdB+nu3pg6f/jpg/sHu5/u7t2nT3bGB/c/3f2UvqZJpRHvp7v3xvf39+/Tx/sPaa4//XQPH+3ev7d3//79nYM9moUDBnWPZmePWODe3r37NMlodfCAxrB/nyhDqD7cAw6f7u98+oBAEy0fEFU/Sq/BqJ/S2zvg04cP9u/vEyop8e79T/2PiEG6re71W+31W+2m2w8IE/+jdPsAiASf0NB3D254L/Li7WB9fRToM5Krzmd74/2HnVfvjfcCQvRbkc7qQ4sh1iVgDNXYcPboTwK+9+nD3T36AUAPDnZp5vaIgehLkgrAJibZ33u4t09M8PA+T/TO/sHBp/cOdu7tkoSQpsGLO8SZxIC7B7t7xCcAv0tv7u88uHfw6e7BPRLf7YdkPh6Q/NNbB/fu7+7vA60H9++TqiEGJwG6jyE/HO/tkoySgqJBHTx8cIAe9/HbPqme3QfEm/wJIfOAGj4kmSK+p89I8O99Sl3u3ifW/fTTT/fJity1ZuTo8aRazrxf2a68ys+bPTUtH6VVPctrMoh4EU0iDWEPbtUQZupWDWHMbtUQJu9WDWEYb9UQ5tM23Nvc8OGtIN67bUO22bfqGxZ891YwxQG4FVBueruJZFcibIo24q4cfVfe0782A7ndNIvbcrtRsHdzO6jsBN0OKvtKt4PKLtXtoN4Pmt5E8b3bTbn4crdCgJvebsrZKxyc8m/fbsrFtbxdf+yBfmh/7MLerr/92zdlp/h2BAYCt+MbcbFv1VQ88Vs1BRlv2ZSh3k7jc9Nb8g2GFWp9b+ZuqSru7SPUuBXFuWnUJvAPNXZ3TcBFv/aCsbsuUkse36UY8Cj5fwBk3kWOHw4AAA==</t>
  </si>
  <si>
    <t>FCF37730993C27011602E5B5F791071F</t>
  </si>
  <si>
    <t>JChemExcelG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Mb++5L//2XnE/3to/Td3mcfHYx3Pn24d//h/r39nYf7ewe76YPxvYcP7u/s7e7s7B48eLj78H766Xh/Z//Bg1002D/49OBeuj8+oGf3092HB3v3Dx7s0gf3Pr1//+HOp7v03oOHDw6IuvfuH9zb23lA7fcf7NGwPh0fPNjfe/Dp/d29h/ceEPCUen+4s/Nwb5dAH+zuPPw0fUhw9h/cu7fz4P6newf37+1Tm4f3Pv304ODhzr19+m7nfkqzeu/+g52dew/2Celd6gAf3b+/++mD3QcPdj598IA6TGlu7x/sfXp/5/59IHqf3rs33tnZe/jp/XsPgftDovzD8e6n1NmnB/f3dx8QHgcY2b37Ow/v7zI++zTWe+N7u9SWSETACPnddG98b48webhH5Pn0wd6De+nOmJrv379HCN+n7nfu7abbO+Pdgz0a7qf4Z5cGce9+ur07/pRIdm/v3qcP7t3ffbhzsEfvMu0PqLf9A6L4p/fS3fHB/U8fEs2JPA8OHnxK5NwbH+zTV0T+T/d3D3Z2Pt0DYg/2Dj5Fv0SgB/ce0icEZQcfEV0e7j8gVr2mSb433tsnch3s33t4b/cBzSR3QFOxf+/+wwc79/fv3QM0wvr+w0/3iGIPdnb3iNf2xg8+3bmPIex8un/vwaf79N693b1dmrwHDw/oi937GPouYbV7f4+m6OBgZ+8+Ndshhrl/cHDv4MHBw9196nhnH/S4j/539h/SFwe7mH8a+t4+zeADgnp//9OHPPKd/T2iIk3+7r1Pd/ZA7Ic0FBrSwUMi0Q4wJcrv7j4g4n26S8Mmidgd739KA3lI83xAs767i/eIRnsP7zPVdnd2QS4aMXWyv089HPBk3NslTqJ5IIre29kjEdsG1+xjtAe7D4hNDwTz/Z0H94g7aL4+JQg7PLs0K/dojg6I3WlQBwcY9cMDGuE+RIBYlVCkz2j2D4iV93Z2SQoO7u2AiDQeDxyhSn/4sD6lNjsEhviSBr1HnAMGIBbZJxF7sEPk3yc2ByEIz/2HxPr3dw727++TIrprNdHR40m1nHm/smp6lZ83xBJQTcQdVT3La9KpH0kLUWpH33181/tL/oiDuBeAGGoIHXirhtCUt2oIfXqrhtC6t2q4d9uGUOIfSDgYgVv1xabiVi33bt1SbM8HjkCMlwWyt6k/NL0dn4gpvF1TjCLkFQ/vb99uFLC2IRu9Pwwx2bfDmS377ZqyA3A7+rKfcCuo4k7cCio3dRO8ESo7J7eDyj7MraDe77X0ZuO2XHpw6+7Es/rA/gBjkJ/iMPiH6ui7xtWkX3tu6F3noyaP75L3e5T8P1MCOokZCwAA</t>
  </si>
  <si>
    <t>FA68B201CB9FC6D4DC13218086F5DE21</t>
  </si>
  <si>
    <t>JChemExcel5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2epF+m+HfoP+/bj9J3e0S73fH+zgP636cPdh4+2H/wYC99OD442D04uLd3sPPg3sHDXfrg3s7u/fv39j59cLBz//799GD88N6nnx4cPNy5t3/vU3oZTT7df3Dv3s6D+5/uHdy/9ym12Xm4s/Nwb3f34f7B7s7Dh+mn44MH+3sPPr2/u/fw3oPdg4fpg/G9hw/u7+zt7uzsHjx4uEdN9ncIB3pl72D/4NOD3XSfkCF0Pt19eLB3/+ABPrj36f37D3c+3aW3Hjx8cECTdu8+YUtDOLi3/2CPqEUv3bu/8/D+Ljr+dP/gXnpvfG/34e69h4Tu/R3CYDfdG9N49gnBBw93P32w9+BeujOm5vv3792/t3//wYN7O/d20+2d8e7BHuH8Kf7ZpVHfu59u744/JWzu7d379MG9+7sPdw726N17BGv/gHrbP6ChfHov3R0f3P/0IQ2H6PDggOh7QH0e7NNXNLJP93cPdnY+3QNiD/YOPkW/RNEH9x6CcJ8+3LtPqALi3gFN8jVNFL278/DeQxr6pzsPdunjA3p3Z29n5/7OLg32/oP7hDyNfH//0/t7OzR3RK1P9z8FGjv7ezQkmpbde5/u7DKye/sPd2mMu3v39z99eG8fA71/7+E9AvGQIB/s7j74lJrtExD68wExwf49Qp3HRFO4f+/+wwc79wlD4HBvl3DaAwoE/B4N8sGnO/dBs51P9+8RDiAF9bRLc/7g4QF9s3sfxN4lOuwSVgcPDw529u5/ug/C3qOx0EgeEnXu7ewRNPrs/sE+AB3sPiC+ocEAWeK5e3vEQjsHNMaHOzxTROF7RG/i2oc0joMDDODhAQ1qH5xC/Emjos9oJg+IR/d2dolZDu4RvN3xw30fHA2B/vBhgYw7BObTg/sHDx/uERdgMmm694kTH9B8kAR9+oCIsbe/s0OUAilJmA5IDdy1euDo8aRazrxfWTG8ys+bPdUNH6VVPctrkkq8iCaRhtAgtuHehob7XYhoIUrq6Lvylv61CcT9WyEFbXarhg+6Dd8fKejMW/W1f9uGUMG3asiK+lYtWZeHTd9/pGIQbtXfg1u3FAszhNm3b4kZm6jb9ceW7HZN2eDdirnFLt4OKpvP20FF09uxghjjWzUVm32rppjx2za9f+um4jB8IDMeiMPxPjD4hyq8u8Zrol97HtVd524lj++SI3eU/D91jvYp5AkAAA==</t>
  </si>
  <si>
    <t>1D43CADFA2D9EE06A2FCB36EEF8955C9</t>
  </si>
  <si>
    <t>JChemExcelj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FP+9oP9/mcrv5r8X/OlJ+VH6bu+zj7b3xg/u7zzYvbd7cPDgwc69vfvp9u54f5d+3d/59NOH+3t7Bw/30m0iwcG9e/f3H+7f393d37u/f2+/3/Dgfr/hHjXcHe/dJ9DU+FPq6cHB3oN+u92HsWbdj/YjL+7d62Py6YP+Z7FO9z+NdNH75H66N75/sL9DHz48uL+/e7CXfjp+8Kn/wUfpNVHz/vj+vf17D/Yf6vMg3Uc775OHqba5v6PPbnpvvLcXttkb798PPjkwjexrOw/SnfHD3aAVPtrdD4DvMyHuPbz/6Z5td/BpStO++6n/2cN+MwfOfQRWuDd+sNN5dX+8/6Dz0afjnd2gU3z04CD8iOaDxOCulYOjx5NqOfN+ZcF4lZ83eyobH6VVPctrEmC8iCaRhpCg2zbcv1VDSOOtGkJmbcO9zQ0f3Aoi5P9WEKElbgWRdcmtQIrKuRVQ0Uy3gvogaLkRKPq/3VSKRrxdU1act2vK+jXWlH8op9412p1+7Wn+u84sJI/vksE5Sv4fo54cUIwGAAA=</t>
  </si>
  <si>
    <t>4AE0D39443F73D331047CD4CA93373B2</t>
  </si>
  <si>
    <t>JChemExcelA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Mp/X+pP/+8vg0/t7x+l7/Y+++hgvPPpw737D/fv7e883N872E0fjO89fHB/Z293Z2f34MHD3Yf300/H+zv7Dx7sosH+wacH99L98QE9u5/uPjzYu3/wYDe9Nz54+OnOwac7BIba0Sf743uf3r//cOfTXYL04OGDA6L3vfsH9/Z2HhCE/Qd7NNBPxwcP9vcefHp/d+/hvQfUXUr4PNzZebi3S0AOdncefpo+JDj7D+7d23lw/9O9g/v39qnNw3uffnpw8HDn3j59t3M/pXm+d//Bzs69B/vonzrAR/fv7376YPfBg51PHzygDlOa7fsHe5/e37l/H6jfp/fujXd29h5+ev/eQ4zmIc3Fw/Hup9TZpwf393cfEB4HGOu9+zsP7+8yPvs0+nvje7vUlohGwAj53XRvfG+PMHm4RwT79MHeg3vpzpia79+/Rwjfp+537u2m2zvj3YM9Gu6n+GeXBnHvfrq9O/6UiHhv796nD+7d3324c7BH7/JsEEX39w9oDj69l+6OD+5/+pBmgcjz4ODBp0TOvfHBPn1FE/Lp/u7Bzs6ne0DswR4m4T4I9ODew4/Sa5rke+O9fSLOwf69h/d2H9BMMjgi/P69+w8f7Nzfv3cP7xKO9x9+ukf0ebCzu0e8tjd+8OnOfSC88+n+vQef7lMjmifqlkh7f+dg//4+Qbq3u7dLk/fg4QE13b2Poe8SVrv392iKDg529u7TizvEQvcPDu4dPDh4uLtPqOzsgx73gdHO/kP64mAX809D39unGXxAUO/vf/qQR76zv0dUpMnfvffpzh6I/ZBYjFjt4CGRaAe4E+V3dx8Q8T7dpWGTjOyO9z+loT2keT6gWd/dxXtEo72H95lquztg2ntEA+pkf596OODJuLdLnETzQBS9t7NHQrcNrtnH+A92HxCbHgjm+zsP7hF30Hx9ShB2eHZpVu7RHB0Qu9OgDg4w6ocHNMJ9iACxKqFIn9HsHxAr7+3skhQc3NsBEWk8HjhClf7wYX1KbXYIDPElDXqPOAcMQCyyTyL2YIfIv09sTorortVER48n1XLm/cqq6VV+3hBLQDWRIqvqWV6TTv1IWohSO/ru47veX/JHHMS9AMRQQ+jAWzWEprQN9zY0/LQL8f2xhz6+FVLQ2rdquHfbhjACH4g9G5FbdSa25lZN927dUozXB45BrN+t5pub3o6HxJberilG8enQKL59u1HAXIeM9P4wxObfDmd2DW7XlD2IW9FXHI1bQRV/5HZQ0fR2KkK8m9tBZSfoVlA/vXVLptXtmhoH7H14n3+oKr5rPEr6tedt3nWuaPL4Ljm5R8n/A4CaOVcACwAA</t>
  </si>
  <si>
    <t>665BEB725225727C6281C2EEC5A73717</t>
  </si>
  <si>
    <t>JChemExcelZ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a/F/Sf++sk/dL75sv0Jf1f/tPfPkrf7X320fbu+GDv/s69/fsHDx58uv/pg4N7ae+zT++n2/fGu/Tn7r0HOw/vP9x7sEtIbu+P9x/u3Xu4d3Bvd39v58H+Qbp9n179dOfB7sP79/b2Dx4cUKsH9ObDB/d3dx7c33nw6cHuAUHboTd3792/v//p/Yf3Pv10f+cg3Rkf7O/d27v36f37B/Tdw3u7sY/2xrsPPt3Z2XtAz+7DfSLLvfH9nYcA+/Dh/f0H+4Rv7KPOe/d2Pk33Cfq9e5/u7uzRqO7vPyS8Ih/1O+xgdfDw0/549u9FPqR5JI68F/Tw8LYf0ZwcuI/upwfjg50AVcJrh/+/N97b29nf/3SHJodmcffe6TZx2u74/j5m9v7+R+k1Jn5n/GDv4f6De5/SaHZ37u99+hAj49/u7d5/cEDf0WDphQP/I5mVoNW9+/1Wn/Za7fcaCSm7HfbxAtZEAv+j+7FmPbx2Y112P9onbtnd6yBP3L5zz4d+/wE+O9gJPtvrt7vXR/begZCd+gEH7e7t7tOM3TvYP6B5eeDmZeeAZO3g/qc0l/eJ1XnS4q9sPxw//NTvggAcjPcDctBHnxLH3Nyq9xGpt7tWvx09nlTLmfcrK7xX+Xmzpzrvo7SqZ3lNihkvokmkITTjrRpCf96qIbTsrRpCF9+qIeH44FYNoddv1RDa3zbc29CQbcStQIopuRVQsTi3g8qG6VZQD4KWNwK93WSKQbxdUxDgdhMq5vVWoxIrfDuobKxvBfVh0HIj77Hlv11TdhBu1T83vd1kcdPbTZZ4JLdryo7L7XBF09vNADeN0pV/qLK6axw3+rXn1N11Hl/y+C75kkfJ/wOh8vtUZwoAAA==</t>
  </si>
  <si>
    <t>DE363F01E282DD9734FD5D48F2B92E0F</t>
  </si>
  <si>
    <t>JChemExcelV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99mb4I/jb/4dMv05OP0nd7n320vT8+2Pv03t7OwYOD3Qe7Dz+9n9JHO/f9jx7QZ3vj+7vdz3bHD/b9zz79tN8On/Xgpds7472doNn+QbozplafPni4u7d7sHewc+/ep72P9j5N92jG/I926ZODB/4nO/vp/nh/1/to7yEm8sD/hMb56fjBXuejB+P9h/5HD3qNDnqQHnZ7u9fDqIv03sP73aHtPTzoUeUB/dUn1cG9Bx+l15i6XcJk79P93QcEaf/ew737gLp7n7qi3u/vH+zv7hw87H/2EF313r3XnzsiZO+z3cirB/0u7sVefdD/jCZ0+974YP+h9xzci3zWfzWCMHrovgmG7kzZvb3+R4TvpwTtwb37B3v7NIxPdz496H/0IAJsPwq/92YEM1ISd62WOHo8qZYz71dWG6/y82ZPNcdHaVXP8prUG15Ek0hD6JdbNYQWulVD6KpbNYRGu1XD3ds2pK4f3Koh1KhtuLe54cNbQWSVfKuWorlv15QV/O2ash241ZjEXNwOKluV20Fl43M7qGyjbgd1L2i6ESpbvds1ZeN4u6ZsQ2/XdPfWTcUq364pG+9bEYub3k6aHw615B+qVe4aP4V+7fkwd52Dkzy+S67TUfL/AE6B3+lWCQAA</t>
  </si>
  <si>
    <t>F9232C8400F9A5C6EF94B5EB8A23D284</t>
  </si>
  <si>
    <t>JChemExcelp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fpl/r/7n8v9OeX9rfwvy/xVvlR+m7vs4+2Px0f7O0cPHhwf3fn4ac7B/f20+3743s7B5/uPbh/b/fTvfv7O5+m2/v00c4+ff/g4MG9+7uE/vbe+MHBwd7uzsHDh/cePvz04f6n+GzvYH+X3nyw9/D+/v37e+n2LjWjV/f39j+9v/Nwf+fh/Wize+MHDz+9R2jc39sjiA8eRvu8Pz6g16jP+wc7D3bu7z9ICX/C8sHD/d2D/fu79z992Ef/fh/6wQE+23u4t/dwf2/v/sH+/sE9Qn9nvPfpA4JF/+4+uPfwgGaLPrr3Kb2zc/8hdbz76c6ne2j34MEuaPbw3qe7D3f3CA8a5v7B/XsPd+4dUJv7hHFKo7y/9+kevX9/5/4uf/Dg/qeE9qcPd/cffkpN+m12HqSE16c7D6jHXWCyQ9wTeY8G9On+wYO9e/v79w4e7N5/cJ8Yf4+wIlB79x5gTPjkAZGL3rtPUB48IN7aJ8TvEYpEAmpM70be2qf+Dx7eR48H94hAD3tv9XrfTz+lGb2/d3Dw8MGnn+7uHXxK+JCY0pR7nx18lF6D4/bG9+7RhBJBiVY0UTv3wBFE5HsHB/c/PaDJfUCiQIyz/+n+3v0HD4nAoMyn+8xMNIUPdz69d3+fOie8eR53d/bv36N37+8SLx5gfu4/xFzt3MeHDx+ShO2MDz7d39lhlth9SKxBCI5379/fuUes9OmDe59+eo86IDR2dwjIzt6Dg7293U936ROaiD2wGOH5cI8GROS4d//Tew/3Dx7ew9Q/JBreJyoTq336kPrf28En4KyHeweE/wMCeR8ke7B/b49EjFoRXkAS4kNchc7u7Tx8sA8yhKTh4dHs7R/QHO48uPdgZ38vSqz9MU3WfeKgg4e7NJ0ieH36kebceUhS+ODBzu49anyPhnQLOtx/uN8fwL0xCQ39jU8e3NunGd8b7+wd7GIENAsPHt7fiZK9NzvEzredWCL9g32I6717NH6ahj597t+nTndIed+12vvo8aRazrxfWZ2/ys+bPdXoH6VVPctrskN4EU0iDaGGb9UQ1uFWDWFDbMO9zQ0/vRVE2KNbNYTVulVD2LZbNWQLeKvRiKG8FVCxp7eDymb3dlDZOt8K6sOg5Q2k33WziZZoIh7F0bflNf1rGDF2F27VnXgVH9ofgNyOD8R7uRXN0HTPscJGmWJf6HZN2WW6XVP2rG6Fqzhgt4PKftrtoLI7dzuo7PXdDupe0HQjVPYjb9eU3c3bNd25fVN2YIfY87u3Y0/xgG9FG24a5Q7+ocr/rvH76ddeTHDXBQzJ47sUihwl/w9K8SQCpgwAAA==</t>
  </si>
  <si>
    <t>6E92E159395470E51B96E6A7A620F171</t>
  </si>
  <si>
    <t>JChemExcelG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Lwvxf0/y/1p/lX/vvS+13+ov+X9L+P0nd7n320fTDev7e39/Dewc7e/b37n+7vp72P9tLtB+Odhwef7u5/erDz6cMHn+7c738UeTHdfjh+8On9hw/2Hu7t37t/79MHkY8O0u379NH+w3v3798/OPj04f1PH/Q+erCbbu8T9F2AvfdgZ3+XXu1/RC/eI7Qe3H/w4N7u/b3de/d36MVdgnXv4OHB7sN79w7u73+6T8126M2dvd2HOw92799/QGinO+OHO/f2P93Zub+z92AH4+l9ctB7b+/hQRT+3njv3oPdew93H+yBSveo2b3x/Qc7B7sHRJ+He58SKT5N96mD/f2HDwj1B/f3aYyf0msHu0Sfew/uH+yhyQN6a/fg/n0i2f7uDhHrgN65f//e/oODXWp7QJxG/L9HIKm3nXs7n356cD/ySf+tDuAHD+/3et/vIrjTHwWRfJdmYdfrbf8hUW7no/Sa2Ove+MHefWKQ/fu7n+7uEY2IMtSr98nDdJded5883CGBITLv7hHQe/f3D+4dPMCM7uLDg4f+hw8fdBvu7uzSOEKA1On9/rtdRB7u7PUQudfH49NP93ov3tvvv7nfa9VvtN9Df+fh/sF+H9f7A4j0Gu7zy2HDew8jo/+ghlEc0XCPZCP47D7EcW8n+KzfDILcbUbKsddut0fBT8Fo6Tbx7UHQB+nuu1Z5Hz2eVMuZ9ytr81f5ebOnCv2jtKpneU1WBy+iSaQhtLBtuLehIYzDrSDChNwKIgzNrSDCHN0K4p7f8AYcD27VkEb98FYN2VLeqqUY1FuNh5vebh7FPN+uKVvx2zVlY3+7puwT3K4puw63a8oexu2a3rt9UyBwu3kV1+ZWTcUDul1TdpRu15T9qds1ZbfrVpwl3tntoLITdzuo7OvdDiq7hLeDei9ouhEqO5m3a8q+6O2asssaa8o/VAffNc42/dpzxO86Lz15fJf8/6Pk/wFGJalQGwwAAA==</t>
  </si>
  <si>
    <t>690BBC8B3AAFC082B49872EE4184FFCC</t>
  </si>
  <si>
    <t>JChemExcelF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ql/r/73wv9+aX9zf33ZfrlR+m7vc8+2v6UiPPw/sP7e7sHD3fu3//0Qbq9P/5058G9/ft79x7ef7BDOG/fG99/+HD3wcH9g08/ffDwgJql23vjnYNPH+4dcNv9/b0Darc7vn9Av9zfO9g5eIjvdvHZzoODB59SJ/v79/d39+992m93/wH62Hl4n/639+nO3r39B0SuaLeYzF3q7f6nn+7sEgB88unu/fu7hP/e/qc7+0S/7gjuRcBjAPcf7u7Q6O/de3Dw8P6nDz9Nd8b79+7tHxzs7NE/u3sH9/DRw3sP7hM693fv7X26v3f/YbpN3PZgh2h2jzD49N7B/Yf3HqZ74/39hwd7u/fu7Xz66e7B/Xv0CbV4uLP/Kb298+lD6iG9N96/TwOh/927TxSnV+mj3Z2DBw/2du7f+3T305376e744f7+p0SoB58+oP/f2wGk+/v3HuwRXgTkUyLDXroPqu7u3qcX71EPD+/RJ/t7D+7d2/30/s7ewd6nB8Q/9zHC/U/39vYe7BKBdvAakfveg/2DhzTQvd0HaPMA+Bzs3fv0Hs0SUZI+2tm/d0DPDkEiCh2kD8b39h4QIYkZ7hOk+3sfpddgHiL9/s6DvYcPDvZ3DvZ3Hz7EbDy8t/vg0z2aIiLPPRoQzQYN5dN7RBSafRrFfbTawaQSye5/uv8Q7306JgIfUC+7nz4g4lBHmDPC8/69ew93D2iwNJP7mLX9ezQjRNAHNGM7+8KKu/sH9+4dEA33aSoJJczRp0CEPicmuLe/Cxaj6d3ZI+bZpckFQtSeyE3/0qc79/Ye7jykbx8QuYkyNMxPdx4+eEDtiAtoUvY+BYuB+jv3idDglQc0H/cfEPM/uE+k+hQj3QWXfkoz9PDhwacPeKQ+ifYw0IOdfZKae58yN5JcRIlGJId4gTz0ywFJf4yO98Z7nz54sP+QZIKa0twRLYhFSbr27xP3frr36acYNvo+gBwRF1DbA3z28MHeHkb+kDCh8RwwaR8QU94nwu7tkpw8ZMnfP9ihVvt7RKI9ou0+8Dh4SGL7gKhG4kWigkGBme6D8z/dI94B/oQPCfYDmlOauYNP0Ujmcec+GPfezgPSp3etQj16PKmWM+9X1rCv8vNmT5XsR2lVz/KaTANeRJNIQ6jiWzWEwr5VQ6h123Bvc8NPbwURJuJWDWFIbtUQ5uZWDdko3Wo0YrtuBVRM3O2gsiW8HVQ2mLeC+jBoeQPpd91soiWaiJE/+ra8pn8NI8YW/FbdiaH/0P4A5HZ8IA7FrWiGpnuOFTbK1G6vqYf3d283CvFvbtcfu0G3a8re0u2aslN1u6a7t2/KbtqH0ob9vNv1t3P7puw5fihq7HreiqPQ9F6Uo/iHqva7xtGmX3tO+F3noSeP75Lvf5T8P+Ic+zAXDAAA</t>
  </si>
  <si>
    <t>59F4157042F28B13192250814BEA5705</t>
  </si>
  <si>
    <t>JChemExcelW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j0RYr/41/570v+/5f688VH6bu9zz66N77/cHdvd+/evf3dnd3dnfv303s0wPv39j7d/XTvwaf3Pj14kO6O7z/wP/n0Pn208/Dh/r2HDx/u7u99uvfpg910b3xvP2jV++T+g957DCqEvn+vhwKQCvHc/zTdH+/s7dzfvb9/f3fv4f7Owz1qdO/h/i412Nt5eP/BvfsP053xpw92djGIfXp178H+/XR7Z3zv0/u7Bw929u99+unB3qcPH/SaHdwjrPYeUrPdezv79x/sUJd7ePPgU6B9sL//6b17B5/u3f8ovSYibu+NHxzs3j/4dH9vd//eg09pBNv74739T/d2iQCf0kh2HzzsfXSQ9t+jF3fHBzTmhw927+093Hmwd2+fO753z//s3gGhfJ/Qfbi3e//+p3v3dh/sE7V3QJ2Hu9Rk98GDXcxI+Mle7y2e7r0HD+/t3L/3KVHzPvVAhKXJ2yUcQZ79B/cedNvsPbxHkIjiD3fuPzzY3zvABN7fT7fvj/cfEu0f0rQdfPrw/sOHRO5PxwcPD+j3T2k+79G399Hs3j0i6P0HD/dp2Pu7JE2P71pZOHo8qZYz71cWjlf5ebOn8vFRWtWzvP7soz28iCaRhpAi23B3Q0PI2q0gQiJvBXH3tg0/7TZEC9ERR9+Vt/SvTSAe3KovqJFbNYSyuVVDVkm3avnprVsC5u4HkkR05K26O4AmHeru27fr7gE08QfCgDa/HcuIwr8Vv3LTKHPwD5Wwu8ZU0a89M3bX2bjk8V2ynkfJ/wN+inOUWQcAAA==</t>
  </si>
  <si>
    <t>0C752302C9363F484CA7064A20B04BAA</t>
  </si>
  <si>
    <t>JChemExcel2R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v2P0rzMMfo316uciJn6/33J/3/Bv78OvsF/L3qfyDvuc7z/mv6l/z5K3+1h/j7d/fShex7cS2mWHgQf7afbO+NPH97bcQ+RantvvHcv+Iza3Rvv7HQ/i7Xrwdvnbh/4H32610Pl4OB+2sX44EEUve6rD3di7QbQ6w0j0kxbpdv74/s0e9v3x/d27V9dJB+me+N7B+En/TZdEuw8/FRw3vObfSrI+J8dCDJBs36rh0qB4LODfq/3dxm3BxGc740f7oWf7BPAYDr4Ex/eHr/lf0KCcH+89+nOpw8e7u7tHuwd7JAY7I3vP7x3b2/n4MHB7oPdh59+ep/e273vv3e/h9HBXkpa5UEA6nafEKSd4JOH4709/4O9j9JrEpDtT8c7nx7s7VP3+/d2H9y/T0TsfvQQ0/7g3v79T3cO6PODh/dJLcQ+6rz4KTHRg/H+zu5D+m/v0919AvXpp/HPDgga/UpvPyAh/ZR0C005QTogatHQqOHD/ifg+T3q88Hezt6n9w4O7hFCLH0P7t27v3fv/i5R9/7+7kMI/afE0/cJ3f2DPer2094n9+/3XtzbZcHowY+h0Ue2+2IEPvFOH9kHEWR3x8Q7B/f2H+wR3+x8Sm37H90jftr79AH9crB/sP/g4NMDZrHwo/tg353dXRKSB6QCgOB9YtaH9/YP6NeHe7sE8P6nvU8e9F7b632y2++/98n+QRfvfWrVgUS2qNv//fTT8YMd/5N7MKifBjjeTx9Qdwf37xOL33v46d4DmvfeLBCr7ZIKI8wePAAH7u7v3nsA/E63maiYX/qXxJSA3//0/v7D+/ce3qMvP42/Qtb4rjXHR48n1XLm/cr2+VV+3uypif4orepZXpNhwotoEmkIu2ob7m1oCKN6K4hwCm4FEa7DrSDCwbgVxD2/4SaI8Fdu1ZBG/fBWDdn3uRWSaLl7K5jsRIVN0UYctKPvynv612Ygboo39scO2+2asl93u6bs/t2KNOIl3g4qO5O3g8o+5+2gsmt6O6j3g6Y3zePe7aZcfOLbNWXX+XZN2cO+XVN2xG/XlP31D2RPcfhv1x/HBbdryuHD7ZpylHG7pvdv3VTilg+kjQQ+t+oPM3zLphJKfShqHIvdSlC46e04SiK72zXlAPD2TW/HN9z0lnyDaDNkhvcno4Sst+pPIttbUZyb3m5yuGl0cviHuhd3TaqAfu2lEe66HEPy+C5lL46S/wfAA6Wm2RAAAA==</t>
  </si>
  <si>
    <t>1A02CFD2C24C2ABD2C5101FB7EE8CBBD</t>
  </si>
  <si>
    <t>JChemExcel4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xr/70V6Un6Uvtv77KPt3fGDvZ2Dhw/2HjzY33+wc//g03R7Z3zv4MHepzv79+5/urv3YP/+vQf64b39/YcPd+8/eHh/b2c/xcuf7uw83P30/sHe/qe79BLaPdzb3dt1n+1GP9sZ79/ffbC3++mD+zv09/6ne9Eudsf0xsG+a3Yv9lEEGHV5cP8B/b1zsE+AHjx8gI/2P93/dOfhp3u7Bwf39vf200/HOzsBrI/Sa1Blb0zwdjG0B7v37xPgezxYItDeg08f7jzY2fmUPgfGezvy2b2dvd2H93d2hQI71M3uzt6n9+jlg3tA8P6DnU/37n+6v3Nvd/fewb1PaRgPPyUE9+7tfPrwwcHOfRrs3vjTT+/d23et7lMrQnV3lybo3qc0P7ufPoy9GAFPWOzuffpw36BGRH0QRY3H+unD+/s0MQ9pdojwBG+HmPGu5cajx5NqOfN+ZfZ8lZ83e8qhH6VVPctrEiO8iCaRhuDjWzUEt9+qIWTiVg0hHbdDEgJ2q4YQw1s1ZDG9XecE8+GtGt6H5N+qpSiJWzVllXKrlvduO3ZorFs1ZBUWa8k/lPXuGqVJv/YU6l2nbZPHd0mPHyX/D1JSQeDjBQAA</t>
  </si>
  <si>
    <t>F64B251E95A5C0C41AC87DB94979759F</t>
  </si>
  <si>
    <t>JChemExcelw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vFfy9S+fml/gz/o0/Lj9J3e599tP1g/ODh7v7Dewe7nz58eP/ep7vp9qfj/fsPDnb3P314f/fTB/f27kc/Ikrs7e/eu3//wb179x7uPSTktu8RsJ39+5/u39+9v7u7d//+Qbq9R69++uABvfTw04N7e3t76fYuvXpv5+HB3s6Dg/v3dw8+TXfGe7s79w92Hu7ee/hg72D/IeGxO76/v7/36c7OPfpi5+Dg3qexj/bGBw8ePLxH3T/4dO/g4e6D++k+Adv9dPdg78FD6vrh/dgn9wnS/b2HD/Z3dtHdwcPIJ/23Op3t7ca6j4z44fjBXgD7o/QaxN8Z3/t0/8G9Tw/2Mfy9T+89IErs828E8OAhvtt7QMMmBPzPaJJ6rzIVO+/u3O833O8324+Au9cH94DAdVHZPyASPNgNwPXxjcCiYfU63QEm9PJO+CEo+ukD/zMSgF67vU/7APcwHd2G+3uEzQ4J5F0rkUePJ9Vy5v3KIvoqP2/2VEo/Sqt6ltekSvAimkQaQpZv23D/Vg2hF27VENrjVg2hY27VEJroVg2hr27VkLWabbm3oaUov1sBFR15O6isSm8HlTXu7aCyYr4dVNbft4PKav52UNka3A7qvaDpTZN1u5bANMoA/EOF6q4xifRrz1zedbY0eXyXrPRR8v8AgnKWbcEHAAA=</t>
  </si>
  <si>
    <t>B513BE207FFC84F22FE72467FABEF695</t>
  </si>
  <si>
    <t>JChemExcelE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gv++pP9O+P/mX/Pfk/qj9N3eZx9t740PDu7v7u/s7+/dP7j/YP9hSh/tPPx078G9+w/u7366f+/ew3vpNtF0/+HB3s7e/u7Bvd2dnU/TnfGnB/TVwwf3D3Y/PXj4cP8effRwf/fh7r2dh7v3d/bu7T24n24Tffd2P/3UvbhLuBO4g3v37++4T/fQ7cHO/YcHwWe74/2DhwcPqOeDe9TJ/fv80f3796iXg4c79z/dp87T3fGDXXr1AeHy4MHD3Yf3DoDKvYd4aefg3v7+PcIBqHy6s/Ng9z7G9OkDgvIQb+48ePjpwf7DvU/3dmkc99N74719+ujBA3rt3h59fj/dH+/QEO5Tk4NPd6ibPQZPn+zv7t3fPSBafXqPQd0nYu3sPNz/9N7u/i7T494+jefTfSLcwR51IkgQqvsEiOh3f+dgH0O6Rx/cf7hPOH+6c+/BvXvS7t69/fu7hMDe/f2DnYP0YLz7MEDjo/SapvD++OH9B7t7B7sHuzv7D3Yf7BO+n9Kbe/TqzsEOwdulQR3s3qNOqA/83NnHJ/t792jwe9T1A3Sa7o3v0Xw/DBoRTR7c2/gJjfuAyO8AfUqA7h98+uBgj4j8cGf34c49TBFwoykk3nh4n1hkH9QhhroPqj289+ABTRoNGhT5dO/efZq0h7u7ew/5M6ILsefezqf3Hj58+CkTjGZq7+HDA5qF/fvUt372KRFhZ48+IjYkVrkH3tu7f//+p0Q2msJd+Wz3YI94ZGd3594usQh9tk/dEpmJDYg5HxyA3++jh/sPPt3bP/h0d//Bvn60v0PcvnufGJUmgV/cJ1GhQdzHfH4q4IkKYKW9PZqTXRrmDqmDu1YfHD2eVMuZ9ysriFf5ebOnOuKjtKpneU2KDC+iSaQhNMmtGkLf3KohtNKtGkJ33aohNNytGu7dtiEU5q0aQq3equG92zZkLX2rlge3bgkNv3urlmIcbteUbYhtundT09txh1ik2zVlw3W7poB6u6kXM3i7YbG1vB1UNqq3giq291ZQxUTfCiqG5TX1oPIP1RN3jY9Bv/b8j7vOOUke3yW35yj5fwCvbVkcEgkAAA==</t>
  </si>
  <si>
    <t>829798F2FBA340FA17C8924D2C396962</t>
  </si>
  <si>
    <t>JChemExcelH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J+mX6esUP+W/L73f4/99iTYfpe/2PvvowXj33v693fu7ewc7Dw7uPbifPhgf7D7Y2f30/qcPdx8c3N/ZTx+O792/d3CPnt17Dx4Shp+OH36693Bnd2+fXqJP8NKn+/c/3dn79AAv7dy/d5/e2j3Y2999uH+f3jp4cP+APjn4lDraOXi4t//g4ODg05RmZH9n9+G9B5/e3//0wcP7D9PdvfHOwf6n9x7uPLxPoB9Qb7v3xp/u7e7fv39w/8HDg539vYd4b+/ezv29ew8e4L3dfSD5KcHZeQCsHhzs30N3O7u7Ozv37z8AAvd2HhKW+w/2d6nnHcLyAaFLI8HbBw/ufYqR0LfEJnvAZefTnfsHDz598OlBuj/ee/jw4OD+/r17Ow/o7U/vp3vjg/v3PwUu9/b27u3vH9yjjzDyhw8Odu/t7T6kqd6noVHn9/cO9qmv3YOHBHrn4N7e/U8f7AH0PZr2T2lkOzsP7u0foPsdmvB74wOajXs7nz6gSXj4cOfgfko0und/b3/n3v7up9T8frozvn+wu7t3f4f++HR3/8HOPWpDJH+4C1re+/RTNKePdncf3j/YJ4Tufbr7YO/BA+B4QDS5v7dDOO7TyNOD8S6N4+EOgD148ODeR+k1McX2Hr27t0sTQK2ILKDv9s74wb3dBwT53t4BkXpn/wCffXpv7wFRhJDeOdgjrIHc/sNPqcXDh4C48ykGQM13Hu7tEdYHhPqnoNYOMRD9TtOyT4y2v0cj38fvNMo9Iq7Q4j7xwt7DvU/3Pt39lBhnn4hKs3dwb//+/j5hskessE9jIo7bufdwn967R699OibS7T249/DBp0RFYsFP6SOauXs7B7t7n4JI+wD0KbHYDk3O/R2i471P6RMi4MN7hDiITbxE/e8RsWjQREEa9B4+Ad1puERimqC9h6D8Q2KDTx8Q+R8Skx8wmYn9CACJB2G6c2+X3ntIPPDg4UOi6e4+AQUChDExyB7x+e4B0ZjYg0i9v7tDZKcB08TfHxNjkmzs02AOHjzcl48wVXvUgjhvn5iBiPTp7r37+zT/xDD7D3cxEqLag4f3Hn5K8vvpfWbznfu7OxA7kiMwLInCfQK9//DhPqZmfxeg7+9SV8Sb98CmO0CI5O8efQQ+oFE+IM1316q+o8eTajnzfmVd+Co/b/ZUHX6UVvUsr0mJ40U0iTSE0rQN9zY33L8VxPvdhmghCvzou/KW/rUJxKe36gtq/lYNYQxuNUyYjFtBZMNyK5BouXsrmGKlbteUjdmtmj64dUuxjrdrykb0Vk3v37qlWOUPZB4x60NAvn1LIOwX3A5pdh9u15S9jNs1/fTWTcVvuV1Tdm9u1RQT3Gn6/mRk1ELee38gTLXbcaW4bLdryp7d7ZqyA3grWeemt+Sbh72mX4M28FND5rsRCP9Qw3HXONz0a88Zv+s89eTxXYoBjpL/B8BQ/zgfDAAA</t>
  </si>
  <si>
    <t>6153CAB12DE2E7C2E0558E6B56B62B18</t>
  </si>
  <si>
    <t>JChemExcelYB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f79j9K8zDHYN9ernGiXmv++pP/cX/L3C/r5gv7zf/NbSCv51vz+Wn5+lL7b++yje+MH+5/Ss/dwZ+/Bwb1PD9K98d7B3s69h3v37+8e3Du4t/MgpTm99+nu/Xs79Pf+p/u7RITtnfHezsMH9+izB/sPd3d2Pj24l9Jnn3ba7Y4PdoKPPsWrn957SBD3dvbprYcPqVP6bGcXLz94sH9v/8Hep/v3P71PLxMKD3d2H+7v3999SB3tE3a7+/f3Hnx678H+wf1PP2Xk9vZ3CIudg0/v7X1KzbiHvYe7+w8+pU/u7+883KdZpM8e7j44uL+78+newYMHnz6gGdneG+/v07f7Dw52CfgBTfz27nj3IdHj/sO93Z0Hu/fuE0PQGD79dJ9GscuE2nt4n0b68NPdvQd7e3sHu9TH7sEBkD14QM0+vU8Dfbi3/3APfd5/sANUHu48uLf/6R5xzL3xpw8+PSCMH957sEejeEhD2qcRPNzdI2Le39k7IBa5N354nwiw/5CGTZgRk+0T9D0Cde9gj4a0e/8BfXLw6c7BPt7dpwHcY9w/JfJ9SpTcu39w//4+MR999vDh/v19UH6fhviQmHn73nj/PsHd3cXMPNzf+/QBPnvw4OE9mvNP6SMi0P19kOfTezS5e7v39nc/vXefBgny0IgO7u88fLjz6cOd+zxI+nOX/nt4HyxBrMPTSSjs7+18Spjdo5m5d4+nhYiws0eztvvpw3t7uyR01AcNdYeoee9gZ4/GR83u04wSDnt7Ozv7D+/dI7Hc3h9/Chbc3324RxzyKSbq0zHx3B6Ni/j204c0OWC/gx0a072de3sPHhI6mLqdT/d3CL+De/epbyI9ffSA5pZIQfTYpTkgfiE9dK9Dy1t+RNTd8T+6nx6MaZ68T+59lF7vQS0+oAm9d//Bw4dEUKIcMy7Jxv5D4sf7D4ind8AKuwf3SVIwOTv3iXb3e61ARZLLh0SGnU+JPUhoHtwf+HCXOIvkgXp9AGE5IIIQvUnKifOInT6l/x7u8mcPHz749OEDmuUdmrUHD0Bwwv/+feK9nQNC4GAP0/LpfRrTPYjGpzRn/BFxFHH7A2J9mmJMy/6YGn9KfEBsRFJKgyLWwht4b+f+vd37ezJ7JIDEbg/v7ew8IOGAND4Y79x/QJN3/yFxBwkqvXowpr9JB5DIkLTdh/Z4OCbaEGM8oKb7xJr30Gp3f29vl4Dtk2Tdu8f4E7mpNxIWwgZkwwzsHuzu7tG0kGzfJ1aAcJAUE3uQArh/b28f7HxvfI80wD6xDIk6EZ11HQn+wUNSRZ9SO8IE0xLMJ1GBhJboeXBwj2ATYg/u79ynjx7cI6XwEAoLrPkwBW/fJ8G7T4B2d8iKfDqmpjRBD6AkSTPtUhMCCo4mISAdcH8X0k+ScY+Y6t4BGPnhLr1Gmplo+Sm9ef+AtAcxHsnYPqFD83WA4aQPxjQs0uM7pGjvEYA9gKahEznu79E0k4bdG5PeJOVM9KMppE8J5d0DErP9e7v3oMSIoPTRfQznYPfg0z0yBw929qF87kNbPQTlSJ1FGxF57+MLGhuUCKSNjMDB6fYumP++NNiB0jwQZXfv4T368tP4K2TW71q7fvR4Ui1n3q9s6F/l582e2vqP0qqe5TVJHl5Ek0hDGOhbNYR1vlVDeBe3aggf5FYN927bkCA+uFVDOD63agj36FYN2Ym6VUvxtW7XlF2y2zVlz+1WTQ9u3VJcwds1Rf+3m3ce1e0mVPxP23RvU1N2U28HFU1vN62YrL3bzSvc49tNq3jQtxqVONq3g4qmt5ss9tpv1VKc+9s15Rjgdk05VLhdU44obteUA49bNZX45FZNMaxbNmWotxNXCYxu1ZSHdbt5BbHu3XJiEYXdbmIlaLtdU4R2t2vJEeCtZACW53bTKqHk7ZpyxHmr/rmpm4Abm0YngH+otb5rInb6tRfN33WhfvL4LiURjpL/B/YNlbpgEAAA</t>
  </si>
  <si>
    <t>AA9D70A1220F3E9B652878110545F6D5</t>
  </si>
  <si>
    <t>JChemExcel4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R9Yf//Ov2S/jvx/nvxUfpu77OP9sc7O7s79x7c+/T+/sH+7s5+ujf+9NMH9+4f7O3TZ5/ufPqw98nBQdp77T6R4d69/Qe7n+4fPLi3u7d772Hkk+5rvbf299JPidz+J7v01v1P/U/uUZtPPz2495CQebi7v7P74GH/k/vpAXW2t/Ng/8G9nYefHuwRlR5SZ/cf3L93cH/vwcNP9+53P9g/6L10L6XJ//TTh/v39h4+2KcmewcHH6XXRLntT8cP9x56z0FKH+3e9z96mG7vjz/d7Xx0b3yw739C9Ow1iwCjj/bGhJb/0YN0e3d8f3/Hf+6hHZHq0wcPiVoHewc79z5Nt3fGezuf3tvbOXhwsPtg9+Gn9w7w2YMH/pu7Byl99Knfw6f3U+rgnv/R/f1eq/0+rPuf9lEjPLrAdg9IDO5aOTh6PKmWM+9XFoxX+Xmzp7LxUVrVs7z+7KM9vIgmkYaQINtwd0NDyNmtIEIabwURMnsriLt+w00QqesHt2oIRXGrhlAnt8LxAErn1i13b9W5aLBbARVFdzuorA9vB5XV5u2gsna9HdTdoOlGqEAgOqX8Q7n/rrEY9GvPmtx1piZ5fJeM2FHy/wBgHYla4AYAAA==</t>
  </si>
  <si>
    <t>EF6DF63892550B106E5020120C797396</t>
  </si>
  <si>
    <t>JChemExcel2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eK/F/rv6/RL+u/E+++Ffof/zDfU5qP03d5nH306/vTTg3sP73+683B3f2f3wT4R5N69/Qe7n+4fPLi3u7d77yDdH+/s7O7ce3Dv0/v7B/u7O/v9T+53X9tPu5D7TXZ7bR6kD8b797pvHTz0PzlID6j3vZ0H+w/u7Tz89IBQ7H2ynz6kvu4/uH/v4P7eg4efEv2ICz799OH+vb2HD/Y/3dvfO/i0/1HvtX1qtEew7+3u7hHk/ft792hqeh/dS3fv0YufPnhIwzrYO9i592n/E2q0P/70wc7+g517NI4dGtNBuvspgdrf3X+4/+nuw3ufEi7p7gN68QG9c//g3oNP9/cfRBt1Qd3vvffpp/2PCIcDenH3/s6DBzv37z/cu7+z/1F6TXywTfjuHDz0nk9TfHZwv/9Z2O4+fbY7vr/f/Wxn/OBB991uuwfp9sPx3r3ORwfj/U/9jx6iFUjoqEkdPBjvElH3dg4eHOw+2H346S4+Ct+jFz8d73664z3UitjwYfDR/X6zewD2wP9kZ48Re9B/n14HnfyP9vmznQP/s0/pVYzf/+yAPgOdvI920Xen3S7pgl67+7u9Pki19FB5uN/7DAPuDIKUUA/YQ1Jxd62OO3o8qZYz71dWeq/y82ZP9d5HaVXP8vqzj/bwIppEGkI72oa7GxpCh94KIjTtrSBCH98K4q7f8AaID27VEEbgVg1hKm6FI4zFzq1b7t6qc7FOtwIqRux2UNnW3Q4qm8TbQWXLeTuou0HTjVCBwO2mVEz27ZqyZQ9wRZvXbV7n1dEbeU//GgbCrsGt+hMP4la0EUfjdlDZH7kdVDR1U74RKns3t4LKFLgddzDU2025uFW3QoCbRqecf6huvGt8Rfq150fedU5m8vguua9Hyf8DXe+pAdoKAAA=</t>
  </si>
  <si>
    <t>E7D65A511605F7F21397AD8FA79FFA0E</t>
  </si>
  <si>
    <t>JChemExcel0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J+mXKf41/8lfL4LP3Dev6d8v8W35Ufpu77OPtg/Gn+7t7h3sHTzc//TB/s7BvbT30f10+8F47+DBpzv3HjzYO9j/dGf/Ye+j+7v9Fx/0Pzrov0g93h8/vH/v4d7+p/d3d3YPdogqvY8IiX2CtbO3f//+3sPdg4cPHzykz+4RsE/vf/rp/s6De5/uPtzfp1d36dW9gwMCf//+vXsPdwjZnTF9ubdzsPvpvQc79w8e7O+lO+MHu9R85+H9g929vd1PqYfIR3vjnf2D3fs7Ow8ePry/s/vw/v303vjewe7BHoHbffDgYO/ebrpP792/T7Tbu/fpzqd7n95PP6XXCMkH+/v39+/t39vZjXzSf6sP+QF9QgOkET7Y+3Tv3r376QG99en9/fufHtDAiIh7vTYPIm0Oxrv3/TafEj6f7oZv7e6NDx4Gr32UXoNF7o0ffPqASGAeYsbtvfHeXvAZyL5/3/9oBwTdOdjbf+ie+w/os4P7/mfEcXtjzHTw0b3x7qfBRwfS6r68r6D93vY/1a+8zx72mu3eMxC8zw6izWRAPg6K/M2v3hKRWA9C2ZAYw+0MjC7Ze93vkuwEM/EphIJYe/fBw909YrqDnXs0OXvj3YNPvY8+BVF3SOXdtTrv6PGkWs68X1kJvsrPmz3Vgx+lVT3La9LeeBFNIg2hLW/VEDr1Vg2heW3DvQ0NoZ9vBRFa/FYQoetvBREW4VYQ9/2GmyCygblVS7FDt2vK5up2Tdmq3a4pG7/bNWUbGTRFG7HDR9+V9/SvzUBuN9Nii2/XlE32rSZRLPvtoLIDcCuo4ifcCqq4E7eCimF5TTdCBQK3m3LxY27VlCkQTvkgVPaKbjUsbno7IeamUTHmH6rx7hoXkX7tuY93nW+ZPL5LXutR8v8A/UDnJtEKAAA=</t>
  </si>
  <si>
    <t>A65A7E8DD74FA3A2F488C0BBB030142D</t>
  </si>
  <si>
    <t>JChemExcelFg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Kv+90J+xv7r/fUn/Rd/4KH2399lH2w/GD+7t792//3Bn/+H9Bzs7D9LeRw/T7U/H+zs79x98+uDg3u7ewcMH99Lt++OdTz+lXz/9dPcetSGkt/fHD3fuP9y7d7D34ODTgwf79OK98b2HBOTT+3t7D+7Rh59Ss73xp3v+ZwfpNnHEQfDRfrq9M763G3wWaffwXgTcfXT76ac7O/fow0/v39u9R5QGJvceHty/R+0+fbD78OAe8N0/2N97SMO493Dnwe6Dnfv4bPfT/d3dvU8Pdnb2Hxzs8Ujv7Rzcv3//AX18cG+H2IDo8eDBvV0a5/6n9x48uL9/AKoREe59+umD+zt79wiz+3jx4f4B0YO629kh8J+i1cPdB5/u3X/w4MGnu4Qvf3T/4YP9/V2C+OD+vXsHRLWD8YP9XSLCAc0AjQcD3xnv7Xx6f3f3gCaCJoF4EJ/RWD59eP9g/97D/b19gvVwTMTfu793QLB3HhDD0ScPdvb2CaFdogXN1aeATmN5SDNG1Li3SzNNoHZp2ITgvYP7u9SIOHt3vLe3s793b//Bgz2a4V1i+L3x7t59YP0pvb77YC+9R5jTYB8SqQ4OMKiUOID+3qVB7z0gyA/TT8f08X1qsb9/n6CRGHQ/6b8UA9zpe/fhp4Thp/sPCbn7DwGJePBen90efPpReg02p8a7+/eJ3qAPDWqfmWT3fvDZp/js4Z7/WaTZp2DDT/fA9A93H967/+m9e/f38dm9nb2DvfsPqfXDTx9S5ympLnDOPZo5IvTO/qcPiQV6Hz4gndJ7m4gAxiZu3blPfHxvj7hqv/8RD/nBwQ7x2c6nB/c/3SHdQ2y3d/CARILaUI9EU/DrPeIvEoadB/sHew/R44Pxwd7+7s49YhWi60O0Ohgf0EiJqvuf7u+A2viI2ITEnl6mDnZZFRBw8M2nxEIHuywfB8StD3aI+4nGkPqHpC4e7tJUYPp2IGrEqxgavSofP2See7hPk3cAHju4d/8ef7RPCufTPZKR/f1Pd3eYpR+SjO3Sq8SFn+5gkg7GJGl7GN+D+zQjIlf7eyDv/j1im3v3ML005ocE5f4ezQXpNWi2T8cP7+/u7O3QiHdIv4FYHcI/3NmF5qHRP7zHUnmf2Gl3/wE+pDnzG96nqYRsP9jfOdinGSF+QLeddgcPDzBtJIz+Z6wFSff0PgvagV3oM5Btd2+HOOoeIQQVtUMqjSRmb/chKeN9iMK9T/epW+qYECaCk327aw3c0eNJtZx5v7LFe5WfN3tq9D5Kq3qW12SZ8SKaRBrCUt2qIQzorRrCzNqGexsawhjfCiJM9q0gwrDfCiLM/60gspNwK5DiS9wK6KdBy41A2Tm5VdP9W7cUb+d2Tdkpul1T9p1uNX5xsW4HlT2x20Flh+12UNmvux3U/aDpRqjwBG/HLOJQ3goB8TtvB5Xd09tBZS/2dlD34ezeDupO0HQjVHafb9eUvezbIYCmt+MBuPW3m1fx7G/VvwQAt4IqccLtoHI4cTuoHHXcDuo+gpPbQeUY5nZQd4OmG6FyVHSrpjwFt2sqcdatmqJllAX4h5rWuybOpF97MehdF6Amj+9S6HuU/D/5+dT2Fg8AAA==</t>
  </si>
  <si>
    <t>8A2142B93FB17BA726256FF5AA0F3959</t>
  </si>
  <si>
    <t>JChemExcelH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1+mJ8F/L/j/L+zv+M+1+ZI+47/Kj9J3e599tP1g/PD+/v7+PXoefLqz8+mDdPvT8ad7Ow8+3d/b3X14b2/n3l66fX+8d/Bg5+D+zsOd3Z17Dx9+ej/+2T2Cdm9/5/7DTw/2HtC/O/vp9t74092HD/Y+Pdj/dH//wcO9+/f7n33af5V63aUeCMSDB3v71Pzg4c6DlKZ0/8Gn93bv0ds7B7v7+/cPop/F3qXpPti9t7tzf/fhzr1Pdx883E/3xg929+nbT/d3DjDge/fSfYJ28OmnBw8+3fv04d7e/sPIJ5HXusAP7hOH3TvYu7f/4OBg//7ezh598im99+nO3gOi8739A6Jtv9G9FOTHRzv37x/cf/BgZ5c+2b3vt9kllD7d9T+hD3bvfUojfUA4HNDIY9S7F53a7keEEwkOjc3Dc/ej9JqYhWaNyLt3QHTeo2naOThI74337/sfPdxLu60egvK7+95HhDpN2r0HwUeRVg+6sEiEOh2SYPU+2e+9Rh91ge+Cbzoo7IG/ws8ibxKBuq3oIyL37qc0X7tEtgc7NAkP8dHDe/5HBw/6zQ72eu0eRsA9JHxJRGjG/S5IbPaJfyC593Y/3bt37/7DhxDMA5q0gwf37u/eI2a5tx/9qPviA+Khhw9D0vbG+fBebKAkgKQV71q1ePR4Ui1n3q+sJ1/l582eqsqP0qqe5TXpc7yIJpGGUKi3agi1axvubWgI5XwriFDht4IIRX8riDAHt4J4z294A8SHt2rINuhWfYupuhVQsWi3gvpp0PJGoLebc7Gkt2vKBvd2Tdku364pm+/bNWUrf7um927fFAjcjgPEvbjVZHHT27GAOCu3a8o+ze2asutzu6bsId2u6e6tm4IAt2MBdH87DhD/LdaUf6iqvGu8Tfq154nedW5q8vguOcBHyf8DWz+4SxwLAAA=</t>
  </si>
  <si>
    <t>B0094978B37BC69898DB570685960CC5</t>
  </si>
  <si>
    <t>JChemExcel2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P6/30Z+c19Iv/htxf0H3/2Ufpu77OP7o13dnd39+n59P6nnx7c+/RBuj/e2dnduffg3qf39w/2d3c+JWLeu7f/YPfT/YMH93b3aECfjtH24f1Pdx7u7u/sPriXHtBLezsP9h/c23n46cHezsP0Ib10/8H9ewf39x48/HRvfzelGfv004f79/YePtinD+jjdHeP3ru3u0svfLp/f+8eEazb6qAH6X63t90eQvd7n+x3R3HvYW+kBHmPXntw7/7B3j59+OnOpw8fdD96sHM/Jda6R6R6SGAO9g527t2/n24T7xKEB5/u7+0/uP/p/sOd3dNtmvPte+OH9x4c7O3tPdzZB5w9/rgLYb//0f17MQS7Q7/XI8+nfarGP7o3Dvu7zZT1ENjZJywfPtx5eG9n72CfKH3vwYOP0mtiLaLIw/2HD3bo0739nXt7e/cP0u2d8YNPH3rPAfEAierOg0/v7+7df7BL0/LwnhCu25SmgkDuES3uUcsHD3YfPth9cGDbPtjxHuJRIvz9+/s7nx48vLd7f/fT3R00vd9veh8Y3L/nd/Qp+ICG5/e932v1cBetdtN74wNwBPXlP/fky95LmOf9XZoJosu9e3sHBzS1A+NFl/c+Jcmklvs7RG/6vzJPD2gXX/qI8Nrvf3Sf/tl5EHzea0mD7cLrg7vfx2P/XrqNUQczgYnYOfA/Im3X+2yHJSjkl/0HpHzvWu179HhSLWfer6yOX+XnDTEb1DEp76qe5TXZkY+khSjyo+8+vuv9JX/EQdwLQAw1hN6/VcP73YYeGt++HVKwLrfqCzboVg1hqWzDvc0NH94KIlu9W4EU43groPdv3VKs7e2aslG+Hapoertpvtdr+f7zLG7C7TBjb+JWmInTcSuoe0HLjUDZi7ldU3Z2btW/+ES3giqu0+2gfho03QiVnbFbNcUM7N1OV4A59waZ45aaCWKz55jjBlncux1viKN5Kypy09vNOFqGWuP9hytu762646a3nF/xod9HSvmHWpy7JligX3uBxF0XZSSP71L8cpT8Pw/F1aPbDAAA</t>
  </si>
  <si>
    <t>644FCC49E7D242A54FEC6C69A1109889</t>
  </si>
  <si>
    <t>JChemExcel3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oiPUm/5H/xf/yrn3yUvtv77CNC9eGDBwf3Hn56/8GDh/f39tN744NP93d39g/27z28v7t/8DDdG9+/t7O/d//B3t7u3r39+/d7n+zfT3cJ0KcP9j/9dGdn7+H9/d2He+n2znjv0wcHBzv79/YfPHy4u/vpw3Sb2j24t/Ppwwd79+5Rwz2CFmsXAddHo4PqQ0B6sH/vwaf02qe79z69f+/TB+n23njv/s7u7j0CvPfpp/cfPrifUocHn376cP/+3oNP73+6u3P/o/R6Dxxwb2fvYO/+w937+w8/fXhw8Cl1uvPA/wiYhY0ePuAB3Huw+2B/52D//s69nd2dvb3+mw/o1fv0272HD/b3d+8/vP9g5wG1OtgPWt1L98c7BwcPdvd2Dj49uLdPMGmcn+52QO2P7x2EeHUbHewTH96/f+8eDXyP6HfwcJ+m6f744MG9+3v3domOBwd71N2n40/BAXu79+/tEjXv7REX3rVsePR4Ui1n3q/Ml6/y82ZPWfOjtKpneU3Uw4toEmkIBr5VQ7C5bbi3ueH9W0GEyNyqIQTrVl1D/G4FEUJ6K4j3/YabILLM36qlqIZb9b4XtLxhQLu3m3DRSLfqnpu6Sfeg8g/lvbtGXdKvPVV61+nZ5PFd0uBHyf8DPrCHV90FAAA=</t>
  </si>
  <si>
    <t>E5A5536761E487D19F1BC0734A71D63E</t>
  </si>
  <si>
    <t>JChemExcelj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E/S1+mX9B9+e6H/x7/82UcytPJkntUX1Hwnjf+3S//fpn8+St/tffbRvfGDvQe7D/bu7e3t7x4cPLiX7o3vPby3//De3s7O/Yc7B/ce9D/5NN0ZH9wPPjpI740f3uu06r54kNL83H94sLu/8+Dgwad7Bzt793sfMQY79x/s0Jc7u/Tv3h61Odjz2+zfIwz2DoKP0u2d8e7BpzsP9nYe7t1/sP/p7v2Hn9JIx5/e3/n04cPdvQeffvpw9/7eg3R7b/zg4f3d/b3d+wcPCRYhiXYPH+wcHNzbvUdtDu4DM6LNg517ew/oz92H+w/uH9z/KL0mmh2M9/Z3gNj+/sGnewQnfTDef+B/skvs8/De+36yl+4TwcI298af7gWfgKo7B2Gj3fHug/2D3b2H9z+9d2/3wb1790GMkD739j/tf7h/v/cuiB1SbAfEJiz27j14+PAevXh/58FDQmyX5mj/030i0MOHe7vAInxvn0ThrpWFo8eTajnzfmXheJWfN3sqHx+lVT3LaxJivIgmkYaQols1hKzZhnubG96/bcNPb9U1pPtWDaEDbtUQmuJWDVmf3Go0onZuBVS0062gHgQtNwJldXe7pqwVb9U/N3XTeROpovPJP5RR7xoFT7/2lP9dZxmSx3fJ5hwl/w9HrUPQjwYAAA==</t>
  </si>
  <si>
    <t>682422881F94288B9C13847948EB1A24</t>
  </si>
  <si>
    <t>JChemExcelp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O6/16kX3p/fcn//5I//bL3zQv+5sVH6bu9zz7aG3/66YN79w/29u99ev/TnU8P0u4nD9L98c7O7s69B/T3/sH+7s4uUffevf0Hu5/uHzy4t7u3e+/B/d5HB73X7vU+2Us/pc4O7j2kfh7u7u/sPtjvfUKkO6DX9nYe7D+4t/Pw04O9nf3IJ53XPu0jtNf75NMOQjsP7/c+6aF4/2H6kODcf3D/3sH9vQcPP92joXY+2d/tDWMvQsUupffv9T66t58SG9+79+mDh4Txwd7Bzt6De+n2g/H9vd3d3Z39Bzv37+0+3N8/3SY6bd8fP7i3f/9TGtrOA+rqHn/aef8eEWu789k+zcR2p+sHD/rN9vd79Dnowd+991F6TZy1fW+88+Ch9xyk2/vjT3f9jz4FzvcO/I8e9FvRRz1Y94AwzX7ns53xg0+Dz/rNiMd6zYjJ74339x4c7BIBDu7fA98p8e7v73jPfZqhe7v+JySq1OieD42GdX+8T9P54ODh/sN7e58+3N8jaJ+mEVTujQ/2+x/d93u41+vzYWwIe31a0ug/HT/cC5qBeYIXiem3H473ghEQJaFeA2Tv9Zvt9oHt9ru81/vo4GHvxYNPI11GPtrvj/JTUtF3rY4+ejypljPvV1bar/LzZk/19kdpVc/ymqwNXkSTSENo91s1hA24VUNYils1hD25VcPd2zaEeQoaooUYuaPvylv61yakDoZAfPt2IB5uAHFLLNi83mrIYoVv15SN9e2ask2/XVM2/bdq+vDWLRloyEXvPw/ijNyuP4z3Q1mH6fuhzMPz+fADMYGHFbLP+8OApxby1fsPhl2+bwTI7XhR3MvbNWUv9HZN2Vm9XVP2aW/XdO/2TQH1Q1WKuNm36+8+vPEPnbZ7cOc/FIiEA+8zcP6hZvGuiXvo115MdNcFTMnjuxSKHSX/D0yj0sOmDQAA</t>
  </si>
  <si>
    <t>1D6A8BEAA673336CCCE095DBF0BFF514</t>
  </si>
  <si>
    <t>JChemExcelk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O6/760/3/hfer/7n/yJdqWH6Xv9j776NPx/d29T/fu7zzcPTg42Lv3MN0fPzx48Onu3t6nn+7QN3v0wf7uzoPdg93dvd1P79Mv6b3xvYOdvfufPnxwcO/BvZ0H+OTg/qe7+/d29x8+2N2hfx7QFNz7dG//4c7+/f2D/Z379x+mn47vPdx7eH/3/sHBp/fu7T5Em4e7D3Y+vb+/+4C+ePAAbR7uP7i/9+n9+7s7Bwf7RKm98QF1dbC3s3ufGlM36J7++PRg9+DB3v37ew/2U5rr3Yf37u1T3w8OCMz+fkrs8eDe/v7B/XsP9+/v3HtwP93eHVM3+/cefHqPxvpgZ/8efbYz/vQhOtv/dOf+/kNC+FN682Dff/PTewT/4MG9hzsPP31wjwDsEAkI2IO9Bzu7e/cfUmMQ6166fW+8d+/evfsPDx7SIPbu0SjS7f3x3qf3DvZ2d+7R39TDg3T7/vgBvfnpwb17B/ce3t/ZA26fjvcYBZoI9LHPzfZ2iWz3CPeH9x4e7HyKDh7sPETDBzsH1HCfXtwbf0pDPth/eI9gPkA3ePPTh7v7Dx7eJywePNgj1iI0Pv10lxDf371H03H/YBetdu99ivk52D+gaSbgu/f3P32wS4S/R4gQc24/GNNc7NNru/sHYBJMNE0vUXFnf38H7+0QcYiue8GcfZReE2sBW+Kq+9R6/yFRAADvjWmW79/b+fRTGvi9T0HIvTExzaef0qc0fzsPPr1/D8Td2blPeBNx9u7dv0/Do1nZJ1IT193bO7h/8PA+f0RTff+A3iCsDwjoLubz3qc0dUTp/ftE4gNiCIA72Hu4T6Pae/jp7i4xG3olOj8knD+lYRCn72OSP925R7Shl3ce7u9iDu6Ndz49oOHefwjxII77lFrtHdwjWtKLe/dA4z3iUMjOfdCD0CdG7bfaY1bbpUkjZn9ACNLk3SP10Ptw9x4z6r29+0Tf+zufEiYPaQ77nz182CPTwc5un5yfRsZ/EKHT/R45aWRdon/KQwvJdI/GTzO8R5hDSewd7O+xiBK97hNh7+3sk654uE9q5ABg7pE07O6TRPeo+4DRIsb69AH0Bqma+/d2H3zKc0V/7N/b26GOIVwQblLMd61mPno8qZYz71dW1a/y82ZPtfVHaVXP8ppsDF5Ek0jDe92GaCHW4Ojb8pb+tQnE/q36guWwDfc2NIR9uRVEWKFbNYStulXDe7dtCNN328Hs7twKpNjRWwHlprebYbHKt2vKxvt2TdnG3w5XdgVuB3Xv9k3ZubgVAvtBy41Agert5l+cmlv1L77PraCKi3QrqOJJ3Q4qO1y3g8p+2a2g8rBu11Q8vVshsBs23QgVuN6OW8TFvF1T9kRv39TxwE1TcO92PHAP3m/QEk1et6yFvyuv6V8GBv9QW3DXuPj0a8/9v+tig+TxXYo6jpL/B1nCWCmRDAAA</t>
  </si>
  <si>
    <t>5F8C53B2CC8814F90CAD7F0CA289E3AC</t>
  </si>
  <si>
    <t>JChemExcelS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SE/7vS/3Z+a+Mf5yefJS+2/vso+2D8c7O3s6D/Qf3dh5+erBHyG1/Ov7004N7D+9/uvNwd39n98HD+73PDtLt++N79/Yf7H66f/Dg3i69R432Cdbuzr0H9z69v3+wv7vzMN3eo/ce3Lt/sLdPH3668+Deg3SbyH7v3qcPHtJbB3sHO/cO9vHq/oNPDw4efLq78+neA4J2uk006rbc7X9yD+/e372/Q//fe7Dz8ODTe/Jur5uHaQeZTz/tfdLrcu/hvd5HB5+m2w/Ge/cf7O3e//TT3Qf7Bw8f7HGfXQLsph0q3bufdqm72/uk99J+B/DOw4e9rvYin3ThPOj3vhf5pPfaR+k1WOXB+NOH/kM0PhjvB5+B7CR1O/5nTK3wzU+jb369Vg/6rR7EsaDPHjzof3a7dnvje7v+Z+jj3njnoNtuf/zpnv8ZKEIE9T/iz7rvHkT6eCjtHkbAPoyAjbUbIEWXYg/7dD2ItuoBO+DPQnodkI68a5Xk0eNJtZx5v7LWfJWfN3uqOD9Kq3qW16Td8SKaRBpCvd624f6tGkJV36ohFPqtGkLt36ohjINtuLehIUzIrSCyobkVSLFHtwIqZutWUB8ELTcCRf+3m0oxl0H/aPO6zeu8OjqR9/SvYSBsb2/XH5vl2zVl6327pkDATffGpuwL3Irg4jLcCqp4FreCKg7I7aCyn3IrqBiW1/SmKd+7nfyKg3QrBMSPuh1UdrduB5W9sttBVeftNlD3g6YeVP6hivSu8Uzp157Xete5tMnju+QsHyX/D5nm8aNICwAA</t>
  </si>
  <si>
    <t>A3C931496EA339B42D6BC56238B41823</t>
  </si>
  <si>
    <t>JChemExcelN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Gv73pf3thf1E/nuRfSTjL0/mWX1B7+6kN/+3vcs/dj9K3+199tH98c7Dh/cffLq/c+/+/f179z5N740ffHr/4OGDvYPdB3uf7tG3vY8OPk33xvv39vZ2D3bvPzx4eEAf7qc0WQ8P7t97uHPvYOfBzt7eg097Hz2813vx/v10e2e8d+/+7v7OzsG9B/cfHOw83PuU0Bzf//TgYPfh3s79+wf3D/bv7fca7u7ucLe7Ow/2P905oI8e0o90Z3z/3v7B/YcPdwkt6uohgO3sBC8+wGf7B7s7hPr9+zsP7+/d26HP9sYP9+9/ev/e3sMdeu/Bpw/20e7h7g59cu/B3t7Bwd7eDiF3b7y/Tw3u7Tzc3b1//96nOzSK/fG9/Qc7B3v3CIsDIulDfLTzKY3xwf293X0ayMPd9OF474FP7/uE7U66P949+Ci9pvnYH+89/HRvb4+QpF92djEf9/f8Tw5oxDQD/if4aG/X/+jhXrcV0O6A2iO+7Pb3sAuKxtwDdf8hpuIejfTBAyLwg517Dx88uAdKUeuHn376gMh6b/8ezRoo+unDe/eJePtE1YOHe3vRj2Jv7owf3L+3c7Bz/94BffXwU/R6b/zw3sP9B5haeu7t0wjoswcPDu7v0MwTRvQJTRlx9d7+PYJ8f//+g937wG1vfO/B7qfEJg8O9j/dv79/wITfPiC90WnZ+4h0wF2rBI4eT6rlzPuVtcKr/LzZU8XwUVrVs7wm7YUX0STSEOrDNtzb0BBK5lYQoYpuBREK61YQodZuBXHPb7gJInV9cKuG0KW36hradOdWIEUx3wqo6O/bQWU1fzuobA1uB3Xn9k3ZvtyuKRC43dSLtbpdUzZqt6MAmrp59aDyDxWqu8YK0689C33Xme/k8V1yDI6S/wdWyhTJNAgAAA==</t>
  </si>
  <si>
    <t>732036BDD2F66AD23ABAFA646AFA83D3</t>
  </si>
  <si>
    <t>JChemExcelN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Ir/XtD/X/NvX/LvX6byufnPfEqff5S+2/vso/3xgwcHn+49pH8e3Dv49OFuem/86b39Xfrz/v37O/fu7+yne+MHewcPHz7Y//TThw/u7Ty8v5/ujvc+3b/3YGf/3u7Bg4P79x/2Pjl4EHtve2e89+A+9Xf/04Pdvd39fRp3/7OdB+k2zcmn+/cf7O/s7u7uHzzY278X+Ww33d4bH9zf26FeDu59eu/ewcHDdPveeO/+DsHa3aVOdx88IFrSZw8J7v7+3t6nn366u/tgL92+P97fO7j/6UN6dvfxLj462Huwe3/33t7BpzvUNt1+ML5HXxKMnd2dg4f3Du6n2wfj/Z17n+7t3idMdwnaAT7a2SFK7RD2n9LIDz5Ntz8d3999cJ9Gs7+3+wDN0+2H44OHhPiDe/TWzu7BvXtA6/7+3v6nRKYHezv39h7uHBD993b2DzCag3u7O/eJIWiOdnf3aCz79/b3d+4/+JQou/sAY6E+qZeDB/fS3jx+lF7T9AL+DhHgAc3MDn1Pb97f3dm7TwjcoxE8fPDgQX8ud+kjIrLf6iHQOvA/AqI0a7v7ew8e7N+/f+/ewwe9NkTlHqRP053xp0RhmmkQgVDd3yPs7336cI9ITKTYv7f3KUF6+GDn092HD3Y/JZTu0eQS5vsHRIN7D/f37+0Qpe/tk+ju3Ceu2SfAxDmffgpA1NPDgz1qee/+vuBN5CemIbpRX5/ugniE8cGD+8ScNIH05R41OiByEwIPdvfvPaQfDwj2PcJy/z4R/SExGiFwn4by8OHeg70H99D203v0Gk33HjHd/i4hsHvvQUqzvv+AGOXhvT3Mxd4D5u6dgAL39vAhMS1N5qc7D3Ye3L+3RwIE7t7fJ3Yk8aNZ3f10/4Cot//g4QMSHFDp3r17n5KOuWuVzNHjSbWceb+y1nmVnzd7qng+Sqt6ltekLvEimkQaQj3dqiGU2K0a3u82RAtRlUfflbf0r00gPr1VX3u3bUgQH9yqIfTzrRru37Yh1L1tuLe5692dD6ScWJVb4SXG51aYcdPbsYmYsts1ZYt3OwTYMN4OKtvP20FlM3s7qGyNbwd1P2i6EeoD2PfbNYXpDyf2/bkDMEK14L317dvBED/kVpTgprfjhT1xavot+YdqubvGD6Nfez7aXefAJY/vkmt4lPw/w2T3szYKAAA=</t>
  </si>
  <si>
    <t>306BA1F5F7C135FACE51D5C6599CD37D</t>
  </si>
  <si>
    <t>JChemExcelG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H2Rnmz470v5f/lR+m7vs4/uj/fv7ezeu//g4d79T+/t732a7o93Hn66f//TTx/sPLh3/97D3cgne+MHn+49ePDg/v7BQ3x2P90d7+893Hl4sL9HjR7e2334oPvR3s69lGj98P7+7sN7O/f37u/uHew/vJ9u74737h3s3X94sPvp/QefPri/8yD6We/dg/10e2dMeBBmD3d29+8dPDz49NN0e2+8++mnn+4dEHo7+wf3Hu7t47ODg4ef7u4TwAf3qNX+fXwmw7m3u3+w+/D+3kOAu39vf//Bg/393b3dHfr/p9Tt7sHB/Z2DB5/SYKkXYLxPIzv49MGnB/ep+cHOg710+/54j14kzPb29j59sMf4Huwe7O/cv7+7+3B/9/79B/vpw/GnuwGxP0qvaQ7Q7e7Og08/3SFSPdjd27snFDgIPrvHo9jrftZ9d++g/65SIHgXVL43vv/Q/2y334wo0ANHbNjvFuMlbnhwb+/+zt69XaIEaPdwZ+8BUeHB/d379+4RwYhz9j7d27//gH7fvf/pLmFGSHx6sH9/9+DepzTwnT18sLv/YOfTT3d3Cc4uv7R7f//hpw/uUSN6ZQ8MeG/3072dvYfEDg8ePHzw6T6x287uzt7OAc33w4cPdg6Y3UKU9g/ARSSKd60sHj2eVMuZ9ysL56v8vNlT+fworepZXpNWwYtoEmkIKb5tw/1bNbzfbYgWolGOvitv6V+bQHx6q76gd27VENrpVg2hw27VkDXdrVrev3VLUZ1DxPv27YgnutcC2dvUH6vo26HGmvx2UFnh3w4q24XbQd0Nmt6I6+34QgzS7ZpickLe8KYjztn8Q2X0rjG29GvPEN91Vjp5fJfs/1Hy/wD3eKgoGwgAAA==</t>
  </si>
  <si>
    <t>19D90F43EA421A8AD1343F81648FCD07</t>
  </si>
  <si>
    <t>JChemExcel9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Vfpifef1/q/+W/F/b/Lz5K3+199tHe+NNPH9y7f7C3f+/T+5/ufHpwkO6Pd3Z2d+49oA/2D/Z3d/bv9z66T8S4d2//we6n+wcP7u3uEYa9D/rvdPp60P+A6Hvv3qcPHhKAg72DnXv30dGn9+/vPjy4f2/304P9ew93T7eJDt2G+3vpNn328OHO/f39g3v3Htzfe3ifWt5PP6U+Du49JPAPd/d3dh982vvkfnpAqO7tPNh/cG/n4acHezsPI59037rXHfG9g94nD2O07ALavf9Rek0zsb033tnd3d/dPXiwQ1/v7hww/ts74wcPdvznYUpN7+36H+2m2/fGOw8e+s+n6fb++FOiC2H10PxOrQ4CYPcZ2E73zR40D8xu9ItPxw/vpdsPxp8G39IXD8d79/xPDmimSM6CLg+izbrADriXPf+jBwRsd3x/P2hHAnfXStzR40m1nHm/sgi+ys+bPZXCj9KqnuU1qQq8iCaRhpDVWzWERNuGexsaQu5vBRHa4VYQoUNuBRGa5lYQ7/kNN0GE4rpVQ1Zvt2oJRbd7q5aiK2/VFFr0dvMoivd2TVk/34qgosZvB5W1/e2gslG4HVS2HbeDuh803QiVrdHtmj4Qo9Vvyj9UUO8aM0q/9kzsXWd/k8d3ybIfJf8P3f6KGfUHAAA=</t>
  </si>
  <si>
    <t>95D6F0A2109BDCF15171F03525F6D5F1</t>
  </si>
  <si>
    <t>JChemExcelQ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Kn570v6T36epC/0/+63L+lf+ll+lL7b++yj7Yfjew8fHuzs7B7s39u9t3f/Qbp9MN759NPdvd2dT/f2D+7vUa+9j+6l25+OH9zb29/ffbi/8+n9B7sHn6bb9wnWwYNP9w52Dw72HtIoIp/sE6T7Owf3Pn34gDrdpWFv7xGk3f2d/fsP7u8+uLfzgFCgyXj44MHe/f379+7t39/ZR4c0gZ9Sq0/v3duldjs7D9Ld8d6nDz+9t/fg4c693d2dvYd76d740x1qsPuQkL33kF7Yp48efLq/d3D/wf59wnPv/m66P957sENwdu7vPNjZvUc43B/v7Puf3KM2O7s7uw8I0KcPdw4+fbBznz7aP/h05/7BDo1l/9Odh3jt4cO9/Z379x7eu/fg093799IH4529vYNPP72/92D304MHD/fTT8f39z8lCt+7f/+AAD9Am/sPHhDl9g8eEjmpO2qz/ynT59P9B7v3CNMYeYlDH9z339v7KL2mKdwZ7+99urvzgMi6v39ASBPbELHu7d87eLh3b//h/fu7D3d29kDUg4Pgswdp+O4OccJ+/136vv8yzWXv5ci7O59+k80MJg+IMT7d+fSAyLOzTxJCLLT7kIhHQ9rbe3Bwj6aG3j34dPchTRPBu0/U/xQI79HMHeztHOw8ONin2SCijh8QyXce7u7ep9m6R0xO/LLz6YO9h2CiB/cOHuzu36MXH9Ks3t+hmQeovU8Z/v393QcPPn24/+n9h7s7Ow8/BWqfHny6t/uQePeABvPwYDe9N75/b/fhHtGLOiT5oh4ffhqME7OwQ3rjrlUcR48n1XLm/cqa5FV+3uypMvkorepZXpMKxItoEmkIlXPbhvu3agj1dauGUHK24d7mhg9uBREK81YNoVZv1ZCV761aio6+XVNW5bdryhr/dk3ZMNyKoGI/bgeVzcztoO4FTTdCZcN1u6Zs327XlM3g7XBla3k7qPdv3VTs7+0QOICZvhXUfRjzoCWaiENx9G15Tf8yMPiH6oa7xiOhX3veyl3nyiSP75KTdJT8P2zN6E9ACQAA</t>
  </si>
  <si>
    <t>B6B52463C1EC6FEC3697020ED327D9DE</t>
  </si>
  <si>
    <t>JChemExcel+x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E/55mWO0b65XOREvPUm/pP9OIv+9iH4q/32p/++2eVJ/JFNQnsyz+oJ62Ek/7L/dzt/bNIR3e599dH/88N6nD3fv7e3t379H/7+ffjp+uPfw0/179w52Dx7sfvpwPz0Y79MXDx/u7n26/+nup58+oDb7O5/u7z548HD/072dh5/upfvjg4c7+OP+zs69nYcP03v0wYMH93YPHu4R/Af3070xQXzw4NPd/YPdHfrl4F5KrIO3CPTOg0/37u/T3G3vjKmbhzsPH9y/d7D3YP/ezh4++/T+zu69+/f2d3ceHOx+SvO2M763v3f/4T7++pQ+vf+AoB3cP7h/f+f+pzsH93cJmU+pT/pt72Dnwe7B7sOdvYMHhOe9Tx/s3aOB7D042CEIxML3CIFPPyXcd3cf7hPqn44PHtx/uIdWD3ZohA/SB+ODTw8+vb93f29vZ//gwQ4+ubd/f58wvbf/4CH99ynBOdh7uP9gFx3tHOzs7IMm1BnhfG+PXn/w6f19jPge6Pzwwb1PiVDEsBjwwc6n93YeUF8HDz+9/+DBPs3O+FP6lbrcvX//AdH3IVFmb/zpwcN7oP/ew90DgoiP6M+dh7s04E8/PSAKEbx7oPPDnU8/pRHsErrExNv7REDq/sGn+wf3QLQ9fLS3d3B/h9CnKX1wj3DbJmEmtB4+OCBCf/qQiIlW9x/eo0Ec7O/cJ3I8PEArmpn7nxJwmsKHO5ife+MdNCGK0NzTWPDmp6Q59h8SKoQszQmJ1faD8af7+wD3KQ33Ic1Vuk2sRVOzv0fQ6FWSSTS6j4HsUSc0zAfEOYC1S589fLCzu0+0JDEmLMCg93d3aXp293a50T0iMo2XCE0MuCekAG/sE04HNHeEwy4RcS/g5Y/SaxKDe+NP7+092KGuHx7s7e9QD3tj4vl7B8QnBw9BA3zygF6ikRDxiQAPCdqYID98uA+Wph4O9oktiZTU9/37BGaXfvmUGkG89h/Q0HdpVmgE9NGn+yAfj5CY8D6A06SR7Dyg/1PL/X365P4+0XRv91PiS+Zsem93h76m+XpI2N4ntUTcQ4xDHL63u0t/797fI1kkjnp4j6DT/0m+SCQfsFw9pLkn7tslXAgy6Tf6jGi3T9O6R8JHJKFBEucdkOAegJv2d4nEmDjCF7rggESCuJ9IcA+sR3y5s0+4EYft0T/7zFP7+ySy9x/epw9o+MxAuwSbxnmfSHX//i7PCmsCkhZIE4FGD4TBpzSKHaL+LoaNz0jgPqVJebiHSd/ZeYjPqNcH9x7S3/QCTSQrBxJb4lwi88FDQhyzQJNBIrZz8BAI0itEOpIrIhxphQc7xCj3qBFpmYcE6h51sUPDYoLQvN4jniOaPzwg4WDUSCB2RfBoSnmg98ZEb+Lie7t7ew/2dh48ZBnbJ3314ACyuXv/4cEBmhFn39vF+3v3D4guUFKkWXdJDveIQDS1B9AJ+0SK+w9oSolLD3ZIeoi4n+7uYQpJBdE4HpIuITVLiuyABkE8v7t/nz4ibiDqgprgigf82gENAIponxC5x/xBsksY7O3sPbxP/7vPc4cXSe4e0Iu7NPH3iRo7ZILvWht89HhSLWfer2yUX+XnzZ7a5Y/Sqp7lNXkTeBFNIg1hTG3Dvc0N928F8X63IVqIJ3H0bXlL/9oE4tNb9QV/41YN4ZUMIfXd2yEFr+ZWfcHxCVu+PwXEebpdd+xj3arpg1u3FKftdk3Zt7tV0/u3binO4gfOmHibt+uPndLbNWXf9XZN2cW9XVP2hG/X9P7tm8KnDtnoa5CRnfMPBCLe/a2QliDgdk05VrhVU0jULZtK9PGhA+bw5Xb9cZRzu6b7t2/KcdOHjoIDr1v1J/GZbbrJlnDT2yki0OZeyDfvPwoJF2/V3719RJW3a8rB5+2acox6u6Ycyt6u6b33a3o7TQQW2w+n/EaK8w/1Re6aZAL92ks03HVZiOTxXcpvHCX/DwsnX0T7EAAA</t>
  </si>
  <si>
    <t>04BBCA7975F06A3D888127A83FBA59FF</t>
  </si>
  <si>
    <t>JChemExcelE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pPef1/2/y4/St/tffbR9r3x3s6ne7t7nz7cfXCw/+n+Qbq9Oz54sHf/3r37nz58eP/TT3fv7aXbO+P79w4O7u/v7x/s7h3cf/Dgfr/d3n68XeSznfGDh/sHe/ufPrhHL+/f/3S/99GDe/03D/bj2N0C44OdSLtPD3rdHuylu2Pq6MHug/sP96jJg70H6b3xvR0Cunv/3t7e/fv39w7u0UcHewc79+jPvYcPHuzgvb3xwb2D3XsPP723v3P/4YODBwcEit+i/vb393YeHhwwYrsP7+98Sn3e3yOa7+7dSw/GOzsBsI/Sa5qce2NGbWfn3v2Hn+4+/JQ6pRe8D3aAR9hm5wF1+um94LWd8cGnQRueqE95iA8/3d+5d7BD/4A8+/veZ/ceUru98cOD4LOUWObB/eCj+9FmPWjp9v3x3kO/03T70/HOp2GjHvZE1l3M0f6Dg3uf3t89wCf37+/cv7ezR5/dP9glAdkl4SWq3yP+fUDtdu8fYIQ7Dz69t7P/4CG9dn9/d+c+mGz34e7u7r17D4kBdsEBMfj0JkntXSu2R48n1XLm/cpy/Co/b/ZUlD9Kq3qW16Rv8CKaRBpC4G/bcP9WDaE8btUQKuZWDaGIbMO9DQ2hrm4FEUrtVhBZ9d0KpGjIWwH9NGi5CSi6v908imK+VVOo7dtNpWj52zVlY3C7pmwzbteUTcvtmrIFul3T/fdquhdlAP6h4nfXWFj6tWd97zrTnDy+S0b/KPl/AOBG/0sQCAAA</t>
  </si>
  <si>
    <t>58E23E8ABE197D1B0712D7E4EAE387C7</t>
  </si>
  <si>
    <t>JChemExcelX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Kv+90J/y35edv/m/8qP03d5nH23fH+892N3befDw/oMHO7t7Bzv30+1744f3HtzfOzi4d//gwb29/fuf9j/7lNrtjT/duXew//DB7v7O/v09Qr3/0b3Iq/2PHuxHXn2Qbu8Sdju7D3buP9zb232w++DT2Gd7KU3fp/fu7xzc33v46S79eLj3sPfZwX5Ks0jQDx58en93/97BwcP76d74wb2dg08/fUBIfPrpw3vdDwjOPsHZv79/n5rvPNx/+Ok+8cO9hwd7e/d3dqnBve6f3fafRiB0Ebm3lz4c33/goHyUXtPk7I/3dj/1noP03nh/3/+EPtodP9wJPrpHH+3e8z+5f5Bu74z3d+55z/4eKLn7wP9sD5PwYLfzEfV5EHx0v99svw/sXrzTLm6E7q1evRcZVm/s90GODvwHUVj9PvuDuteDv38fbEVyfdcK9tHjSbWceb+ypL/Kz5s9FfaP0qqe5TVpJLyIJpGGUAm3agjFcauGUC+3aggldKuGUFW3agiFdquGUHu3asjK8VYt79+6pWjb2zVlpWyb7t3U9HZTKSr+dk3ZEtwOATYYt4PKduV2UNn83A4qW6nbQd0Pmm6Eynbvdk3vwzzGmvIPldW7xmDTrz1jftdZ+uTxXfIhjpL/By8fkGhfCAAA</t>
  </si>
  <si>
    <t>B8A8D3280E86ABEAD23EB8023564ED5D</t>
  </si>
  <si>
    <t>JChemExcelq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EV6Evz3Zefv173vv5R/P0rf7X32EdHp/qef7u9/erB7sLuz++nBpwf7KX344N7B/YcPdz/99P7+vb39+5+mu+P93U93Pr13b29vf//hpw8ODvAR/fng4P79B3sP7x3co1Y7RPmDvYc79w4+vbe/9+m9+/uAtrt3/z51s7e7e4AXP71Pr97fo0Y79x7uEfh9GvPu+ODBw4O9/YN7u/t49z5efHjv3u6nDx8Seju7Dx5Sm08Jw92H9/f3Hu4/oI/T7Z0xIfXgHvW+s7d7b/fep5+m2wScIO88oGZ7hOD9nQfp9r3xzv6nD/buEcb71MnO/XR7f7x78GAPWO3u73y6s4dGB5/u3jvYP3iITghV6mBvfO8hjffhzs6DnZ39XcKU4BN2+/d27tFA9+j/D++n94g61M/efULv/sN7NML9MTXHSAj6/kN0uDc+oM4fPKTu7396/x7NPSDdu/dw997O7sP9+3sP9nY+Fei7u3sHexjlpwcPQHsa0cMQGBj8vv/Rp+nD8d5B+MmD8YP9G1/bpRF+2mkV6e/e+GEwnk8/Sq+Jfz4d794jKuwe7DwgWu7uP6CBg3HoAyIPjYPYm8i6v7/zYP/hAyL2Dn1IpLhHtHywu7dDb99/eHAP/HV/9+G93R1igL0DzOOnmNydvR0iJwG6f4/Yi758wFP+gLiQQB3cp8YPSUholnYf7BDz3r+3c//g4AHNHmaTePgef0QzQ2/cw5w/wAdgSKLwjrbb39kjjrl/Dwy//+D+fcDb26FpPDigARAj3EO/e9TvwwfEH4QfMQzJL80VUQ74EQH2H+w/2AN2NCQiz8OHD+8/IIod3CM+vkc4ELcT9F3iwB28ujOmb/f29w6I2QD2/j3ulUZKGFLfD3YJ7XtoRyJ5QGy6c2/3/h4R4QACRZz+YPeAhvSAZvgBqQh69cH+vfv3MIiD3U8fUDMi+y7J0QMSqAcPPyUG/zQ9GN/b+5TEgIScgH76YP90m3CJf0qDu3fvHg2ZSEBD3rl3f+AzogtR6D7JLhH7050HpOQizbqtwFOdVp+Sfr1rFezR40m1nHm/ssZ9lZ83e6p0P0qrepbXZBnwIppEGkI136ohFPitGkLN36ohjIFtuLehIUzGrSDCsNwKIszPrSCykboVSLTcvRVMsXi3a8qG8Vb9i/28HVQ2s7eDytb4dlDZaN8O6l7QdBPUEOimlvAV3OxvxJTdits1Ze/jVoN6ELS8gfH3bscq4vTcruntW7IHFYwJbV63eZ1XR2/kPf1rGAi7YLfrjz21W9GQm95uunkUt5tvcQ9vh8CBeJF9qPxD1e1d4/vSrz2/+K5zmpPHd8kdP0r+HxkFUeOqCwAA</t>
  </si>
  <si>
    <t>14B3F270ED66ED2017E7018F2FE9D066</t>
  </si>
  <si>
    <t>JChemExcelZ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Ir/XqTyE/996f3u//cl/3dSfpS+2/vso+19Gv/Og939/QcHD+/v7Hz6IN2+N97Zp98f3P/04MH9B/v379/HZ/sH9+8d7O3t7j98cH/34GG6vTfe39vffXD/3g69u3f/wcE9fPZw9/7D+wf37t/7dP/Tew8+Tbd3x/v3CMz9ew8f7h0c3P/04W66M97d39v79NP79+7t3b93f3+HhkaTdO/hzr2DnYcPdh7u7tOPXbx7//6nD+7v3H9ImOw+ePiQ4T2kvx48PCCA+5/u7e3so9tPCS1quXvv3i4h8+ket9s52H2wv/Pgwe7ew729ezSyHUKZXjnYvbf/4NOD+3v3d/HZAY2HRvnw/oNP9/cffnqPcPn03v7ODn26f7BDDe/dSwnavXv7n+58em/3/s7uQ4JJH326u3//092dgwe7Dw92du4fpHvj+w8e7Ow++JRg0f/2HqT74x0aNkEmWj7Ypz/v3yNMdx9+en/n4OG9+ynRdZ++ubd3j0B/+vDhPWLIvZ17O/fu7+4+2LtHeO9RR/cPDh7sP9j/FDOE6SD23/l0d4/ee0hTcfDpvYP04fjeQfDaR+k1ze/++OHB/u49QpOmCFCox4NPD4j+B/f27917+IBIujcmMLv0ERH0YPfgU+5gj4i5t3t/lyZg78EB5ntnvHewc2//Ps0PTc+n+0zjPRrrQ6B1sHdA2H/K9CQMHhAe9+59ev/TTx8eMKsQ/H2a6QP0+Clzz4MDmniaXJraTx/sgXv2x3v3CfX7NCH39h4S16CHT+/t7e4Rrg936X80bPSwc0CM8uA+EY76J4J/SlO294Cwp94e3t97sAc+pldpLDv3icf2H4Kj92mkoPOnO/vEtA/vUe880Ac0j9RghwWB4e+Bv/aI4kQW0Im5mBiEmHxnfw8QPmWCPCR2oXm+v3fwKbH7Ljj7/v2DhzuYy/s7n+49PAApP/10j6hB4/mUJGH34R4GTzjTxBzgXRKCT5ke9/fvEQvv00AegAIEjNiSWBWyQBgRv0JKSM/ctYrm6PGkWs68X1nzvMrPmz1VPh+lVT3L688+2sOLaBJpCBVlG+5uaAhFdquGUHe3agileKuGUJ23aggFe6uGUMO3asjK+laERMvdW8EUzX+7pmwgbtX0wa1bisW5XdP97qyjidi+o2/La/rXRhi7t+MIsYG3a8qm8lYz8yBo+TUHwVb5dpix8b4VZmLjbwVVXIHbQf00aLoRVyBwS1Y8gA9yq6b9lh6Jv3tLgrO7836zxj9UI941fhv92vPp7jqHL3l8l1zJo+T/Ad8RYsdmCgAA</t>
  </si>
  <si>
    <t>5FF1BB099541A4D22B899195B9EE56C9</t>
  </si>
  <si>
    <t>JChemExcelq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ev992fn7Gf93Un6Uvtv77KPtB+Pd+/fuffrw4N79vfsP9+8/vJ9u3x8f7D789OHOg917+/d29/foo/3x/sGnO7u79x/ufrpz797Bw3T7Hr25d+/e3v6nDx88uH/v/n66vUsvHnxK8PYfPNx/cG/3YOCzHYK2//DB/t7ep7u7D/cOPt2Lf9Z5l0bd6/XT/kf3+8D299Od8cH+wYOd/YOH9x/sHDy4T2TeG+8e7N072N/Zpdc+fXBwfy+9N75PA/z03u69h/c+3T8gWvc/ibwWAb4/DjAgrD6l9+7t7+3eO7i3s7dzQDTcH+88CNvcH3+663/yaUoceu/T4LWP0us9cPm9h/5z8CkQ+zT4LO02otmlRg9inxPNdvd3/Of+A3z4cDf4cDfd3hvv7wcv38Mc7O0Gn8WbEbgd/yNihiF8bjWY2yN9q4YkYsRznx4En93HUPb2aaYf7u7RzB/s3PuUJnx/z//k3gF9tENyf9cK/tHjSbWceb+yJniVnzd7qgw+Sqt6ltc0l3gRTSINoTJu1RCK5VYNoX5u1RBK6lYNocpsw70NDaHwbgURavFWEFl53gqk6NhbAf00aHkDiXZvN4+i2m/XlC3ArTAVQ3E7qGxPbgeVzc7toLJ1uh3Ue0HTjVCBgGOAjU3ZLN6+6e3mlZtGJ5Z/qFTfNaaffu25BXedz5A8vkveyFHy/wBUVj8LqQgAAA==</t>
  </si>
  <si>
    <t>40E9AF7E8362C275378E6F79ACC3F830</t>
  </si>
  <si>
    <t>JChemExcel7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pK+SN2/7r8vg7/o24/Sd3ufffRwfG93Z2f3wYN793f3d/bu7aUgxYH/0W5Ko/90d/f+we7+/f2dnQf3HvBHD+/tPvj0/v79BweffvqA37v/8GDn4NN79z7duXfw6cG99OF4//69T/fv3dvZP9i5t//wIH0wfrj/YO/h/YcPH3764N7+vQfpp+OHu9R2/+DT+wcHOw8efkpt7j3ce7C3u3OP/jnYo/F/Or736d4evURA9u7ff7Cf7o8P7t9/uEufHRA0wpM+uUdY7326v/fpw/sHOw/v06zt71LHD+5/uvPgPmF9H40e3tv/dGf33sHD/d1794ise+OD/fC13TF+fHp/j8aH4d3/NN0Z39u5t7f74CFheO/+vYc05nR7Z7z7YO/TTw92D2h8ezt7BH6HsHrw4CFhtLP/cOfTXfpoj1DfBxkJzt7Op4RMeo+I6Xe5H/voo/R6Dyx8f5/gP6AXHxKViRQ7472dg937D6gJTQj93MFnO/sPdg/2d3eJbJ/ee7h772G6vUu0J8re2324t79z79NPH+6n23vjvb3gMzTbfXjwgPC/f0BTTCjgo/u7BwcHn+58urf/gCZh/wCDpZ/7+0SG3T1ii4NPHxCddh7u7IJ69w7uE1kPMNg9Iu8evXSfxkBTf49aPdz1X3zwkNDdJ1bYpen8lAjz6f1ddLozJgy9V+/fB7rUiOi684D6ebhDPNZ7dTfy5qd9dB/cDt0+tmh0sPvw03skBg+J2+8//PRTsNp9/6MHJOd3raAfPZ5Uy5n3K0v+q/y82VPh/yit6lle0/TiRTSJNISKsA33NjSEIrkVRKibW0GEUroVxL3bNoSOu1VDaMJbNYS+vFVD1qq3ainK93ZNWUffipiiym8F9eDWLcU23L5/N+8bobKluR1UNki3g8p263ZQ2bzdDipbwdtBvR803cjQbFdv1RQscMumxlL3m/IPVRV3jf9Av/Z8i7vO8Uge3yWX5ij5fwDqq7o67ggAAA==</t>
  </si>
  <si>
    <t>2EE5B637BF4BA8B56140FB150CFDAA1E</t>
  </si>
  <si>
    <t>JChemExcelU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Yv0JPjvS/rvhP9v/nvt/YbPn9QfCbnKk3lWXxCUnXQ33XnP/7aJJO/2Pvtomyi6d3BwcP/T+w/u398/eLCXbt8b33/44OHu/Qf3Hu4e7OztP0y398b37+/uf7q3v3P/YP9T+i7d3hkf7D54sGM/QrMdavbwwd7DnQd793fv3acG1NH4/t69e67d/Xvo4d69B7v77jPqdX98b+fBp3vus/vo9iG+3H34cO/ewf7Bp/v80f0HO/fu3b9PzffuPdz5NN0Z7+0cPLxP3e0++PTeHr2d7o4f7OOjnU/v7T+4v7NP1Kch7O3sffpw/97Ow52HD+/d28dHeOPhw/0HD+7v0qfpvfHeAYHYP7hHbQ8ePPg03edh7j3c3T34dPfBvZ174MF7n+7vHexQp/fu0bv01sEO4biz/+nBg3sPHmLYe+NP7xNR7x3s7T3Ypdb3HxBOuwx2f4coff8hjZ4+2tnbebB7cHDv0x0a+T2h4f4BfUsE2qfuaAQg4d59Iv7B3v2HOzvUw709NNvbI2zQ8N4DGvp9YjjCg8b4gIb+gNA6eHB/H6Te2f304d6nuwRi51M86cPxvd1gAB+l18QK++Odh7sEcXd3b3eXCEPgHu7t36cXd3foXZq3eySd9+7RwPbv0UCJUPjk3t4eTRKRiAbyEJT/dOdTGoFrszemjokhNn1ChCBe8uDcp48OHnz6gHhwb5+Q3fmUhGiH2ebTnd37hPj9PfoHc09v0Hzt3KPGBw8/fcgfEbY7uw92DmhCMBtA6t7+PnEO0ZBm5R5oSrxBjHrv04f3aIoIFfDWvYcHaLfzkHiWaMCM/+nOAfHUARHhUwwdnErYU6NPIR4P7z98iI9oCndpXh9Q60/3icjbYIr9+wefgv3uU+uD++iUOOD+w729+zTh+zK5JAtgwU+JxLsPiU8e4KNPD4hT7+9j/qn13gHjtk/I0xB37hHNaRDMFxj67t7+PjHog51dZgvCnXjp4D69e4+00v3xvftE0v3dezROovc+EWiH1N9dq/+OHk+q5cz7lRXiq/y82VOd+FFa1bO8Jk2OF9Ek0hCa81YNoV+Dhmghyvno2/KW/jUIAvr5Vn1Bi9+q4YNuQw+N794OKSLAg9v2dXCrhjA9t2p477YN2ZJ94DgPvgEYsJy7t8JYjO7tmrJttk33bmoacuFgU7b0t2vKDsHtEGC/4XZQ2b24HVT2Qm4H9f7tm8KHCWd8UAbY/bkVruIl3Q4qO1O3g8o+1+2g7ty6KVPgdjwAVKMqh3+olr1rXFT6tee+3nW+bfL4LnnNR8n/AyHM8mJRCwAA</t>
  </si>
  <si>
    <t>F4AB8A28DDFB39D9BBECB9C4F0C3F6AC</t>
  </si>
  <si>
    <t>JChemExcelH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SE+C/8K/X/f/Kj9K3+199tG98cHD/Xv793bu3X9w78HBp3ufpnvj+5/ufPrpvYe79x7uPDzYe/Cg99HBp+nueG/v04cH+w8e7u0c7D54eO8g3d4hAn/6KcHbe/hg/9O9/b2Dvf6Huw/v9V++FTi8eStwez2E76fdge5GPumNvAeZZq2Hwb0H9OHueH9/596De/v3d+8/2N97cHC//xkRcntv/ODB/s79Pepyf2fv3i5htr1PAB88uLf76cP7e4TN/kH0o+6b9/bT7fvUw+7+LlDbuX9w7yDy0b30YLzzwB/nvY/Sa5r57Xvjnf2Huw/dk9JHB7v+RzTPBPDeff8zGsSn4929oFm/1UEcWKTP3fH9neCjByDxg3tEcffspjvjg52dB0EzevOB/9HBw36rfqN9mvjd3eAj5o6D8L1uo4e3aEOAboPTvVirWyB10Ae1G6HVfWq2QzrprlVKR48n1XLm/cpa6lV+3uypovoorepZXpM2xYtoEmkIdXarhlB6t2oI1XirhlCgt2oINXurhnu3bQitfauG0O23asgW4FYtxVDcrinbE9t0b1NTNju3g8rW6XZQ2YjdDirbuttB3Q2aboTK1vN2TdnI3q4p2+Lb4boTNN0Ila37rZqKE3ArBMRXuB1UdiluBRUU8JpuhAoEbif64svEmvIPVVZ3jbdFv/Y8sbvOTUse3yUH8Cj5fwCconPbHAoAAA==</t>
  </si>
  <si>
    <t>90F97ECC04F3C09069B22CBC6C871CC5</t>
  </si>
  <si>
    <t>JChemExcel7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3qSvkjxr/yH37+U3z5K3+199tHe+NNPH9y7f7C3f+/T+5/ufHpwkHY/epjSYO7d+/TBw9293YO9g5179x6k27vjB3u7D3bv00f3dnfv7X16ur17Hx/v33twQADu7z3Yv//w3u4+f96FsN/75P4D6nj3YHd/7/6nu/d2Pt27f//hHr97b7xz/97Dh/cPCKWDB/cP7u1FQT681/1on1p1BvPgHroJP9pL98c7O7s79x7Q3/sH+7u7ux+l10Sbber5IN3eH3+6+9B76KP743sH/kcPo63o9QfBR0S2vfG9neDNT9PtnfGDT4PPdtMH4/v3aS4eEjn29u49/BTU/ZTGd39/x38wmB68e+OD/c5H9OI9/5MDnqld6mPn4d6n93d3d3YOdoWsXYCf3ieuvGvZ8ujxpFrOvF+ZT1/l582esupHaVXP8ppYCy+iSaQhGNo23N3QEGx/K4gQjltBhAjdCuKu33ATREjkrRpCbm/VNaT7VhBZB9yqpaiKW/XOTd08boTKiudWUB8ELW8E6mbda8o/lPnuGv1Jv/Z0612neJPHd0mlHyX/D50Yt47uBQAA</t>
  </si>
  <si>
    <t>06020E11C559D802B32A58733476E79A</t>
  </si>
  <si>
    <t>JChemExcelh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N1/X6Yv6N8X+hf//Ch9twcC3Lt379MHD3f3dg/2Dnbu7e+nvY8+TffGn3764N79g739e5/e/3Tn04OD3kcPH8Re3N4fP3y4++mnnx7s7O3u3dv7dO90e5c+7jb9dC/dPiAKPzy4t7d3f2f34e79B/e4aQ/oXu+jew/S/fHOzu7OvQeEy/7B/u7O/v3YR/fpxf0Hu5/uHzy4Ry/vp5/SIA7uPST8H+7u7+w+uB/5pPPSvYcfpddEuO2d8YNPH/rPfrq9N763E3xGQ7033nngf3QAony62/mIejn4Wq164B+k25+OH+51mh2M9wNsH/SRPbiXYlCYxwc7Dx8cfHqw9+nOzsNP93fuy6Txl7cb4wNi67uWr48eT6rlzPuVGf1Vft7sKa9/lFb1LK+JH/EimkQaQiJsw70NDSE3t4II6boVRMjgrSBCUm8FkRoe3Ari3m0bEo4Pb9WQlYhteW8zIXd3bwVTNNKtRi6K63ZQWb/dDiqrwdtBVW15G6i7QVMPKv9Qlr5r1Dr92lP5d509SB7fJUtzlPw/TkHx54UGAAA=</t>
  </si>
  <si>
    <t>21B4E3A76A430A24CA8B8CF2B1CAF73B</t>
  </si>
  <si>
    <t>JChemExcel+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Br/78vIJ/zfR+m7vc8+2r4/fvjpw4effvrw/sGDg4O9/fvp9v74/s79e/cePty79+nDew92HvBnuwf3d+/ff7j78ODe/r37D9LtvfGDvZ37ewcHB/sP7j082NvZx2f7Ozv39vcPDnbof/sP8NnO+CG1331wsH//wcH9h/fu7eKzTwnYvXsH+7sP9z69f3Av3Rkf7D/ceXhvl/736YOH9+8dpLvj3U8f7j14sPvwwc7eg3sEa2e8e+/gYPfTnU/v7d3b//TTPX7x4U74WUpY7N7f/fTevU8P7n26/4DodW9MqKPJw4f3Hz58SFTfG99/8OnuPRrC7gOiwC41oe4JDkH5dG//4f79PWKNvf17+w/v7+/fpz8fHuzcTz+l12gs+/c/fbB3sLtDU/Vg/HB35+A+9UU/H+7c300f0mv79+/he5DvgEayQ68d7O3S4PYefHp/l2aRmI7QwDsEm8ZMFN29Ry/ev/+AMPp0nxvHWm0TtxJV9gnOfUJ2/wHTYG/n4MHefZqj/f2He/fv7RJ7XmN6H4x3du/f2zkgWuztfErESLdpCPce7u/t7X66f0D03XtIc3R/vHPv3s6DfZofmksiO3MBzdrBwac0v4QRjWv73njn/g5N2b0DGgY3AhWJQPcZ2318CPx2Pj34dOfBQ/qxg3HwfN8nnPd2H9y7T1P0gEaCedslpGgQxH339j598CnNyc79A3555+Ahscv+pzQrhA4N9sEevf4pccg9+mjnwS4NnZF7sLu/8yAl7tzZ29kj9ImZHoIiuxik/3xKHT74NPhor99qt9cKs9dt1W/06W1APeRWLBEPHuz4z3364oC4/CHN6gPw8KcHoPanNOvEkCQ3e8Sh90nB3LUa5ujxpFrOvF9Z5bzKz5s91TofpVU9y2vSlXgRTSINoZtu1RAa7FYNoedu1RDa8FYNoTNv1RCa1Tbc+0haiIo+eiNv6V+DIB76IHZDEN+9NYjdnVvhKwbgdk3ZTtyuKZuTgA4bm95uWh/euqWYsSEifvt2RBQ7eLv+2Fzerilb1ds1ZeN7u6Zso2/VVEz57Zqyxb/VNHLT24kxWG4vnMf3n5xPxf94HynhH6qt7hpnin7tOVp3nReWPL5L/t1R8v8AFR3LtfsJAAA=</t>
  </si>
  <si>
    <t>9D3ED57479FE3640C3CD018340D9334B</t>
  </si>
  <si>
    <t>JChemExceln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dB/X0Y++VL+/Sh9t/fZR0SJ/YP7ezv37n+6s7+zs7+b7o/px86DB/f29g926Lt79An9vvfp7r29g08/3d/bIXzvjXcfPDzYPdh7+GB/7+EOjeLe+P4OPXv3dnb3Dg7ufXqPiLyz8+m9/Yef7ny6v3uwT6O4Nz6gtw8+vbdzf3f/wQOiwd740wf3H+zf23tw7+Hu3v096m1v/PDh/Yd7D/Ye0LN78OB+ujs+oPYEYf/T+/c+/fTgwX66M763f3/33qcP93f3dz79lFp/mm7vjKkJQz+4//DevQf3PqV2n+7cv//wYOfB/d2HD/c+ffCAPto7uI/XHuzeu/fw4e4DdElI79+nVg8ffnpw8OAehnNvn0b8gPB98PDThzsHD4gMn2LMn97bu/fp3v7D/f30U3qPBnh/f//+/v29hwfpA3rrwe6D/fufPtg72AWhDsafHuwQET89eLi783CHBkOMubt//x6+f3jvAX2Xghf3D/Z2dx8SHT69v0vz3vso3SVSEcEJCvX18N7u/QfpLk3V7v37DwhFmhZqCxIQ3L17D/YPDh7STGA+d4me9z69v09D271/cG9n76P0miZ+mwDSrO4T9Ief3iOC0dvU694u5nf/0z1QcP8g3X44frBzn4hOHe5/Cg5Itw8waXs7D2iyP31Ak7ufbj8Y7xLh7j+kCbu/T/Tnj/YPHu7sEwn3iMwELd2+P6aposHsE9VoHMQR20TUe3vEDntE5d0HBwe76Tbx1h4N6h6x1v7BA+IYakYz9PA+oXtAs/3wPk0JPtonRPc+PSDqg/zAjDTEAZH/AfVJHLH/kDlg59M9euceUXrngBjmHhFufJ+mlFmahv7g/v09UO7+pzQc4kLi6oOde8R3RMwdYEdI7D7YffgpZrjfrtfsnvBi2OzTh31w+w9v1y2meszUd59Fuohgsg9qHuztEXEOiBpMeHrz0/EByQkJ3u7+p2CX+6TG7lo9dvR4Ui1n3q+s2F7l582e6raP0qqe5TVpZLyIJpGG0IC3agg9eauG0Ka3agide9uGD27VEPr7Vg2h5W3DvY+khViMozfylv41CAImwsHYDWF89/YwdndvhbFYo9s1ZaN1u6Zs2wJKbGx6u4nlYd2yKRvVITJ++5ZkZKt8u/7YeN+uKdv42zVlV+BWTcVjuF1Tdixu15T9j1vNIze9nSSLN3OrpmDPvQ+dRzhO0WnkH6rq7hp/j37t+YJ3naOYPL5LLuhR8v8AW3SLW54KAAA=</t>
  </si>
  <si>
    <t>7FE4C811666875ABCB7CA56969BD576A</t>
  </si>
  <si>
    <t>JChemExcelZ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Kv+90J9f0n8n/H/3+Qv+77V+5/4z75x8lL7b++yj7U/Hn356cO/h/U93Hu7u7+w+OEi374/v3dt/sPvp/sGDe7t7u/v3+h/dT7f3xzs7uzv3Htz79P7+wf4uEWF7j2A9uHf/YG+fPvx058G9/kc0zu6bO5+m2zR79+59+uAhwT7YO9i59yl/tnv//u7OwcOH+/c//XTn/qf7p9tE2l7b/cj7D+6j6/v7D/b3d/f39gn1h/u7e/H3Hzz42phHPnoQpV+Xyg+jrfbGOwe7e/f29x/u3Nu5t/tg/55gvDem7/cP9h5SNzv0hn68SwPc8Z69lD6599B7HnzKL9Nodx4S6AOiC+EQJ8OnsWnYx2eECnVN87T/6cHe7u4Bv99teu9B/6N7aYeIRIO0S7D9yCe91w7SDrnuPfwovSb+PRjvPwhp8GD8IP10vPtp+Cm9/hAf3/fJ85Aafxp8cJASwPCj3icPem99mkI97fgfHdgeP03vjQ/u0z/ELd35oWY74wchMGKN2Gfdyd65x+2CwUOS0E/wmXTd+agH7UH/o36rXRr5/h6J0wHE4d79B5+CEz/tI3zATHsvpMg9Ru5B97NYuwi8B+OH+8T/O/f2Dj799B7J80DPDyMQH8R77n72kLT/Xav+jx5PquXM+5Xtwav8vCG2gz0g61HVs7wmQ/aRtBBLcvTdx3e9v+SPOIh7AYihhjA8t2oI83SrhjBit2oIU3erhnu3bUgQD4YI9+3bEQ6W14LY29AXbO/OrbCCxQ7nc6ilGPtbdc9NbzfF4jrcril7GLdryo7I7Zqyv3K7puzW3I4C7P3cDiocoNtNFoi198HSx87YrfoTn+1WA+ambh5vbHq7eRRH8XZQ2Z+8HVR2O28Hlb3T20FlJ/Z2UO8HTTeqQHaLb9eUvefbNWUn+3ZN2Re/VVOmwO2aMtQoD/APNT53TeBCv/aCmrsu4kke36VY6ij5fwDeVv+eZw0AAA==</t>
  </si>
  <si>
    <t>62A5D1AA7582F1023EAB0F031C5A7A34</t>
  </si>
  <si>
    <t>JChemExcel3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Gr++zJ9YX/Hf6/t5/INfp6kL7KPhETlyTyrLwjCTnr7/7Z36R8iwbu9zz7a/nT8YP/hvYcP7u89ONjf3bn3IN2+P763s7f3YOfg4e7BvZ0H+Oje+MGn/kcH6fb++P69Gz76FLAOPr3/8P7Ozu69T+8fPHiwB1i7Dw/uP9x98GBnZ4da7/Q++5R+Jyzp1f2Hu3uf7h/sPtj/9NM9wmOHetjdu3fv/t6n9+SjnfHBzt7+/n3qhNrt7xw8SPfG1Nnu3v6D3Qf3dh7u79+7n94b7xPQnXsH9x7u3nuw/+DhvXSfXry3f7D38NOdh5/ev09z9ym992D3072dgz1qcP9++mC8T4PZ393b2f90b/f+AX10QG/t39/buUdo7T+kT1Ni0N17B7sPqSN678Gn9x9EGvUg9Ym13/9or08/fHL/04efHjzcObi/f+/BAfHf7v743m6AwUfpNc3tvfGnBw9odPce3D+g4e9jzHu7+/cIMRrxpwf7D/qf3CfqHRzsfEqoEpn2d/ZpXknC9oNPiH/G9x/4Hz3ARIQfPbyP6Xr4KVHy4MHe/T0axac7u5jWB/e8z+4/fNBrd//goN/uYL/f7gGzSdguAu7TT/vNPt2NtIugFwHH8sAs4vfQGT8RoAfs051Pe69G8PiU9Mb9MXh3b//ePeLHB3sPiIdJEZKWumvV1NHjSbWceb+y3nqVnzd7qro+Sqt6ltekcPEimkQaQsHdqiHU4K0a7t22IbRq0BAtRCsffVve0r8GQUArWxB7G/qihg9uhRQ0/K0awg4EXXv4ntwOe7Yjt+pMzM3tmrJVul1TNl63a8o27nZN2RTerilbzNs1ZcN6u6Zsf2/FFtzUTeNNCOyFs+XN8S359QDewK26E6fhVoPgprebRngh0VnkH6pM7hqHiX7tOVN3naeVPL5LPtxR8v8A/k4lct8JAAA=</t>
  </si>
  <si>
    <t>898A9C430CEF4623EB0535D24E3C48A0</t>
  </si>
  <si>
    <t>JChemExcelT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95/Zfra/9N9fJK+4F9fyJ8v0i/x30dCq/JkntUXBGsnfd//dvnf7d2P0nd7n320P9779MGDB/d2Dx4e7D98QGPufnIv3Rs/vLe/83B/59ODnb1d+vLTdHf86c7O/u7+w/1Pdx/e+3SfaBH5qPvip+kOAf/0wb37B3v79z69/+nO/Xu9jx7s3O9/9nCfMB7vfPrpw/17ew8f7H+6t7/34CDy2b10e2+8v7Pz6d4eYbD3cGf/0/hH98YP7u3f29m9v7+7u0sDPaDP7hO0Bw8PCOQejeL+vf3oR7E3P6UOdj+9//DBwf6DB/v3H/Soca//0f59ItABIbNDcB7cv7e78+k+fXLvgd/oAdHi4J7/yf2H9NG9+/v39w6oq4P7NKxPY1P0cPygM48kW/fv+R/txT46GO/t+Z/sf5ReM6McHOzt0AD2Dx4+IEofpPfG9/a9T8An9x8ETT7ttqG3unAekFB/ej9s0/3k0/t92ETOnXud3sA2nY+IQ2g0Dx8+vH9/d2fvAQEBN+zs+x+RYNOk3j/wPvv04YN0e5/I7LeLt+pC24l0uhsB1kX2YfS1vfHuAU3FwcE9+vQB8denwIL44mCXUCGO3LtPv/Q/Iwbovnuwsx8jGvW6S93t3dvZIxEiaJ/eP93ehYjfu3ePeH93b/dg72DnHsbf++ze0Oukce9alXv0eFItZ96vrINf5efNnqrhj9KqnuX1Zx/t4UU0iTSEsrYNdzc0hEq/FUQo/ltBhHm4FcRdv+ENEB/cqiHheHCrhrBct2rI9u1WLcUM3q4pW8vbNWWjejtysu29HVQ20beDypb8dlDZ4N8O6l7QdCNUIHC7WcVk3W5axR+5VVNxW27XlL2bWxFAnKDbQWVf6XZQd4KmN8j93u3kWfyz2/WPprebK24anSz+oQrwrvFP6dee73rXObbJ47vkMh8l/w+52lCLTgsAAA==</t>
  </si>
  <si>
    <t>0AE59E297C977554FBC7DC4ED1BD1A15</t>
  </si>
  <si>
    <t>JChemExcelH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Nu+u/Lgc9fmO8/St/tffbR9t74YG93/8HuwYO9B/sHn+7vpdtEuJ3793c/3d072L1/8OkDwnxnvLe7s3/v4ae7n+7f2917+JAw3x0/2Pv03sP79z7d3dnb3XtAg9sd7z08uHd/d/fg4GDv4e4+jWVvfP8Bt9/ff/jg0/sPHu6n98YP6PudBw/u797f29k/ePiAPtr79P59woQQ+PThg/sP0v3x3v0D6uoefbZz8PDhAU3pgwf07cHOp5/uPjx4+OnD9FPq7sH+w3uf3r8H6Du76YPxwS5+v/fwYIewfbCbHozphd0HD+/fv3/vwcHDnYOUGOfe3t7uvfuE1sNPCRN8crBP49g5ICrs0iDvpbt7YxrXvd1PP723e7Dz8P7B/fTh+OA+DXiHhkPY33uwT7Dv3fv0U8KAvni4s7+zT/3fIyrt7x/sUY+7u5/eJ6zxOzqmtru7NPz7RN79B5/e26eOiKifEnN8On7w6ac0xr29e/fvHezt8ND27z0AgT/dO3iw/+Ahgd6jge4QMPro0wd71PuD+3v7hNk90O3Th3uE4d6D+58e7O/u3d8ntPYw+j2aiPtEigPM5gE1ebB/n6bnUxDk/sN7eynJyR4hsk/Pzu7+fRoH4IAM93YJ6R1MEWbxIXWzT3/f+/QeTfp9muuDezSDB/sHNNz7Bw8eEn9eg6P2xzsPCKf7RHV69R4Nhj66t//p/v39vZ0Hu/do/vgj+v7+Hg3nwc79BzvE7fQRTcb9h7v3CDui1sGD++n2pzQND4h41M/e/h4NJd0GIWj6Pt2nhgf3d3e41R69Q+CJQgd7n+7cY2CEA3HYfeI5/Jtu3xsT5xCMTz/df0h89On9T/EZ0YAmlChGhNwjAdym+SGWIVa4d//T/X2SCnz06X3C9sG9PYK28ylRjeDvP9jfv3d//94+DeAh5GYftL1PfLC3/ymAPgRiu0S3h/v3d2jw9+7tH+AjIgURl5jqHpj2AUZ078EuzSFN0x5Y6wAf7e7QdDwgTIhtPqVPaCqJ/z8lvn+wR2zxAJ/s7HxKk7a78+DeDrXeBXCSop3dHeKQ+yQ1nxIh9ohNIHo0b8S3xOUi4ESo+wckYCRABwf05s6YxBry/JDwBMeCOjvj/Z0d+pOIukcTQ8PEyzTlD/YIAvHGzt7OwQNQcYeoTnJHnLYLgb5PGuPBA5rGh/d2Dj4lbbJ3gI+IDA/BA6RUHpJwPCS+IsD3iAeo4UNoB8Dav7/3ADzPYruLT0hWCcjBHgkXcfX+p6SU71qtfPR4Ui1n3q+spl/l582eauqP0qqe5TXZF7yIJpGG0Oe24b0NDff9hoCIFmIyjr4rb+lfm0DcvxVSsC23avig29BD49u3QwoW7FZ97d+2IQzirRqy2bxVS7Gut2vKRtg23dvUlG317aCySb9dU7b8t2vKDsLtcEXTB7eDyu7G7aDuBU03QmUH5nZN2c+5VVNxh27V9MGtW8K/6nAL2ryfsILl9kId4r12S+ESL+9WUyHO4O3Gtw+f8XZQ2bW8HVT2QG8HdS9ouhEqELgdh4nre+um927HYWg5yAu3nMZ98cPfBwb/UOt01wQc9GsvGLnrIpXk8V2KgY6S/wdWHyKVHw0AAA==</t>
  </si>
  <si>
    <t>DD0134F27DC42E3FF27632BEB22E5EBB</t>
  </si>
  <si>
    <t>JChemExcelt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Dv33pff/8FP676P03d5nH+2NHzy8/3D33sH+w7379x8cUA/3xvd26ZOH+/c+vb/z6f3d/Xvp/vjg3v2dh/d3D3Z3Hn66f7BPdLx3/+De3s6DTw/u7T/Yo0Hsj6n9/Yc7n+7u7uw8ePjgAG/Rs/vp7sODvfsHD3Yepp+O93f2HzzYfbi/d7B/8OnBbvpgfO/hg/s7e/TO7sGDh3vU5ODB/t4D6nfv4b0HuwefpgfjnYc7Ow/3duk19L+fPqSu9h/cu7fz4P6newf37+1Tm4f3Pv304ODhzj1Ce3/nPrXZ/ZRafHpwf3+X4O6lxBf3H95/8IAw+XSHRkr0fzCmD/Yx7Hs7+/TiwX20unf/wc7OvQf7+zsPdx98+iAlhrl/sEe0uH8fg7lPje6Nd3b2Hn56/95DjO8hTSm4ivCngd7bvf/g/sMHQPtToimRkQDReO+le2Oi8qf3aOCf7u8e7Ozcx0f39gjdh3sPHu5++mDvwf6n6c6YBrl//x4Ni7C9t3Pv03R7Z7x7sEdE+RT/7NJQ791Pt3fHn1J/9/buffrg3v3dhzsH9Cr3dUBTtH9A2NwnvtkdH9z/9CFRnYj4gIb+6T1M8IO9g0/RCdHswT1iqGtihW0aFVHs3v7ep3v393YIZfRx/2D/0/17RK4HmA+aDvrs3i7RiLqkQdzboVmhjndpWLv392gGDg6INA/Q8b3dvV2aQqLK/T2ayT0aLUiPcewA5qcP9lP0uXv/IfVIc7KzS0wOhIkB9u8REXfu02zeI/A0owcHROCDh8SOBzQboAmR/x6R6iF9cbC7ex/t7u3t06Q9oJ7v739K+AIajYRISXyye+/THXqThg9CP7y3v0/fHBCP00cHD/cO9gjRnZ2DvV0Sgv0xMxax9P6nxDJ7PFUPHxIZ93cOHhKBd3YJNn23Q8jv3j+gJjs06Xs06Xt7D+/zPBNPHwDPHRo0sT/N5qd7Dw52HkDE9vaJxw72MYIH+wcEaoeaE7MS7D2aXaLpNkb94N7eLjH1waf7nx48fHAPH35K3ErzSXAe0uAPMOtEAoKD/h6A+cFDxCgHJBt7O7sknTQz+9QFYe+D2yds6U8P2EP6hLhnn6T4wQ5NHA31Pum5u1bRHT2eVMuZ9ytrvlf5ebOnyu+jtKpneU0qGy+iSaQhVKRtuLeh4b7fEBDRQrTw0bflLf1rE4j7t0IK6nqor+/eri+o+1v1BaNwq4YwHbdquH/bhmyJPnCcYspu1Z1YvFs1Pbh1SzGhHzoItsG3YkNuejsuYtQG+eiWPCsuwe36Y8/hdqNA09sxyQHckA+kL1yW2/GIeDu3a3r7luw+3Yow4mXdDio7Y7eDiqYhJww2Zdfudk13369pqGZunEX+ofr9rvGC6deeh3zXuc/J47vkmB8l/w/jCXXbtAsAAA==</t>
  </si>
  <si>
    <t>80D0447CDFB17B906CFCE399DA1C7D41</t>
  </si>
  <si>
    <t>JChemExcel+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e9+lOZljsG9uV7lRKt0839f8r8vBr77MvgN/375Ufpu77OPtu+PH3x6797Dhzuf7u0e3N8nPLb3x/t7Dx/sPny4v3Pv/oP9nd10+9545+GnO/s7B9Rm7+G9Tz/dT7d36c29e5/ufvrw0wc7u/fu7TyIfLaXbu8QuINPD/YI1MGDe3sP7x982v9wfzf+crfj+/fjn92qk08f3E93xg939h8+/PT+/qcP7+8/uHewm+6N9+4d0Heffnrw4GDvwYP9/icPuu/t02jvje8/2LtHfxDxdncOdqjLfWr16Q7Rc3dv/97Bwf5++imBImLe27m3v8fg0gf0GrXY273/6c7D/YfEVQf01oOdB7vU08M9osXDSJveqA/6E3Wv/9GnvRcfRCi9H5k64s7d++P79/YJ4H1ChEZJTL67P97b2Xlwf4dYhv59eHA/+tHemMjnRnQ/CuobhP5gvPPAB4VPiPo3fHJvTHTyPvkovYZI7IyJ9e7v2Idklaiz88D/bI95Lmy3C0bsNoRU7I0/3Q0+u4dZuXewRwxlH8wdjSb86P7404c3t2JYBiHvq4OH6S6x3wO/9R4xN9PTx5Bb+SP5NAJMx+Z/dL8HbK8Hq9/h7dpEEOgOxvTvffQppHI//GR/fG/X/+RBr00E0EMM9/4+Ju/ejvcxABLBD/ym/Bm1vhd8RgT7dHxwb293n2QKY3r46f7p9i6ofR8qhkwBwbmPP3sv7o3vf/pw98EO6Q7SGTt79N6n1JCk8tMHpFt2D/YOSL6Z3fqfRXsl63fXmr+jx5NqOfN+ZXv4Kj9v9tQkfpRW9SyvyW7jRTSJNIQdu1VDmFfbcO8jafG6zeu8OjqRt/SvQRAwz7fqC0Y86GuoIUz9rSDCIbgVRLgNt4LIzsWtQN4PWm6CCedk91Ytxae5Vffi+twOKntIt4PKjtTtoLK/dTuou0HTjVCBwO0mXxy92zVlf/B2TdltvFVT8S5v3/R2ogs39XbzKh7trWZAHN/bQWX/+HZQ2Y2+HVT2tm8H9V7QdCNU9t1v1VRc/FshwE1vN1mMwO1mS+KK2zXdR/hxu6YcpdxuWGh6u9liXG83BRIa3Q6BA0RQt4N6TwKtflP+ofbxrgkl6ddemHnXxaDJ47sU3R4l/w8OmkhA+Q4AAA==</t>
  </si>
  <si>
    <t>0A6AE1BC6769438B74FEB8E8B5AC3DE0</t>
  </si>
  <si>
    <t>JChemExcelSA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3f+e8X/m55f82Qv+1/3+Jf0rn9m3Pkrf7WE+du/t7z+8v7d3b+fT+3v3qc+98f6nB7sP9unzg4f39g4e7vc+Orif9l582PuIxtp98UF6b3yws3tw/97+p58+2Nu9R3TpfXIPc3vv/v17e/epp/2H9+4/TD8lQA/3dncf7O7ce/Dg3sP76f743qd+m4NP6bWHO+Fr2zvj3YcPdw/uHTw8ePDp3oODezv30u3dMTU6+PTezt7O/Yc7B7s0wp3x/Qf026e7O7t79wiNTx/g3YefBu/2UL1/v/fRp13kP93tfbLXe+tBl1IPd3sT8XDnQY8M/U8+vZ8+GD/Yvb/z8MEBvby7f7CLT/buha8djHf39/d3dh4+PCC4Bzv3CclPHwaA6BOaSQzy3sOdew8JXqyz3kfU2cEOcc3Owb09ou8+cfZDGv+n9wn8/f2dezTmB5FP+m+R+O8/2NnbJ/xocmlE9z5Kr4ll740f3Lu/s7O7u7dHzXY+fQBeuL/jfwRMd/a7nxAlvE/uEw1oVrxPPgVae5vb9OGQLHRfw/gOHoafYDQ0DBrk/v7e/YdELczTw10Md2fn0x1izN0+pP0epHs9SF04pFK6JDqACO8GcOij3fG+39mDnV2Wl919YoqDBw/uf3rwcO/hQxaigwPvQ5ahTsN7OzTzHYDoI/ouMfZe8Bm1uze+d49EgkTwU2LKe6ROtvdpXGDfPYL48B7JYLqNaQWiJKL37+3ukeDGWvVhdUb/IEahLhP1ydiD8+nDez0q9pmRDMxda2GOHk+q5cz7lU3Oq/y8IdaGySEDVdWzvCbd/JG0EGN19O3Hd72/5I84iHsBiKGGsG224d6GhrCAt4IIO3kriLCmt4IIm3sriPf8hjdAfHirhmzob90ynLVNLfdu1RLuxO2mUTyQ2ze93VRyUzeZm5qCZ283m+wYhU3R5v34W7yr2/XHTtitmoqvdrum7NLdril7frdqimHdsinjersZF5fzdk3ZM72VsIkDezuo7OfeDiqa3m5ixWu+XdP7t24Kdrn3oepXHPlbDVj8/VuhJmHB7aDuI3q4HVQOMm4HdTdouhEqEIhyB/9Q03fXRGb0ay9qu+tCuuTxXQoWj5L/B7slCHJIDgAA</t>
  </si>
  <si>
    <t>94CEC138DE22351C0FBF850EBBDF8850</t>
  </si>
  <si>
    <t>JChemExcelug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2v/vdfol/fdC/3rh/V/+/pJ/fqk/zX/010fpu73PPtof7+08uHf/YG//3qf3P9359H7a/eTTdG/86afhJ/fHD/b9Tx703npAbe7v7+7ce0B/7x/Qb3u9T+713jqgvg7o+wcPd/d2D/YOdu7tRj/qvxeDFGL9YL+H9kH66fj+btDofq/Rw16jg/RgvHO/+8nB3uY2D1Ji5XshSilx7+69kP67hPiDkNy798b7AU7xVl1YD24eS6/Jg91ek70ecR+mhFDQ1cNbNaLxjg8eBh/t00e7AeUefnqLVj1ID3b3PkqviaG3u/N+kG73maP30cP+R5+m2336bfc4Jt3uz/R2nx16rQ76sAh8j0fw2e74YRf/aLs+f+HdBzuh0G0TO+3c23+w++k+CRZJ1T2026d3D+49pNce7u7vEFoDn8XevW0f3Xa7A591370fwSX+EU3YDs0iTdrOw08P9nZAqQcE7f6D+/cO7u89ePjp3v4+fXZArz7cv7f38ME+fbKHZg/p1Xu7u3v04v79vXu76PS2hOp2++lAt7HPYih/XcLDrt21hu3o8aRazrxf2dK9ys+bPTV2H6VVPctrssh4EU0iDWGhbttw/7YN79+qIYywbbi3oSFM9a0gwqDfCiLM/q0gsnNwK5D3g5abYMKZ2L1VS/FJbtU9N3UzeWPT282lOEK3a8r+0u0QYLfqdlDZ+7odVHbSbgeVfbnbQb0fNL0R6u0mVpzIWyEgvubtoLJLejuo7LneDio7uLeDuhs0vWli927HA+JZ364pO+C3a8p++q2agl/v3W5ixeu/XVMODm5FV4khbgd1H6HG7aByRHI7qBy43A7qXtB0I1QOhW7XVCOmflP+oWbwrokF6ddenHjXBZHJ47sUnh4l/w/MvCwuug4AAA==</t>
  </si>
  <si>
    <t>7B7D95713C06E17371542AE6B2BC6B48</t>
  </si>
  <si>
    <t>JChemExcels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9ZeXObB7c73KabDpwH9l+oJ+fEn/naTP8N9H6bu9zz7aH+/vfnqwc//ew70Hn+7tUh/3xnv3Huw8/PTh/Z179w8OHu6le2P669MHBw/uf/rg/u7B7qf76e744YOHDw7uH9x7cHBv//7+/v10Z/zwgP7be7h78HD3wd6DvU/Th2MCu79/b39vZ29/9+He/dNt6oDIeu/epw8e7u7tHuwd7Nzb73907wF1+umnDwiBvf17n97/dOfTh+n+eGdnd+feA/p7/2B/d4f6jHzUf+8+Ad9/QFgfPLhHHeyn23vjfRrew/sPdg7ow/2DPcLrfrrdxeLTAzQNwD241292nz7rDP7TB5+iXUCje5/eIxrR9we79+/v3ds/uP/w0x0iEnWxS+Td2b336e69vZ39h/f3P0qvaWq2H4x39+ntTwn7h4T5zm66fTDevXf/wd7DvU8/JdT3H9BgPh1/uku43L9HJKdpw0f3x/v3HmJeqc3Op/v7NI798d79hxjv/t7+zr29PcL53njnwUPvObgHXO7tdD/bGT/4NPhsN/2UeOQhoXafBnB/f+fBAU9sryXxTg/iw3jH9NlBejDeuU8k3P0UpPiUkLVgH+z4zwOel32i4qf7n+7s3yPa3Xsgc0jd7fZH+2mPJveZTHv7AeGBxt6n3gTdf/Apie9dK79HjyfVcub9ygL9Kj9v9lSmP0qrepbXpInwIppEGkLyb9Vw97YNoUhu1RDqxja8t6Hhp35DQEQL0WtH35a39K9NIB7cCimoPttwb0NDKMhbQWQ1eiuQom1vBVSU8q2gPgha3gj0dpMMvX+7WRaTcbumbFluNShuersZ/fS9WrrJ7zDad2/HaGIRb9Udmu45zrixaZQz+IdqgbvGBaBfe+7BXec7JI/vkldylPw/LsYGy7EIAAA=</t>
  </si>
  <si>
    <t>0A11A1B9BF66A4010B28F56F2A03132D</t>
  </si>
  <si>
    <t>JChemExcelO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OW/F/pT/vtS/zspP0rf7X320fbu+OH9T3c+3Xuwu7ezu79/f/9eur0z/nRv797BvfsPd3YPPt3fPdjrf/ZgP90ZP9jd3Xt4//69XfrgU/q499HD3XRvvLO///DB/qf37+1/+vDT+/u9T+73X3vQ7/D+p/3P6KMu/rHPdh5E2/V6vZ/eG997cEB4PXhwf+/hg08f7uynD8b37/sf7X6UXhPh7o937u186p79dH+896n/CY1rb/xgr/MR8PA/+hSj39/tfEQjpUHec8/ug3sYw8HD4MODdHtv/Omn/md7+/12ew/7AO/d6/VLU9rFjj6K9kBj3Qk+u99vxxTeIQa/azn86PGkWs68X5nlX+XnzZ5y/UdpVc/ymkQTL6JJpCFk41YNIUG3agg5u1VDSOOtGkJmb9UQkn2rhpD/WzVkLXGrlvdv3VLUzu2asna6VVNgeruZPICmu1XLB9CHsZb8Q3nvrtHE9GtPS991Kjx5fJeMw1Hy/wBx01+YOAYAAA==</t>
  </si>
  <si>
    <t>F5CC9C5B6ECB46614681D99ED704E58D</t>
  </si>
  <si>
    <t>JChemExcel/A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E/55mWO0b65XOREv7f/35S0+OUlfB58+M/99lL7b++yj7fvjvf1PH+7du3/v04O93fv30u398c7O7s69B/c+vb9/sE8EoDb37u0/2P10/+DBvd293f39/kf993YepNt7408/fXDv/sHePn346c4Dok7vMwK2O76/t/dw9/7e7t7+3s7BwcEemu3uP9w7ePjp/t6D+w8+3SNCbt8bf3qwc3D/3r1Pdz/d23/wKXf6YHf3HqH08P7+7oP9nU8B7R61ePCQ0DrYO9ihcfU/u3+/j0h/BPf74+x9QpPWe68/yk8PIgTa5VHuPTzY+fQBRrNzf+/+6TZxWBdbYpIevIO0C27/ftrF7WH6Kb13cO8hvfJwd39n98Gn6QG9tkdkf3Bv5yGmPH1IL91/cP/ewf29Bw+Jrp+mJJCffvpw/97ewwf79MEezcfuHr12b3d3j17av793j3i/9xG9eG8ckple3B9/+mBn/8HOPep+5+AeIb77Kb24T9O7/+nuw3s0wenuA3rvAb1y/+Deg0/3gcIBvbZ7f+fBg5379x/u7T+8l+6Rmti5v3tASD8gNiFs092H4/19v9WnAPVwx/8IoIgZHXCae8Lg/qd+fx+l1xCGB+ODe9QD8R1x2c4+ZujT8cO9h95Dc0Gf7d73P9vH3NJYwo/ujQ/2/Y/u91t9+mkfGH30YLz7cIeIs0tEebj3KU3j9sH4/sMH9/boo4P7JAyQt4Mx8cI9zOP93XtEGXrx4fj+wc6Dh8QxnxJX0Mz1sWCppKkPPyIJvBcgcb/f7D7LVthu/wF47tP7D4lhH+7tUJ/3D4SHd8Y0A96zn94b7xALHuztEDvuPHyws3ePG1I3u0HDCJ0eRMYRIfpBv9nB7Vrd6zd72G/28HatPu3T7uDBrV+lZpFpwzdEwAMGvYtW+7u+pPEckrTeI/354GD3we7DT++x+to98Jvt87ze3/Xb3Sfj+viuNY1HjyfVcub9yrbyVX7ekITAVpJlqupZXpOR/0haiJU9+vbju95f8kccxL0AxFBDGOVbNYTpvlVDGPhbNYQbcKuGe7dtCK/iAwkHr+RWfbHvcquWe7duKc7QB44AjtPeEIzv3g6GeGO3w5mdtts1Zd/ONt3bzERey69HCHEjb4cZe5u3wkyc0ttBZd/1dlD3g6Y3Qd27JT/BWR7kp1vygnjdt+pPnPPbNWUf/nZN9+Hq364pRwS3a8qBw+2acnxxu6YchtyuKUcrt2oqQc2tGImb3m62JES6XVOOpG7XdB8B1+2aclx2u6Ycvt2+6e1mi5vebraA6/4tZ+u+hJb9pvxDrf5dE03Tr71I+64Lw5PHdynAP0r+H6Vb49v8DwAA</t>
  </si>
  <si>
    <t>0561206033554C9FA2AE4F3DDF78A3C3</t>
  </si>
  <si>
    <t>JChemExcelx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470UqP7/Un/5/X/KnX36UvtsDee7du/fpg4e7e7sHewc79+7dT/fGn3764N79g739e5/e/3Tn04eRT/bHOzu7O/ce0N/7B/u7O/v3iTz37u0/2P10/+DBPYK2n35Kbx3ce0gvPNzd39l9cD89oLf2dh7sP7i38/DTg73d9CG9c//B/XsH9/cePPx0j6DQFHz66cP9e3sPH+zTB3sH6e4evXVvd3eP3tm/v3ePIO/eGwdI3499EnmtD3t//OmDnf0HO/cIwZ2Dewf70Y8+JVD7u/sP9z/dfXjv032i/+4D6u8BdXX/4N6DT/f379+/Vau9HlH2P0qvaRq2Px0/vJduPxh/+jB40u2H4717/icHKdrudVp1X4y0OvgGW8V7jKAKidq5XbNd+rE7vr/vf0X90Dze25Ov7tOPe+ODT+kHTRKRi1juIIBEonbXytrR40m1nHm/svC9ys+bPZW/j9KqnuU1SQFeRJNIQ0jpbRvu36ohJP5WDaEXbtUQ2uNWDaFjbtUQmuhWDVlf2ZZ7G1qKWrsVUNF+t4PKSvJ2UFmX3grqw6DlRqDo/3bTKTr8dk1Z1d+uKVuEW42Km95uWsW+3Krpp2KF+i35h8rfXWMX6deezbzrDGry+C6Z6qPk/wF6B1UTxgcAAA==</t>
  </si>
  <si>
    <t>0CAA92078CAEAF9121CEA4B00DE196FD</t>
  </si>
  <si>
    <t>JChemExcelF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Gr++5L//4L+fWF/O0mfdb7/8qP03d5nH+2Pd3Z2d+49uPfp/f2D/d2d+0SPe/f2H+x+un/w4N7u3u7+bvrp+NNPD+49vP/pzsPd/Z3dBw/SA3prb+fB/oN7Ow8/PSDcHtJL9x/cv3dwf+/Bw0/39j9Nieiffvpw/97ewwf79MHewV66u0ev3dvd3aOX9u/v3aPxxT66R7A+ffCQ+j7YO9i5d59e3B9/+mBn/8HOPep+5+DeAbX6lF7c391/uP/p7sN7n+5Towf03gN65f7BvQef7u/fv5/uHtB7u/d3HjzYuX//4d7+w3vRVn1Qkf66WMWA7xGjPTigZg+IpJ/SmA7SvV1ivwN65WB/f/f+/oN9NLp3z/vk3gOAOri3t3+we//ewx0iHlGYWj389P7ezr29B/v7RHb6ZG/86f7OvYd79z+9t0NYHDCkhwf37+8+2N3fo5naP/govaY53QbD76bbD8d79x56z0HK3+x0Pvtmm5Ew3d/3P3vQf/XBB/UQaxbplFjr3m73s9u26372kN/9lNhj7/79Tx9++um9vU8PuB1xx86nB5/u7Bw8PNi/v0+f7Y9pQkg2HuztPdj7dB+v3hsf3N+leXtA00ZMg1b3x/cf0GvU6sH+Q5Ks+wyNpn7n4f6DT0lmPt37FK/ujHcPqM0BQbp/7x4JHamZu1bPHD2eVMuZ9ysrnlf5ebOnuuejtKpneU0aEy+iSaQhNNStGkKP3aohtN2tGkIn3qohNOetGkK/2oZ7mxs+vBVE1tW3aikq/Va9i+a/HVQ2ELeDiqa3myIxN7drylbpdgjsBE03QmU7d7umB71hoY2Y36Pvynv612Ygt5txMbu3airW+XZN2YjfqilwvWVThhqK7/vThkcxSOBv3w4IUy3kqBuB8A9VYHeNl0W/9jywu849Sx7fJcfvKPl/APpIgDMUCgAA</t>
  </si>
  <si>
    <t>39015EBB56E9F9F7CA41045785A3DA8C</t>
  </si>
  <si>
    <t>JChemExcelV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i/RE//tS/y+/y2/mW/67pP99JMQoT+ZZfUEAdtLddGfDf/6327v0v4/Sd3uffbR9MP7004OHu/t7D3cPDvb27tFXD8b37t3fu3d/98HOzv393Yf30+1Px/c/9T/aT+nF3Z1eq52d3fv3P93ZJ0ifEg229wn6g4MHnz7c+/Tew4PdPXrvHkGn5g8Odvbv06sHD9PtPXpv5/7uwacHew/293bu3/s0/tkOQfv04N5D6oEw3tl98DCNfNR9c+9B7KMuGgf7aR/Z3oC6pNlPu/RL+3TpE293b3ywH7y1+2C8sxd8Qgye7o4PHnyUXmOedseEyI57iJOIHvcO/M927xORdscPaKAPHu7u7R7sHezc+/SAQD3c9z+6B+j3DvYfugfT0AO322v28N5+v93OA/T6cC/47H7/3QN5tfNZBFoP2IPIm4RJBOFeOxpYjEw9cuLNHpW6tHwg04L/b98n3gigRj4ifXLXKpSjx5NqOfN+ZQ3zKj9v9lTJfJRW9SyvSRPiRTSJNIQqum3D/ds2vH+rhlB+t2oIFXmrhlCkt2oIdWsb7m1uuLtzK5Ciu2/XlFX87ZqyJbgVqtz0dlMkduV2Tdn83K4pW6nbNWVjdvumbrJuaroXnS3+obJy1xhq+rVnxO86C588vku+w1Hy/wBBa7kqVwgAAA==</t>
  </si>
  <si>
    <t>25588C10A8089114C18ADA22C2681757</t>
  </si>
  <si>
    <t>JChemExcelfR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CjNC9zDPzN9SonOqYv0pNb/3f7tl/yfyflR+m7vc8+2r4/vrf3cOfBzv3dg72dnQf3d0+3iRzbe+NPP92/f+/+3v2Huzs79x7cf8Cf0xzdu/fpg4e7e9T8YIcG3P1k/yA9GB8c7D442N99+GBnZ3fv/h69+unAp/T6wYP9h3s79z+9/+nDB3v3H6R74/u7n957uPuQ/n/w4FP65N744cGDhw/2dz7d2Xl4cG+XaLhP3e7QK3v0N2FIVL433tvZfXD/0/3d+w8e3NvduQ/cHtyjz/b3Hu4ffLpH1N4ZP6DOvYdGSp99+tB/Pk23ey9ud6HT9G13cXjA7UJU74GU3fFsd0e9/5A/Cwip7YLPqIddmpm93XtEwIefPqApe9D/ZC/dJTTu7z98uPtg9+DT3R3i98gn3dc+jX60P97ZOTjY2f/0/r17xCM7BJxk9R7REezxkLAnzt/9dPzpzsO9g09pONSY+J0+eXh/9yH9RT+IYEQIeu9gjwj2ELN/n2ABOMEkEh883P10f/8+yRXhSWTyUKAR744P7new2hnTK7v3DmiWiLCfkmA+HBNn3b//6e4B8evBwwe7xHDE2AGLHIw/JXreO7h/79NPD+49+HQPgGguaSJoWu4/3CfGot72qAlNzf7O3u4e4ccf0cTdu7dPc0Yf7/c+Idh7u0SVcMCk8IhPd9HvvU8/Sq9J3O4TVWjmP32wR/Tapdepwf6u/8mnxMif7vufHOyTSOzudD4CawTv7YGV90Dbe3sP7j3cOaAZOzjAhwefPty/t793b293n+aLxkiDfkCzBGkEU+/t7nK7vQf3QdWDfaLF3oOdeywHDx4Q4+1++pBmf4/ag50P9mjYROj793eIc/dZW9x7sHOAHmh2Sb5JYZIk3H9AiN6DcBGNPz14EPlsL/JuvIseKg8jKN/vD+3BvQgJ7vUoer9H9vvpjybr/0OTBWHbJjV030f54e0+IifirvUijh5PquXM+5Xdilf5ebOnnsVHaVXP8prcH7yIJpGGcAdu1RC+wK0awpe5VUN4PLbh3oaG8ItuBRHe060gwse6FUT2xG4FUhy2WwEVv+5WUB8ELTcCZUfxdk3Zn7xV/+J23g4qe6e3g8pO7O2gsq97O6jsEt8OKnvOt4N6P2i6Ceqnt24JmLfjFfHtb9f09i05ULhd033EE7drymHH7ZpydHK7phzE3GqqJNa5HVQOiW4FVSKnW0GVAOt2UDkOux1UDtduBZWHdbuJvbePAPB2TTlOvBUCEk7eDipHnbeDysHp7aByDHsrqBLq3gqqRMS3gopheU03MuHB7ZsC6u3YRaL2WzWFcMeb8g91Lu6adAb92kt13HV5kOTxXcqwHCX/D+XJsG59EQAA</t>
  </si>
  <si>
    <t>9DEB4F9EB4ACF7595F68CF50A9F319C6</t>
  </si>
  <si>
    <t>JChemExcelG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ivxfe//3fzH9f0t9fpq/p//TfR+m7vc8+ujfePXj4YO/Th7u7+/ce7nz6aXpv/PC+/8mDdG+8vxt+QiQ/+HRn/8GDg4ef7u7u3CP8ux8Rut33Pu1/FAW1vTPe23/w6b3de/f29nYf7OzcG/hsd/xgd2/v/sG9Tx/c2929v7+zm27vjT/dfbBPTe/fP6C+9h/eH2q3e3Cwu79//97Bp/sHNGRut3ew9/D+/b37O7u7B/fv7+z12z14kG7fG396f+/Bg937D+492L+3/3D/fv+z+3387h3IOHbu0/B3Pt3bJbgPiBhE8gf37+3vfLpDg/v0wS51+3C8H0zCp7f6hLj74UP/o/vpg/HDcA4+Sq9p2j8lqj/c2TvY2bv36UMaKTHfPiFBWNDHuwcPdu4TG/Y/Id448D+5z8yx3/lod/zpg+C9/XRnvHsv+OjeA5Di03v7n97f3Xl4sLv3cP/gXq/Zpw8+7UH7lLrcvb+7d+/+zoN7ezsPHt67T+893AnaMKGJpPfvYez7n35Kg73PM3zAX9/b2b//KSjyKWaOPtq5Tzx4/+DhwQHP8P547+GnD+99+un+A6IQzSu3O9jz24Fj9ohjup/dHz/4dPf+p/c+Pdi7d2/nAAwNchMZHnx68Oku4fjpXn/wew+AHXENMcOD3Ye7e7v7u/ceEMscnG7vgqbCUPd3Dh4QH97/9D6x2L2H9+jLT+OvkFK6a7XS0eNJtZx5v7KaepWfN3uqqT5Kq3qW16RO8SKaRBpCn92q4e5tG0I93qohlOitGkLV2oZ7GxpCId8KItT2rSBCud8KIpuAW4G8H7TcSHK2KbdryqbnVv2LhboV1Ie3bikm73ZN2TLerikb0Ns1ZTt7u6Zsjm9Hq/2g6Y0I3I5XxA+4VdMH8BZu1VIcits1Zb/jVgTgpm6ybmwanSz+oZrqrvG16NeeH3bXOWnJ47vk/h0l/w+g9VOPGgoAAA==</t>
  </si>
  <si>
    <t>AB07F7D6172EBBDC005B5783038C4A62</t>
  </si>
  <si>
    <t>JChemExcel5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Rfpi9S/DxJX9Pv+G/g0+wjoUJ5Ms/qC3p7J+3/t70b+ZA/3vsofbf32Ufbe+MHBwef7uwe7ND/7x88vEdfjvfv7z/c2/v0wcG9+w8O7j+4n27vjHf3dvf2792//+n9vYcHe3v37kca3us33N3fjXy49yDdHXfa7d/qo09Twvh+5yPq4N7eg/uf7u/f23+ws0uofJp+On54z292Pz0Y73366S61P3iwu/fp3v3d9OH4/sOHDx7eO9g5eHh/f+/gNm0eRD4hJnx4j7ree3hv58HB3j2a3Vt+tDfefxB+9HB876H/Cc0giUN6jcnaJzo+9J90+9743v3go/0UzXgaD3a735Bk7QefHRD0/Yc7/rMHoocwD4joB+n++N4+/4L//78KlwfEJSSyd63MHj2eVMuZ9ysL8av8vNlTOf4orepZXpOywYtoEmkIabcN9zY33L8VRGiOWzWEfrlVQ2ihWzWErrpVQ2i0W40aOm3n1i13b9W5KNDbNWU9e6v+uentCC9a+3ZNWbnfrinbgNs1ZVNxu6ZsUW5HATR1U3Bj06iA8A+VqrvGatKvPYt615nb5PFdMuRHyf8DMoYBleQHAAA=</t>
  </si>
  <si>
    <t>1D0329448290311284558E0FB14E5E81</t>
  </si>
  <si>
    <t>JChemExcelYB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PY/SvMyx8jfXK9yImTq/vuS/pOf7u/4J1/a319473vff5S+2/vso22i9r17nz54uLu3e7B3sHPv00/T3mcP7qXbe+NPP31w7/7B3v69T+9/uvNgr//Rvf6bBwfp9r3x3r1PHz7c39n5dPfB3oO9vdNtoiu9fbDz8N7B/qefPry3v79/7yF/3AVA1O108+nBvd5HD9L98c7OLjD99P7+wf7uzi5x0r17+w92P90/eHCPoN17cL/30UHvtf3IJ59SZwf3HlI/D3f3d3Yf9D/Z632ymx4QnL2dB/sP7u08/PRgr/P37sOD7juf9lDee/hpD+XdDoI7Dx/2Pumhc/9++pDg3H9w/97B/b0HDz/do6GTHBLp9+/tPXyw/+nePk1Mj/i7vU8iM0z80qXZw/5H1KozFOL12EddShKsDilJMHsfRV580P+IuK5Dh/1Pex/dj+Bwv9/jpx+l15CfnfEDYm73HDwAa1Ojzmf3xjsP/M8+vQ8ifbobfCZUOvA/e9BvFoF2IMS86U10EHu1izDx+O0Q7vf6Kcj3cM//6H60VbfPfcK3S0yank/HJLm7OwcPHuzTzD/49FNVE/dJn7iHkCN4u8FH93qt9qgR8ewedNFDEtL7u/dEF1G/D/yGpOu76BHK98YH9zs99DAm3t8d7+3t39/fvUcy/XBvZ+9glzrZ7w/4Yf/th/t96j24FfXuR2Z2P8IBET6512+11we2xyq7M2X9EdyLsP9OZAi7/YESHg/GITl2yYrftWb86PGkWs68X9muv8rPGxJE2HXyAqp6ltfkkHwkLcQjOPru47veX/JHHMS9AMRQQ5jpWzWEm3GrhnBGbtUQLsutGu7dtiFBPBgi3LdvR7iH3wiI3Z1b4SuO2u2asj93u6bs9t2uKXuHt2r68NYtxd38QAZmzEI+ev+ZYEqErPM1gBxsAnLb4bDLfTvysWd+q6biwN+uKfv5t2vK4cCtmmJYt2wqAcYHzgWj9qGsxaS4nYriufhQBpJQ6nb9YUJDNvka4+OQ7Vb9IYgbNDW3HN4+AsMPRBlBZchG74/Hvf1NQG6LCIDczs5JBGyb7m1qyoHy7aByPH27phx2367p/u2bciD/oWQ8QCbgQyf0AVIJH4rJp8hF3GrkJmXRb8o/1Fu7azI29Gsvm3PXpXqSx3cpiXSU/D/ykMANYBIAAA==</t>
  </si>
  <si>
    <t>F885F36562984DE0B250F0A5EB624720</t>
  </si>
  <si>
    <t>JChemExcelJ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sq/32ZvtDfzN/y03z6pfms/Ch9t/fZR9sPxjv3H9w7uH/v/r2dnU8/Pbh3P92+P36wd+/Bzqd793Z3Hxx8uv+w9xE12h/fe7izs/dgd+fhvfs7nxLm2/cI1qf39h88PHhwf2/v/oOH/Vaf9psd7Nzrf0ZE2N6lPvcIJeru04f79/c/PUi3d8b3Dg4eHjx8sH/v4NNP7+/u4uXuhzuRl+8/SHfGD/cJyMN7Dx48JHz39j9N98Z7Dw7ufXqw//Dhg4OH9z9N740/3d3b2X/w6d7up7sP7uOjfXrt/oO9Twn6/j4huZt+Sm893N+5T7D3Htz79NNP0wf02r0dAnNAI919sLOXHtBbnz74dH935+Dh3kOicKRNt7P9B328H0TGfO/TPsH20t174929oMuP0mtM8afjnU/vPbi/Y549TOfeQ/+jXQB8cL/z0d744YH/0Q73i2ZEL/Mwzvv7Qbv7QPrTB8Fnu0R/Qn/PvQqcx5/e8z96eF9bWQjed5+anoLPNoAY/Mr7aPe9Wnnj2Y+M8T5N6e6D4M1P4x8Rc/gf6SfoeYcUyV2rSY4eT6rlzPuVVcur/LzZU+3yUVrVs7wmFYgX0STSEDroVg2hqW7VEPrMNtzb3PDTW0GEbrxVQ2jQW3UNPXsriKyNbwVSlPatgIpuvxXUB0HLjUDR/+2mUmzK7Zqy6bldU7ZQt2vKhux2Tdne3a4pm8VbN91z83rTsPZuN68wybebLLHYt+IAbhqdLP6hCuCucTvo155Lctf5K8nju+QJHSX/D1rWjUElCQAA</t>
  </si>
  <si>
    <t>B76ED80F181DA824C76F786172FCD892</t>
  </si>
  <si>
    <t>JChemExcels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N6kn6Zvkjx0/z35Ufpu73PPtreG+/t3N/79MHe7sHBvfv3dz893d69n27vjvcf7Ow+ONjdv3/wcOfe/r75+N69e58+eLhLzfcOdu59+mna/Wi//9H9dG/86acP7t0/2Nu/9+n9T3c+ffig+9GD3f5raPRw5+HDhwef3tt5eH935yHQ+DQlUvcb3/8ovaYBfTrevf/Qew7S/fGnu+En98YH+/4nD/Z7Hz2kru+ha++T3fH9/R3v2U0PxgcHRKT93YcP6M+9+3uM3vbO+MGnwasP0m0Md+fTe3u793b3Hjzc3zvgpgTyXtByHy07HX9KXHDXssHR40m1nHm/Ml+8ys+bPWWNj9KqnuU18S9eRJNIQzCQbbi3ueH+rSCCGW/VECx7q67B2LeCCPa/FUQIya0gsijdCuT9oOUmmAcimv2W/ENn9K5RAvRrT0HcddojeXyX9NJR8v8ArDBR0bMEAAA=</t>
  </si>
  <si>
    <t>E6FE8B8A7EA7E920EE90478F1FABF9D4</t>
  </si>
  <si>
    <t>JChemExcelY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cn6ZfpC/r3Bf/7mv77Ep98lL7b++yjvfG9h/f2H97b29m5/3Dn4N6DT9PuRwfpvfGDvQe7D/bu7e3t7x4cPNhPiUr3Hx7s7u88OHjw6d7Bzt793kf3AGjn/oMd+nJnl/7d26M2B3t+m/176c547yD4KN3eGe8efLrzYG/n4d79B/uf7t5/+Ck+pF/uPbhPnz749MGnO4TW9u6Y/rz/6f7+Q4Dd2d3lzw4+3d37dPfewe7uzv2dvXufUhefEiK7Ow8JwqfU16cfpdc09Pvjh/d2gNf+/sGne7v7u+k+jTz85N740z3/k73eJ7sg2M5B+NruePfB/sHu3sP7n967t/vg3r37GEA40Hv7n/Y/3L/fe3ePx3nPJyTe3Bs/ONi9f/DpPnVIs7a//4BpFA6U2+3v7xwcPLx/74C+/PTeHrHXXctfR48n1XLm/coM9yo/b/aU5z5Kq3qW1yQYeBFNIg3Bmbbh3uaG+7eCCC6/VUPIwq26hsTcCiLk6lYQIX23gnj/tg0PIMy3aikyfys0uambxxubupn0EOAfyid3jc6iX3v67K5Tdsnju6RGj5L/Bzez/1BiBQAA</t>
  </si>
  <si>
    <t>C7BD718F4F6B02972CF2231EB318BE9C</t>
  </si>
  <si>
    <t>JChemExcele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pJ+meJf899r+vvL9AV//sL/5qP03d5nH90f37u3/2D30/2DB/d293bvHaSfjj/99ODew/uf7jzc3d/ZfXA/PRjv7OztPNh/cG/n4acHezsPb9Xm5rfupf3eO5/s917aw2zshWAOxns7YZvYW2FXD9J9QnB3596De5/e3z/Y3925RZve33vUz4N79w/29umTT3c+3b+XEqfcu/fpg4cE4GDvYGfv4f3uR/d29nsvfvpRek3TsX1vvPPgof98mtJnB/fT/jfpNuFL/3463r3f+eLB+NPgk4N0+2C8H34WbRWBBdHY6TS79We74/v7/meAtze+t+t/9CDSDp9h2P5ngLc//nSv245wDsZxnz97eM//bH+gXRfefqTfT0mM71o5Pno8qZYz71cW7Ff5ebOnsv1RWtWzvCYFhBfRJNIQGsA23NvccP9WEKFNbgUROudWEKGZbgUR+utWEKHlbgVx32+4CSKU4s6tWopuvVXv3NTN441N3UxuRIAV+u2ast6/HQJoerv5FCtyu6ZsbG7XlG3S7Zqy6bpVU7Fwt2uqhvAWTTGseFP+oVJ911hy+rVn5e86FyB5fJeci6Pk/wFvBegJeAgAAA==</t>
  </si>
  <si>
    <t>B0D35F79521490B7194EBD1DFC5FCE6C</t>
  </si>
  <si>
    <t>JChemExcelVQ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YRfepJ+mb5Iv/wofbf32Uf3xgf7D/3n03RvfG+n89Hu+P694KMDfLSf0pg+Sq8JzDZhf+/epw8e7u7tHuwd7Nz7NO19dP9Bur03/vTTB/fuH+zt3/v0/qc7D3YZBsM5enzXDuXo8aRazrxfeWyv8vNmT4f3UVrVs7ymOcCLaBJpCCLYhnubG+7fCqIQtN+Qfyi+d8000a+9Kbzr5jd5fJc45yj5fwDyCUQbVQIAAA==</t>
  </si>
  <si>
    <t>4F9D61D99F50D0C2CD2D36DC5BFD73F3</t>
  </si>
  <si>
    <t>JChemExcelX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NRmpc5enxzvcppAOlJ+mX6IsXP1/z7lx+l7/Y++2hn/PDBp/f2dg4eHOw+2H346f7DdG98b3fHf+6n98af7t/79MHD3b3dg72DnXv3D9Bq56H/9Brt7/c/Svepvwf0/h59fv/TnU8fdj950P/gU0Jod+feA/pz/2B/d+fTj9LrGOr30p3x3o7/0b2HB2m32b2H6TZNy71gPA/S7T2aTf+zT9PtLvr00f54f9f/6EEf2Kf7fTw+PYh08CnN6107sUePJ9Vy5v3KM/0qP2/2dLI/Sqt6ltfEongRTSINwRK24d7mhvu3gni/2xAthD2Pvi1v6V+bQHx6q77AxLdqSBAPbtUQAnErehyI2PRB8g+dl7tGWunXniTfdWKePL5LCuQo+X8AqHXhK1wEAAA=</t>
  </si>
  <si>
    <t>CCA03CE669835E5F0A7FF2276A9B5953</t>
  </si>
  <si>
    <t>JChemExcelU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2/3ux4bMv0y8/St/tgXi79/b3H97f27u38+n9vfv3Pk33xvufHuw+2KfPDx7e2zt4uJ/eGx/s7B7cv7f/6acP9nbvESpEqnv379/bu39wcH//4b37DyOf9N560IedfkqfPNzb3X2wu3PvwYN7D+/3PtnvgT6IfPLp+N7B7v7uwYP7Dw8OPn3w4AG1ebgTIrQ/vvdp8NanwPHg4af7n+7vEoq7D+8dPEgfENqE2c7Bvb29nfv793b2ex+lD6n/T+9/+vDh/f2dezTA+ylx1v6Dnb39hzsPCO7u/Z3d2EeR93YJ9r2Hewe7Dx98evDw/r34R/foxQef7jy4t/vw/u4DgpDu7hP03b2DT/f3aQrvf7rzab/Vg4/Sa5rkvTH9vbOzu7u3t39vd+fTg3R3vL8XfLKb3qLRfrq9QyKy/5BI/IDA0xTu3r+HDw8Ogg8/jTTc/zTekFhiL/jsQbpN43gYfEad7I8f3PM/27mfbt8ff7pPLHaw++mnOw8f3rv3MN1+QDK+f7B7f29HpvN+/6MHvRdjA/v0QY8An37ao1K/0YO9PrC9/YP+4Pf6H92L0GO/Tw7QvNvs0z6F7pNeumsV09HjSbWceb+ypnqVnzd7qqw+Sqt6ltekFPAimkQaQqXZhnsbGkLx3Qoi1OOtIEKJ3goiVO2tIO75DTdBpK4PbtUQ+j3oGi1et3mdV0cn8pb+NQiC7cOtOhMzcrumbG1u15SN0u2asu26XVM2cbdrunvrprCTt+MJMa234gqxwLeDyob6dlDZnt8Kqpj920H9NGh6I9TbsYD4G0N8/OZ2fCwOy+36Y7/mVgPmptEp5x+q3+4aJ41+7Tlwd513lzy+S37jUfL/AJ1InuhTCgAA</t>
  </si>
  <si>
    <t>7F34B10360D8E13038B165A0442709DB</t>
  </si>
  <si>
    <t>JChemExcels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9T89yX9h39f6k989kL/7357Yb+VFvTfR+m7vc8+2t7dG+/c27336cGDe/v39/cJ020i6v1PP32wv/vpw4f7+w8/3b/Pn+083Dm4f//+3sHu7t4eYb5NxN3Z3/t078HBgx38/9MH6fZDmpK93d39Tz/dv3f/PtFk+8H44f0Hnz7Y/fTevd3dhw/30u2D8YOD3Yf3dj79dGcf3+2h0b3dB/d27n26d39/h8ATpE/Huw/2Dj7duf+QEPl0597DdHt//GDnYO8eAX6482D3/g7hcG+8t3/v051P7+/de/jg04efHqDV3r29e/sP7h08oDHtHNxLt/fGD/Y+3aHngH7s7+zt8Wd793d2d+89pOF8Sh0QFjvjB/v3HuCPT4kihMmn+Gzv0wcHBzv7BPHhw929nR1QYwxsP334gJDZe3h/78G9XsPdBw9TavaQ6EjwdqgV0fbT3kcP7qd74/v3iI73H+zt7RLeBC29Nz74dH93Z/9g/97D+7v7Bwf3Yx91X7zXB0V4kRAc7BPlCWEixkNM3P549z6N7+D+w08/3f1072CfP/sUCO3TVD28f+8BRnlvfP8hzfm9T+/RDOwSjdFq5wFxxMODnfv7Dw/2aUBEx52HRIBPiRDESDs79x7gs/3dvYd7O0SdA/qU8dgdP3iwR+xzb+/+LnEDcRJodv/g03vUhGZvZ+fhPvj8mriSxvGQOOrg/u7e7v37xGH7NP6dBzQ3+58e3Nsn3tkHdT/debiLzw7uPaSm9z5N92n89AfBP7h/8OA+k40Q/fQ+cS612tl/ABLtPtw9oKnbJVSJOe6Pd4ifHh7s0j/EbSR29wnK7gER+h4NgqhBkkyAd3b39+4RGe+jzR4+ekj8tfOQROdgnwgASDQHuw/vg4UPdnbvA2kawadg2XsP9onneRy7NAcPD4hcBweYRaILJIi6Ir7Zv0eqY3e8v/OABJII+pAG++mnzF079z99SDxOInqfhAbUAk3v7ewd7N1/uItR0mTtgvY0VAK3cwBS7e885Cl64DU7eMiUv+d/dLCbEgPfe7D7gJhk//7OvR2S44N+O/TaA7eHz4gIYRf743sH4Uefjgl7Itg+SfM9ksiH99MHzAEYOHHF3v79g/QhjZTY6NP9Bzskl6SBUtI9u2DNhzQH90m7HOylpHogQg8+BR+TQO3RazTheyS0pAYIk3v76cGYpoammuhNs0BzhbfuHRAr7x3s0N/Emp/Sa8SIOwe7xFPEDPsH90n337XK/+jxpFrOvF/ZGrzKz5s9NQgfpVU9y2uyWngRTSINocVv23D/tg3v36ohDJVtuLe54YNbQYTRu1VDmMZbNWQDequWYmdvNR5uervpEat9u6Zs3G/XlH2A2zVlV+F2TdmjuF1TdjxuRyz2T24Hld2Y20H9NGi6kZ/ZMbpdU/afboWAuFm3g8re2K2gMgVuxwPi392qKfh173Y8IN7i7ZqyU3m7pux73q4pu6i3IhY3vd3EisN7+6a3m1huGp0t/qG6/a4JAujXXoBw10UPyeO7FJccJf8Pzc4WPbMMAAA=</t>
  </si>
  <si>
    <t>B744AABA440BE6E02FBA5B23A2ADBCA1</t>
  </si>
  <si>
    <t>JChemExcelx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F+kJ//eC/3N/n6Rf8v/pv4/Sd3uffXRvfPDp/u7O/sH+vYf3d/cPHt5L98b37+3s791/sLe3u3dv//79/XR3vPvw0wf7n366s7P38P7+7sP7/Y8e9F9MO9Af9prs30+3d8Z7nz44ONjZv7f/4OHD3d1P9/fTbQL/4N7Opw8f7N27R/D37t/rN3ywh88e7N978Cmh8enuvU/v3/t0P90Z7366u7+39+nB3r2H9w4e7O1H2lG/e+O9nQNqQRju3dvdoZ4inz1It++NCc+9Bw8Pdvfuf3qw/3AXH+09vHdv5/7DBw8J2r2dCHLU6e74wU6AyIOP0mui+d6YAB/s3X+4e3//4acPD4h0xEw73kcPdzANvVb3xp/uBh/dS/fH9w78F2Nt7o8f7gVt9sc7BwcPdmmonx7c29/fOaDODvZ7KN2n3+49fLC/v3v/4f0HO/dB2XtElr0HOw93Pr2/c+/ePZ6o3Xv3H9zb/3Rvj0h4sP8AVLx3/+E+vX7v3qc7D4kmPKEHB367Tw9As3v7wWd7eJeo+ODTvQf3dw52iOqffppu0yD3du7tfbr/Kf358OE9npSDPUKcJvTgAWjeR+TePgnbXSttR48n1XLm/cri9yo/b/ZUAj9Kq3qW1zQ/eBFNIg0hp7bh7oaGkOZbQYTM3woiNMOtIO76DW+A+OBWDQnHg1s1hNK6FY6s2m4F8t6tW4quvF1TVqm3a8qa93ZNWUHfrinr8ds13b19U0C93dyLAbldUwzrdvPPxHIc4DXlHyp+d41hpF97RvOus6jJ47tkq4+S/wd/ehlFxwcAAA==</t>
  </si>
  <si>
    <t>F863D6712E89F5F6A62FCC845D04D825</t>
  </si>
  <si>
    <t>JChemExcel3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vN/X9J/9POj9N3eZx9t08Du3fv0wcPdvd2DvYOde5+m9NHOpw939u7d29/beYD/9k+3CYPtvfGnO/sPHt5/sPvw3sNP9/f25fMuhPv3Umr56YN79w/29u99ev9TAnG/91Hvtf1P053xp7vU9d7D3fu79x48+PQeXtu5/+mnn96/t3dwf/fg3s5B2sP4/n1GLYC+m27vj3d2dnfuPaAP9g/2CW66fZ/e3H+w++n+wYN79Pb+Xv8jevFTgnVw7yGBebi7v7P74EH/I4J1QOCJPPsP7u08/PSAJiPySfe1/XT7IfV3/8H9ewf39x48/HRv/34fhQjqH6XXmKud8YNPH3rPwX2i4u7+Q2q6T7DopXsPPqU5wcf37/ktH+4TJQkv//k01mr7HmFD+O7sHNBAHhw8fCBz3+364f30Ho3u4YN7NF33aOAYd/+jW/X66a1a7YNSu59+ukeMSazwkLjzocXtwY7/PARD3Nv1P9rFyHYOOh/tjz/d63xEs/Hwpo/uCzAa7sF+gCMJ/F0r8UePJ9Vy5v3KKuBVft7sqRb4KK3qWV6TqsKLaBJpCF1hG+5taAiNciuI0Du3agjtdKuG0GG3arh324aE48FtGz68VUOo051btRQtHNAcbV63eZ1XR2/kPf1rGAir8dv1x9p+qL+TW/bH5uJ2/bFV+dDxsVm6XX9svT60PzZ/t+uPreStZAZN927JFZ/C5t6u6Z6Y5n5T/qEq4a5xGOjXnjNx13kayeO75MMcJf8Pg4MC3t8IAAA=</t>
  </si>
  <si>
    <t>31F59367BC5E1E51950412AF8D9FD338</t>
  </si>
  <si>
    <t>JChemExcelE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X6Qn9j//d/z3Ov2S/ut++iX/xz8/St/tffbR9oPxvf1Pd3d27u083Ns72Hu4m27fHx/ce/jg/r2dnf2dhweE2/b++IC+frh78IDa3b9/8BCN7n167+DTTw/u7T34dIe+3k+3740P7j+4v/vwPn10b+fB/sE9fHbvYPfTe/fu3f907+G9ezQqgrZ38OnB3t6n+/sE/cG9+/1Wn6bbu+OHuw92dj69t7e7+/DgwcHDe73PHu5Qpzvj+wf0xoPdhw/vPdh5cP/+XrozfnB/5x4hsre3f//B3sHOp7GPem/uP0j3xjsH+zv3dnf29/cO7t8jlNJ74/3dBw92d3Y//XR3lxDcpUaf7vufEKz9MdHG+4gmcp963L138HCP8NynXx6kn4537x/s7RMhqc+dhw/30gf02gH9vr/3KWH36b19arO/G36yT2Peo99293ZBqwf30l36aO/hA8LhIajwYD/dvTe+//DTnU8PPn2ws3v/4QOiy+7eeO/TPer/Pk0DDeTThykJCLBxwO9HW0VgfUqt7tFbD2kcu/cfPDhIdx9QKwL1KRH10336NNLoo/SaOIyY4uHOwaegOtoSm1MHDwj+zv1PD3YffEq8wsTavU/DvP+QaLW7T5/sjQH8/r379+7tULP9nQfp7vjBwf2DT4m9aBb37hEVaVqJFfb2iaj7u3v07afMEA/39gmnTx9Qjw/vf3qPppqgPdih9w72D+7vf0pMzQz26UO/HRh9h6bI/wwMsDP+dJfwIKbbA8fRd/12ew9jAA/QMX0SdtKD92kf3j2Bt39wwK0e7tx7QKQhCuzSK/fu7++TzB7sP9iNDHf/AJ/tYYz44oCYnUj4gMHtE+MRvINdEtg9IPeABJXm6yFJABH7/gNGmLDceUAY7DwgFoDo3H944D3Et8D3wa7/7PWaHRxEmtFYaSruBc32gVrYbDfSBaHXR+VB/92dT0ll37U6++jxpFrOvF9Zib/Kz5s91eMfpVU9y2syNngRTSINoe1v23D/Vg1hOW7VEPblVg1hhWzDvQ0NYatuBREW7VYN2e7dqu9Pg5abYIohvV1Ttre36l/M8u2gsvW+FdSHQcuNQNH/7SZevIbbNWXn4laoclM3/Tc2vR0DiEdzq6bi+NyuKftHt2vKbtStmjKut2sqTtntmrLvdrum7OLdagq46e2ElRG43WxhWPduN1vift4KV24anS3+oTr4rvGx6dee/33XOefJ47vk9h8l/w8Hvqq7EgwAAA==</t>
  </si>
  <si>
    <t>2C65E2F1C47E748A5ACF9ABF487FA0AB</t>
  </si>
  <si>
    <t>JChemExcelG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4r8X3v/Nf196v+s35Ufpu73PPtoff7q/s/Nw5+H9nZ3dB3uf7qf744Od3Z1P9x8c3Nvff7h/fze9N/70/qef7u0+uL+3t7u/9+l9NNo72Hv48NPdg73793cePnxApDrY3b9//+HDnd393YPdew/TT8e79/Yf7N97uHN/78GD/YMH6d549/7O3oP9/f0HOwf7ezv3010i8ENqfW/33t7D3fvU/e74/sP7nz58uH+w/+newcODe+nO+P6n9/fuHdy7v3Nw79N7+zT+7Z3xw/3d3Z2Dh/f39x7ee7B7cD/d3h3v79KL93f37n96b3f33oP7aHfv4NP79+49fLh7cO9g/+GnD/DZwad71PsutXpw/+Hup9Rub8ydunfT7XvjhwcP9u9/unf/4f7evQcPPv003b4/3n9472DnHiF6/z5h9AAfPfz04acHDx/cu3/wkF4/SLf3xw/vPdzbO/h0Z2/n4cGnNIcEbP/e3sHB7h43vn9f+tw96OIb+Yw49N5uQMeP0muaOSB4/+Ae4b2z9ylNxgO8TbNzcG/3gMa6e58+2wdV7j389N6DnQc0wXv01YM9IihN8P7Bw737BPZTmi2aMpCFJoeofv/BAWH44NOHGN0upt5BvLezh88eEM3oXaIATf+9T/Hu/Qd7u7vEQMRBD2jWH1In6GD3/r3dPZpu7ndvvHPvU+C8f48QprHdSxkWDYpmiD6hgXxKL+7dJzZ7cG9n/8EeTdnODndA0PYeUi+f3t/5lGj4KUZL80CfPiAK7+zu3bvXffXg4cPImw/76B7cDt0+tmhEgkEEJl69d59a3r9PsrH7afARCE4a4a5VCUePJ9Vy5v3KOuJVft7sqZr4KK3qWV6TLsOLaBJpCGViG+5taAiVcyuIUEy3ggj1dSuIe7dtSDg+uFVD6MxbNYRmvVVD1r+3ailq+nZNWZvfipii9G8F9eDWLcWK3L5/N+8bobJNuh1UNl23g8oW7nZQ2RDeDirby9tBvR803cjQbIFv1RQscMumYtNjTfmHqoq7xtOgX3teyF3noiSP75Lzc5T8P/+82TwYCQAA</t>
  </si>
  <si>
    <t>F38B755A9D2B8EAAB98AED75C9471B86</t>
  </si>
  <si>
    <t>JChemExcel8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yn8v+P9f8u9f6s/4f/zdR+m7vc8+2r43fvDppw8OHuwc7H56sLezd/Bpur033nvwcO/T3Xs7D3cffnrw6T36bHd8cLDz6YOHDx88fHDv4OHBvXvp9s743sN7u/f393Ye7N2/d7B7sL+f7ow/fXj/wcOdvXv3Hzy4t//p/T36aO/hg72dg4c7n1Lr+wf37t8HvN2HO/eoz08/3aU3DogkNDEHn+7ev3dv/+G9fULkIN0bHzy4R53u7u0e7B3sUJ/3CLW9vU939u/v7h3cf0hE3B8/uP/wwcGne3v3HjzY3XnwkN7aJfR2P93ZOdi7T9jv4LWHn+59Sjh9un9w/z59R4ywc3/3/qcHOzsPDqjZw4fpp+P79x7uPLz3gDr69MGDT++lD8afotcDAn3v4f2d/Qf0yd7ew3167SGN/MHup/cJzoP9XaICobhPY90f04gfHoCk+3v7D2hibx7D/R7Gez0yPtjtkfH+fp9i+7cY1/59ArWzQ9P2YHdvb29nn+Dde7D/UXoNfiCQew+IRrvUNc3Qwc59zPPDvYd7D4i+1Mfu7sMHDwgCYbB3f/fhQyLsvYc0ifTRQ+r33r17e/Qa8cLDXby5e29vF889Itv+vXs0qdTFp8RW9OvBp/v3du4/FJbbIfLgf/cPDg72udu9MXElOAMkx2j28dk9Bktzsv9gf2/vwf3d/YN7+8yM+3vEmHvEmzv3iXjMd59+uv9gh2ASpfep3YOU+P3ew4OH+/Tc26FpOCCx2t4f7x8QfHo+JbLc/5SmlT4jSt/beXD//qf3aXhE2W3SHQ+CMafbn46p8QM8e7skLDRx2w/GOzQsmtYdmoYHO7v84sMH9/d3SRgOaCoeYAS9Lnut9h72Yd3r97gbxauL/T2m3M5D//m0T2FmRZDGQ5+U5eO7VtUdPZ5Uy5n3K+u+V/l5s6fq76O0qmd5TUobL6JJpCGUpG24t6EhVOmtIELh3goi1PKtIEJ53wrint/wBogHt2r4sNsQLcT6HH1b3tK/NoHY3blVZ2KYbjVSbnq7GUb/boo39s/G8HZN2WbeDlU2rbeDyhb4dlDZUN8OKtvz20HdD5reRKy9282rOBK3QkD8jdtBZbfkdlDZe7kdVHZybgd1J2h6I7FuxwPiXd2qKVCNsgD/UNV417iQ9GvPvbzrfM/k8V3yao+S/weiolCX8QoAAA==</t>
  </si>
  <si>
    <t>A306B41D98AC651CB4803351D31A6A31</t>
  </si>
  <si>
    <t>JChemExcel5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PUm/pP/k58mG/9y3z/h383/+76P03R7NxL3xzs79g739+/t7n94/2Dm4l+7ujR/c3939dJ/+ebC3v3//IAWNdw7u71KLB/fu3/uUxkcvPrz3cPf+3v4Ofb776YN7+OjTg/39h3v3Huzv7R3s3E9398ef3n+4s//w0/t7u/cePtyhRp+O7+3e39072H24t0OQdj7lVrsPDvZ29u4RGOp4Hx/d+5R+3dnbuf/g4cHOXrp7f/xg7+Ah/W//070H9z89AKSDvQefHuzsP3h4/+GnnzLs3f2dhw8e3L+3+5CgHfBHDx/u3nuw+/DTB/uf7tCPdPdgfH/vYP/Th/fu7zzY3du7T4N5ON4jpB7s7T082N/5lD5Hq3uf7j948ODgU2p88OnDfbSise4TkXZ3iFwP9++nezvj+wcH9x/QaO4RFkTKdG93vH/v4OGDvU/3qIe9g710b2/88MGnOw92dnb3Pt3ZPzhI9+4R6p/u00j3D3Y/3fv0ITW6jxHf/3T34N7u/u4+jRCtiGgPPt0luPug7B6AE00+/XQfU7P76b0DYPDg/h6B+PQA08OEeUhTc59m7/7+AYZEnEmtaFj3PyX63nv46T7xGDW69+Dg4NN7GCCh9gAUvkf93d+7R/NEKB2AE4gcOzsEYocaYSz00e79e3sPHz7E8O7tANK98d79PVCGPrt/7yFaEQ0+pZl/sEMMcu/gwcH9lHDav7dPw9nb2cGcfUqffHpw8OABIU4TRIPbxWtEWMKaiPvp7t7OwUfpNfHoNnW6t0NTQeO9T3NDU7FNWoHefviAJoPoTgM/4M+IVPTeQxrEQwJ8L91+OH6wg+EcHNzbodfx0cFYmIOIRXxI/0u3H4x3P6UZJjh7NBDigfv47ME+8ff+/oN7ew8O9km0t++PPyViEhsD2ME+Sen2/pgmAuQDsAc7NPbtezR2mp6dvd2DTw8+Jbp9imb39/HB/j76JuYHsIe7ID/x1u4BMeYe90lCcJ8kiESSOGZPUNshcu0eHOwSwR+SbGxDEojUewf3iL6f7ggaJKcPdukhbEloGI2dT6kdEe7eDokjsdg2+BBjoT5JFkgiH+DNPWIL4gnin/vEnfd5TJ8SrjTUe/cfELs8QJf7NKidHUKYWI0kEh/du797nxiNqErTSCin25BIUhtEoQf3SXZ2HuKjhxjyg717ezSABwcMjBiduJNITzSk2cMoPyU4JBLEUDSh/MnOLsHeJ6alcR18eh8TRwrnIamfnZ2HNPUPuNXeLvUN4hJq9+59inE/xEs0wVBN9/aYYPeIqQ92ScV9ekC/MqbUFTH2p/sE6oA4iT+jSSN+3yfEaQb3gRi1I/H6dI9oebAPhQfyEMr7NHPUmlSTEpH03j0i/b39Tx+QOiVrcteak6PHk2o5835l+/IqP2/21MR8lFb1LK9JHeNFNIk0hF2wDfc2N9y/FUQYtVs1hOm7VUMYyFvheNCFiBZij4++K2/pX5tAPLwVUmysb9WS7XnY9P3xEqfgVv0d3LqleBm3a8rOyO2ass9yu6bs2tyu6e7tm7KzNETwb9+S4Oxt3a4/dspu15R9t1sxs7h4t4IqnuDtoKLp7aZc/MrbQd2H+3krqEyBWza9f+um4vt+qIwByAfzDUgR8s3XwARufchR7w+E3f8PHI3ED7eaAgkzbtX04NYtGejt2FXCm9s13UcUdLumGizdpunuUFP+oab6rgkb6ddeSHnXxZvJ47sUyR4l/w+XEmeA5Q4AAA==</t>
  </si>
  <si>
    <t>332AA4934733B007918382BD0A6B4BD9</t>
  </si>
  <si>
    <t>JChemExcelBh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s7H6V5mYMib65XORE4df+9SL/0/vpSPzH/hd/gkxf8/xP7nbR+bd/Q3z5K3+1hdh/eu3dwb//B3qef3t+h/+2m3Y/SnfGnOzu79+9/urN/sLf36S6NZntn/ODevft79+7vPtjZub+/t3MQ+Wy/9+r9g95HD+6n23vjnU8f7O3sfXrv4ODevf379yOfEV237433d3YODnYffLrzKeFx8Gnss96r+wf3esjt0hT0Pvu0h93eXm8MexHk9u8TIvsEbZ9aHRzs7R88vL/X/2S/P6oHez2CEGP1SEnM1ftsvw/u090ePR7e/7T/WRyRHr4P+x/d731EMtBDg+SlO6qdvfTeeO/TB/d37x3sH+w/OPj04H66T412dx/uPXywcw8Qdnuf7NwntfHw3v4B/fpwb5e4ksbzgAAd3L+/S38//HTvwcO99IBe29u7t0MEevBw54Awf0hv3X+485BG9unuwcGn+z0499Pd++P9TqNbfvTp+OED/yOCdW9MxPA+ukck2OH/7433SBb2iRIP9+7v3Nu9d7pNimd3fJ+mAf9+lF6TJO6MD/Y/feieB8y0nz68t+Me0lP0xv6nwWf7kXZpF9oBOvx0N+jggGZk937Qihs94M8fePBoFu6NH+75H+0SPfc/DT/5dLx3zwf3kNsEfTKcoMt7vdfu0wQ/eOB/st/75IDf8ru/38P6Xp9Y1IqEgb7yPgIB7xF4an5/fG93z+uFBODTMdjJ77jX6oG873/06afST+fN7kf7iqL/GdmSXqeE9YMxKSPvowefSrPIIPfinNNjsAgzxV4lw3frdl3a7jF6xOgg0O5Dktj93XsPoAFIBh44Gdg5ePDp/sH9T++Tvrr3UAQk/so2CdqD7ozskojtdyaOfJEHzAKx73qfkUtx1/oUR48n1XLm/cpOxqv8vNlTP+OjtKpneU32Ey+iSaQhnINbNYRncKuG8Gxu1RD+z60a7t62IdypoCFaiFN29F15S//ahNTBrfp62G3oQf/27fpip+9WnYlveLum7ELeril7mrdryg7prZo+vHVLBhryyvtPmLjIt+sP4/1QBmH6Ds78bYFgPh9+IPvA7w/Z5/0RQfwQ8tX7w+BAZBDILQcj0cytplGCnts15djodk05hLpdU460btd07/ZNAfVDGUuCv9v1h1hwkH9uO237CDI/FGlEp6HK+hqYIMr9QEQkTL4V9e5h4I6z9m5qejvOktj8dk05hL9dU470b9cUQf/tbJLkDG7XlFMLtyIWN3VTcGPT2wm35DJu15RTHrdDAE0dXW9qej9KV/6hbtxdk1eiX3s5p7suIZU8vkuprqPk/wF9BqTEBhMAAA==</t>
  </si>
  <si>
    <t>98C8D2C2004B88A4A035AE251FDAFA70</t>
  </si>
  <si>
    <t>JChemExcel0Q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by35f0H36++Ch9t/fZRw/GewcP7t0/2Nu/9+n9T3ceEHYP79/79MHD3b3dg72DnXv76f74092H3nOQ3qOXPr23t3Pw4GD3we7DT++lu/TW3qf7uw/uf3pv/97DvQf9RnvpwfjTvd2dew+op/2D/d2d++lDem3/we6n+4QDdbifEmX2Dg7uPSRUHu7u7+w++PSj9JrQ3Bt/+qmP5t49gr9/L/go7TYieN1Gu/f7rWiADx+EkLqv3eu9tXfQb7RHM3TXTtHR40m1nHm/8py9ys+bPZ22j9KqnuU18RZeRJNIQ0zurRqCBW7VEIxiG+5tbvjprSDSYB7cqiFY81YNhYH7DfmH0vSuERH6tSc+d51sJY/vktQeJf8PlgiFhdEDAAA=</t>
  </si>
  <si>
    <t>F59E1BA09720B0BB63C9D986730F8E28</t>
  </si>
  <si>
    <t>JChemExcel4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fX/+zJ9oT/x24vso/Td3mcfbe+N7x3s3v/04cGnO/s7D/Z27t9Lt++NH+ze39s/eHiwt3ePful/spf2Xvz003SbKLn/4ODhzoN7B/cfPNx9QGj1Ptu5n+6M9+j3g4N7B/cI5sGn6KL72ac0rN3xp7sP9z99cH/n/s6DTx/u7KZ744f37+3uf/rpHv25//Depw/SfXrx04O9+w/2Dx7c23v44B7Nwqc0jh36e+f+p7s7O7E22/cJrYOHewe7hP2n9/YePEgfju8f+K8dfJReg0IYwP5D77mfbhO2hJV7dh8Qsnuf+s0O7hG2O/eCN+9xK//FnXsCLGi2J1TrdrpHCMYQCT4jsg1ifJuGPQQPesM4oMnaIZa9a3n26PGkWs68X5mJX+XnzZ7y8UdpVc/y+rOP9vAimkQagtttw90NDSETt4IIybkVRMjXrSDu+g03QYS43qohhPpWXVPDh7eCyAriVi1Fj9yuKaubWyHKTW89k7tuKr2W/EM56q7RmPRrT5vedao2eXyXlPhR8v8AeUn8leAFAAA=</t>
  </si>
  <si>
    <t>59057A2194F5C059EE5E56CD496E1608</t>
  </si>
  <si>
    <t>JChemExcelA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8U/31J/53w/1+kJ+VH6bu9zz7aGe/uH+wefHr/04c7D/d2du59+iDd3h3vHtzff7h3//7eg3uf7tzbS7f3xvd3H+4+2P30wf79T/d3Pn1wkG7fGx/c3zu4v/Pg4af3Hu7t7tyLNtsdhx0c3I99tDc+2L1/f58+33uwf7DzYD/dJ8we7u3de3hv//6DT3d304PxvT3/g4/SaxrA9s54f++B9xwQHjvje/t73rN7fz/tN3zYb7eLwT/8NGj2oNdsb5+GcHAQfHS/38GDT/tvMrQdmtG7dkqPHk+q5cz7lef4VX7e7Ok0f5RW9SyviRfxIppEGoIZbtUQLGMb7m1ueP9WEAnHT2/VEEx6q66p4cGtIILhYw35h9L0rhEp+rUnbnedLCaP75KUHyX/D43LB5cBBAAA</t>
  </si>
  <si>
    <t>E5AC9B0E2E1F099ECA29F033B386977C</t>
  </si>
  <si>
    <t>JChemExcelt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2v3vS/r/i87fX9J/Lz5K3+0RkXbGn376cP/e3sMH+5/u7e8dpA/H9+7df3D/3sH9vQcP6aNPe58cpAfjnZ29nQf7D+7tPPz0YG/nYfopgTm49/D+pzsPd/d3dh88IKLdu7f/YPfT/YMH93b3aCS9D7rvfNqFu5vu0we7O/ce3Pv0/v7B/u7O/XSPXnpw7/7B3j599unOpw8fpDQ39+59+uAhAT3YO9i59+kefXSws/twn6DufPpg5+HOwf7pNhFxew9Dufdgd//Bw/v37j148Omn/HkXAg2x08+DCCrdTwh+F9D9++gzhLQbaRZ786P0GhM0vn/vofcAM6KO/8mD9N74YN//6CGGFL73cL/34sN+o4N0++F4b293997D/QefPjx4uLd7Xyi3M37wYMd/Hqbb98f3D4iUew8wi0TWB64pMc0+Nbq3d3Dv/v7+w3t79+i7B/zdp0GP9Nn++N6nNBnEGfd2mQJmUjrIfdofwe1axehDjXZj44807Y99nyT7rhXto8eTajnzfmVZf5WfN3sq7h+lVT3La5pNvIgmkYZQCrdtuH+rhlAwtuHehoZQQ7eCCGV1K4hQabeCCMV3K4j7fsNNEKEnd27VUtTt7ZqyVr4VoqK8bweVdfztoLIpuB1Uthi3g7obNN0IlW3QrZrevqUYtduhCgLcjgPERN4OKprekgXuicHtN+UfKv93jRtAv/ZchLvOf0ge3yXP5Cj5fwDgG0FQtQgAAA==</t>
  </si>
  <si>
    <t>CFF5C07B1436DE9EC43B3CEA5B7CFB27</t>
  </si>
  <si>
    <t>JChemExcel6x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c/SvMyBzXfXK9ympz0ff77csM35rsv7d/uP/N3COnL9EX65Ufpu73PPrr3YPxgf+/+/YOd3f3dvf2d3fTep+O9nb2D/U/x/90HNFj6ZOfewcNPH1KTg3sHRMJ798ef7u5+erB7cLB/b3f3gGbq3v744b17Dz99sL9L7QBnf7yz9+n+7oMH9x/s79DH6b298cPdTz/dObh379N79N4Demt3/Om9g71Pd3bv3/t09/6DA+ptZ7x3b2dv9/7uAwK/t0PcsHcwfnDv/t79T3f37u/vfPpg516692C8+/DgYOfT+wcEbneP5n2PkPr0wf37Owc7e/fuHxDV9/bHBIJg7z4k7Pce7qZ7e+ODnfu79/cf7O08vPfw4GG6tzu+/+nOw4NPDw4I4H3ik72d8T4NZfc+tdi59+l9mtrdh4TmPhGJ8Nq9t/fgYB8f7ezuHDwAYQ4e7h08vJfuHoxpvLv7Dx7s3qfO7j3cS3cJTaLsvfsEmt56uEOwPh3fu0+v7e/s39/f3/+UuAit7t/b2SfaEsl3DgCeYD3co9HcB8gH9x7cQ4/79z492Hlwf2d///6DT4n96aPdvQcPHj4k3O8/2CUmpU9ogPd392n2HhCNH2I4D3bv7Xx67+H+p/sP7gM4jflgb49wv0f0orkiIdu7B0T3iOz3adaoi3ugHpFg79NP79/b29lBP+keccLO/h7xCw3mAdH+U0wEz8l9gnL//t4OMf0ekebBLhHvIZF+j0aIOQVOBGqH2IOYCRP/kHhg79OHB3sP90ky7xECoND+wd7uwcMHDz8FAxEr7ezR1N+nzg/4EwJHLAQi7X/6gAT5HtQZ0ZWYkai1w6z5YO/g050HxBsPqauHzL4PiUloug/uPySKEM9/SnO9R3yyD64i/UEf7R7cp7m4t7dH33z6Kd7av4+/du7TfNK7QHl3hwATk9I87u2DajT4Bzv7D4hMOw8/xYyCw2h6dz99SExFE0gMixk4uH+fkPmUJpPoTxxN07t/gLE/AHMS8g/ABA/2CfzOwcMd+pcU1O7++GD3wacP9ogXH96jX5l3gA+hTzQ4+BRcsT9+QDL1KXHSg91doh1DIpLQ+HbvffrwPjEn90dE2btPAkn0o6mRjwif+58SJ5KI3iNNSuAf7hzs0oR8ev8B9UjDoY8OHoB41AehcPApszl1f/DpfSLOQ3zDfHh/nwZCgrwPeWDxILF/iNHu3COO3mO5otdBuAfE98TqDImk+dOH+5iIXWL/dPf+mCRhh9jo4D5rG/7k4OH9hw8I8N7+3r39/Y/Sa2guUhOksUjl7BHn7kAm6SPijHsPH4AdSZ7SXeIFepFmj0R+Z5+kNyXtQhxO3T84OCB6U++fpts0s8SKuzSJDzFaEpN0m+aR4JBs3SMNQzNOyG3fGxPmNNAH4Efov3R7n2bkHqaCVMwBiICPiBBE9od7pAJIozxIt++P9zBjxM7Ey58eEOPSR5C8e9CV9yElRGw0uweW2bt/8IBmhDQPATsgrAhPkkBCd4/hE7Y0l6QyoQzILBJie3vEhiTTJEt79C3wJ1VEaglcTMJA+mmbJoD0GZH6AaFBPEaGjQQTeuMh8Q5RmziUFMaYaELKjpiCJBwTho+IzPTmp/fAmiTFKZPiPumdewc790iFH6RgRDIG9C1pGXSKT4g/yAIQ4ek3spn3xsRVEMs9KGDCNv2UZJHYlIhHhKJmn6YPxvQX6eRdmtg9qO70IYk9SRypX5pnml1iyx0iO80rKQrSyUR3mutdMNPuPZIrQopogE/oa2Jv0u40ZcRg6S5R5dOd+9SOppa0KmkD+miP9NIDYvp7mG2aQbQicpMZIdYiCyTQSdoeklEgQ/CQCH8AHAhRUo2k3KnhQ/AbeVYHJBlE7U8heLt4j5iNESARJWKkB2PiSBKL+zztpFdI7kmpQpL2aHD3yWqQBX64BxG5TwrnHmSHKPnwAWaTVAxpMVI998kmQ6eSsBDdiN/prQfEX6QWSFJoVsiSHfAcYb7v7RK/kwneJS1LPEiUhJ7doWnCRwekwh7uEtVIuRxA8eyNYSPJwpC9IQ2CUYBfSLIghfTVAcF+QIqFZuc+6QtC4x5h9JDAPIAg3QdHgUWIHYnOxJMwnqQKyRbRw4rjPpwH4kpiSmIYwvohhkeMxIxKavVTGMRdmEj6GDIKEA8fAO2HOw/vEzRie5ol+vbhPnDbpwHSR2T5MT8ElQT44S5LH4T/AZQDkXUX0v0p6TDgSixEGmqfWAOtyNoSLe6TeifuY/g048SapEWI9Yll8CLx5L19qBCiDvWbbtMEknElwOQFkFKgKQX4fVKkBJAouk/qDbB2CBBxMIEkkbu/T/7xXesgHz2eVMuZ9yt7zK/y84ZUHTxm8q+repbX5Op/JC3E1z767uO73l/yRxzEvQDEUEM4wLbhXtjXye36gl98q74QAHxgXwggbtUXwowP7Athyq364mDmAzuTaOhW3UnQ9KH9cdR1u/44OPvQ/ji6u11/HAR+aH8cRd6uPw42b9eUY9LbNeXQ9VZNJcK9XVMOhG/XlOPl2zXlsPpWTXlYYVNvOm6rndDf7ZhBIv3bNeWEwO2act7gdk05vXC7ppyFuFVTSVbcrinnNG7XlFMft2vKGZLbNd1HIuV2TTnfcrumnJYJpHxj09vNliR5bteUc0G3aiopo1s13bt1S8lBDUnSt28nSYxZOOPvD4Qp8aEyDS7ZD7nkawAB+UL+eX8gEMP9UA+8P00g9vshz30NTJBSDLnxawBB7jHk068xHCQyP9ipREb0QzlW0qm3kntuejsdBRt+f5D7bovap98UkNtZIcki364pJ5tv15Rz0rdqKqnrWzXFsG7ZlKF+MJtgFIOK7ZYMC6p9OqjYbovJA8nnvw8Q/qHh3V2zeEK/9hZW7rpVl+TxXVrPOUr+H65iw4/rGQAA</t>
  </si>
  <si>
    <t>2D655DCB5D4C8D9EE63927CE4B0367C6</t>
  </si>
  <si>
    <t>JChemExcelSw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Z999GV63KTyz0fpu73PPtoff7r70H/Se+OD/eCTT+mjnYN0d3x/P6VhfJRe03vbe+NPP31w7/7B3v69T+9/uvNgdz/dpkHcu/fpg4e7e7sHewc79z7FRwcH9x+iwc6nB58+3Ns/3d79FGAY1NHju3YAR48n1XLm/cojepWfN3s6qI/Sqp7l9Wcf7eFFNIk0xNBtw90NDUGgWzUUMva75h+K710zOfRrb+LuullNHt8lfjlK/h/4HR3rSwIAAA==</t>
  </si>
  <si>
    <t>B21649D1DE2B475AF8D4A45199F85BAB</t>
  </si>
  <si>
    <t>JChemExcelS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9ZeXObB7c73KabCp/9+Xnb++5E/404/Sd3uffXQwvnf/YOfeg729ezu7B/cJ7IPxzsPdBzuf7u48/HR398ED6vn+mL6nP/ce7t97sLtz79N0f/zpw/1P71HDB5/eu3ewf48+Obh/8HCf3tnZ2dvZ299P743vEewHew+pg/37uw/2HqR74wf37x083N19uLt38Cn1Sa/tPKDfdh/u7dJbezufUmef7u0f7H66f//hvXs79x88SD8d7+3v7D482NvZ39m5h+4fjO/t7d1/8PDTe58C908/TQ/GD/f2H3y6TzAefvrg/v1P04fjg72D/U93CMSnD3fvfXqP2hwcPHh4f4dwubd//959gKGB7ux8eo8QpgHuA/LD+/d39g52d/Yf7ANP6v3Bzv7+AUF+sLd778G9g5T4Zvfew/0devfhzoP9g4cP093x3sHBwc4BDWL//qeffrpzkFIjdLJ///7+gx2iFIHaG+89uE8jf/jggNC8/+Dgo/Sa5mB7d0x9Hew/vEd907+f7qbbO+ODT+n3nd37D3fv7xGcByk1+xTTsLd/b4/QI7odoB2g79H/7+08vL/3YP8+4bLz8OEDgvfpvQMCsffwHn306e7e7sHOgz16a+fTTw8e0uzsHDwgPO9Tdwf3H+4/oE8e3tvf+/TePsHevbd3j2fwYGdnd5/g0KD272EEO7s04Tuf0gxhXh/u0zgf0K+f0mA/3b3/gFDYpY8O9mjUe3sPHjykIezt3KcXiWRE1gPC+iH1CeD7RJvdBzTDhPmD+5+CPWii9j59+HAXtKUJJvYgghE/ECvQa/c/3aPXHtwHfvu7ew8wzD1qQ2g/PHh4QLxA00ETdG9MLXdoQqgz4lgiIoG+T8yEZnu7xDefkhwR6ajf/Qcg8D5x++7+pySqd62sHj2eVMuZ9ysL76v8vKE5g/CS6FX1LK9J63wkLUTsj779+K73l/wRB3EvADHUEFriVg3vdxt6aHz3dkhBF92qL2isWzWEXrtVw4fdhu9PUtaet+rs/q1bijq+VdO9W7cU/f6BcyUG4nb9sR25XVM2N7dq+vDWLRno7RhLzNztmu70mr4/zzBqt+NQGN+HHzppbLlv1d2nYt/fpzv+oTrrrnFO6Nee43LXeTXJ47vkLx0l/w9gvHLISwkAAA==</t>
  </si>
  <si>
    <t>D8A48E39A874A8F5D3BCA3E0331F1DA1</t>
  </si>
  <si>
    <t>JChemExcell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vFfy9S+fml/vZa/8YnX+Jn+VH6bu+zj7YfjB/s79y/t7vz6e7Dg92Dg4fp9qfj/Z1PD+7vPtzf2b1/7+D+vXT7/njnwb3dB3vU4t7e/QNCYPve+MG9h/sP73368NP9hw8eHBBi23v0Jn27f//B/qefPqR/oh/RbDzY2713f//+3sH+7oPdnb3oZzvjvU937+/f+/TTg4cHn97bu/fgfro7vv/w/t7e3oOHOwTzHv2R3hvv7OztHNBH9+8f3CNkPk33xzuE5f69h3sP7z349NOdT6nR3qf+JwcA9eA+jfnTT/f29/Y/vb//gDr8dHf3wX2Cem9ndxc/6L171Nunnz54+HB//9693b39dG+8S6MlbD49oG7pkwfU34MDQvLewb39+/ceEGxw0YMdakYfPXyw+/BB+nC8dxB88lF6TeSnMe7TH59igATi03s799PtnTERYWePkLj36e693XsP9tOv226PZoUGehB8thd9lWaKZt3/7H4UXLzbnYcH9+7v7u9++mAPs7In07z/6c7D3U9p8nd37z8k7qU+7j0gZiFm+vQezdXeAXdLLxx8+uDe3j6BJUqCt3Ye7uzs0++f7j3Ye7i3c49G8SmBe3hAXEIc+en9T2kiPqUu7z88uH+fJn3v4acP6KOdA+K2fZqL3Yc0BZh4Av3w3h4xN/1DyN4DsiSNd604Hj2eVMuZ9yvL56v8vNlTEf0orepZXpMewYtoEmkIQb5VQ4j7rRpCKdyqIVTHbRs+uFVDqCHbcG9zw4e3gsgq7VYtRfPdqndRkLeDynr0dk1Z3d4OgZ2g6UaorMBv1xTDut2Mijm4Ha5o6mZ1I1Q2LrGm/ENl5a4xc/RrzwTedfYxeXyXLO9R8v8A1O32h5UHAAA=</t>
  </si>
  <si>
    <t>F5BBB26B5E525DE4FD4473C42392A74B</t>
  </si>
  <si>
    <t>JChemExcelT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+939z5K8zJHz2+uVzkNJHX/fen++yh9t/fZR3vjew/v7T+8t7ezc//hzsG9g5Rocf/hwe7+zoODB5/uHezs3e99dC+l13buP9ihL3d26d+9PWpzsOe32b+X7oz3DoKP0u2d8ae79+89uL+38/DBpw8+3aH+6LPdg093HtBHe/cf7NP3Dz8l+A/u3d/ZuXfv0wd7hNzufnpv/ODBzr29B3sH93cf7j+4f3Afb+49uHfw6X3qbOfT+3v37u2m3fE8+PSj9JrGuU+f7wDT/f2DTwneLgH8dC/4BL3uHISNdse7D/YPdvce3v+UoD+4d096DYZ1b//T/of71HB3fP+eTyRq14W312+1+4Ba0Zg+ffhwd+/Bp58+3L2/n/bRvz9+eC/4hBjmruWYo8eTajnzfmUWepWfN3vKRR+lVT3La+J9vIgmkYb3ug3RQrj06Nvylv61CcT+rfoCR9uGexsagu9vBRHScSuI1PDgVhDv3bYh4fjwVg33Ibi3arkH8R6ajO/ebjJUPfR74x/KLneNdqJfe5rrrlNryeO7pDCPkv8H6uAJkEwFAAA=</t>
  </si>
  <si>
    <t>8BD8DD92D143EC1C0CE0E6B6E7466ACF</t>
  </si>
  <si>
    <t>JChemExcelE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vkhPYv+V6ZeRj7/kT+nfj9J3e599tL0z3nu4s7u7+3Bv5+Gn93cO7t1Le5/t76Xbu+P79+4/fHiw83Dv3s7e/Z17n+KznU/9dvc/TXfG+w8eHhwc7Dx4uHNv/+Hu/n366OH9+w8e7OOlB3v37t3bT3fH+/s7O5/u3Xtw7+Dhg3uf7h/QRzv028HO7r37n+7sf7q/82m6N97b+3TvYGdn92Bvb+/+g7303vjThw8OPt3bvfdw9969vb2H6f54Z3/n/v7+Pe7g4f179NbD3d1P9/f3H+4f7Bzs7O3s0azf393b3ft0/yEN79NPdx72h8ij+fTBg0937j188OD+vf2DXZqV7b3xwQ59fe+Axnl/7wEIsT/ee0CA7z882N359N69hwf46NO9nQefHuztPiTsd2natu+NafAHn6I/GtXuw13AAjLA/v7BHnVxP929R+zqI0ZkIDp/GuJKHP3gYfjRw/He/Zvfuzc+eOB/9CDdvT/eDyhxEMHho/SaGOP+mKZ4d+/+Pn12f+/hw09TDMn/5P4DovX9hzsPqR2Ri2boANNIoO7t0BQQlxzs3N/FZIcf7dzvvffpAWZk58GDB9To04cPH+w92KVJZa578HB3Z+fe/f0H9/ZoNAeg46d7n97/9NN7D3YOHj58eO/gHj7bfUBDuLe/Q9z5gLjuAQB++gDo7u8+oLd37z04IFa894CotEuTRzOG/pgTdh/cu7e7v3/wkMa2jzkmztt/sHewe293j5jywaf3+pjc270dJp9GEHnYR4REvE+B+8Qi43tgoYc0awdEvHs0sMhH9Cb/f3vgOwxob2d/nyTrIcRw997p9i6zfNh8/4D02l2r2I4eT6rlzPuVNd2r/LzZU2X3UVrVs7wmFY0X0STSECrxVg33uw3RQrTu0XflLf1rE4j7t+oL6nmor2/frq+9LogNfT24VUNYC9twb0ND2JRbQWTLcyuQYqBuBVTs2K2gPgha3gj0dnwCU7l/q5ZiZW/XlI3xrQYlNvt2UNm03w4qewC3g8qOwq2g7gctbyLALZuKgxL0jzYqMCe3FB/2cG7XHztCtxovN73djPMobifB4n3dDgE0dTPuQeUfqk3vGh+Tfu35n3edc5o8vktu71Hy/wDus4bcEgsAAA==</t>
  </si>
  <si>
    <t>ED25611002420A56CAA94782B35FB58D</t>
  </si>
  <si>
    <t>JChemExcel6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dj5K8zIHZm+uVzkNNPX/+1J/vgg+pf/Kj9J3e599tH1vvHv/4MHuvQc7D+8/3KNfPk17n91Pt/fH+w/37j3cO7i3u7+38+D+bv+jvf6Lnz5It3fHB3v3d+7t0xcPPt3/9GC3/1G6vUOwdu/dv7//6f2H9z79dH//4NN0Z3ywv3dv796n9+8f0JcPdx6ke+PdB5/u7Ow9oGf34f7ep+m98f2dhwT04OHD+/sP9j8lXPfpvXv3Pt3d2SNE7u8/fJB+Sq892Nnf2d2/t7dz7/69vT7s+xEcbonW/R5a9/uY0kfEaffuB2h8lF7LFOwd7H16b/f+g4OH+w/ugR674wf7/kcP9oDMwwf+Zw8PCJf7n+KF/b3dnfv03c5uSux6z/+IeKfbam+/Dwwd3KbTn4V2PfQe9AdB9CReCT65N/50P/jk036jT3uQ9tDfDknjXSuOR48n1XLm/cry+So/b/ZURD9Kq3qW16RY8CKaRBpCkG3DvQ0NIe63ggilcCuIUB23gggFcyuIe37DTRChr27V8GG3IVqIhjz6rrylf20Csbtzq85Eed6uKevY2zVlVXyrpkD1dpMsev1WkyLq/3ZQ2UrcDiobk9tBZZtzO6j7QVMPKv9QabtrLCf92rOqd53JTR7fJWN+lPw/7jFHp+gHAAA=</t>
  </si>
  <si>
    <t>31CD48BE7FB6BA61F90DA61340A86D94</t>
  </si>
  <si>
    <t>JChemExcelIh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uPdRmpc5ZuXN9SqnSU79/14Ef52kX+p//mfPem26b33jELOPhP3Kk3lWXxDWO+nm/7Z3b2jw/v99DZB7H6Xv9j77aHtnfH937969T/cf7h4cPNy/T0y1vTv+9P6nDx48vL93b3dv/9P9nXvp9r3x7t7u/s6n9+8f7O0+3H1AE07t6MX7D+/f33249+n9vYdotze+9+mDnfuffnr/3s79Bw8F3P2HnY9ISh/uPNh5eG//wcO9BwefPjx4mNJnD3b2Pt3fP7h/f2f/3u594pndMXX+cP/epzsP7t3bu3d/5yDdGz+49+DTvb0Hew93P925d/Bpuk8v7t7b2T24v/Pw4GCfROc+vbb/8GDn4YO9g91P94mBP6W3Dj79dGfnIY1nf//hvfSA3qKBP9yjBg/27pNgPaS3PiUw9+4d3NshfKn7HXrt4acPH+zT53sH9x/2G33aA73fQ+gejWPn/j0awqf0Hg2FyJcC9L37+w8/ffBwn6jw6cEBtTogqhNBdneo4e59ErJ743v7e5/uEgb3Hzx48OlD0gX3xp9+unewc+8BvXvvwc4+UeQ+4UMk2j3YR6d7hMD+wYOdT/foFeBNwkXzsrd3j6i6QxgQop+SgqA5fUAIPNw/2NmjPuhfmr/98b2D3XvU0b09Gu590inUbP/Bp7uE2D4N/WB3j+aF5pT++nSX5uH+Ho38QNlh92Bvn1ruH3y6v3efdA69e0Bf7hG2xCP3ieLogZCnuSGS7d+/TwqIPrm/5+NBfX5KBAOv3d/bpQEQX+KjTw/2Ht7be3h/d5/5M90+GBNPEhmI44g9DkiRbj8kFU/EJK48OPj0HsFDK5rve7u7NMf3ib9oggjWQxrR/gOgcf/hPSLZHlGa+G//Uyb/Hk1Wurc3pgGCxwjYp0TdT9O9nTFxw8MHnx4QuR8Q06PR/gGx8IODhw/xARFsj7iWRGfv0weATW8/QKu9vc5HRP09Aru/g+m+95A0LX1EMkjs+HAHo6KhpXv3MW/39iAZ90BbEoBPx/fvP9jZoe8PaExkLfYeEJVpamh0D4nriUf2HtJrJDb790isdw72Du6l90jS7x+QYN2n6aX/iLeI30iSiUbEh9SU9P29e/TefeKiB/dJvvbIgtyjybn/cIeAPHi4u7dDcxpp0wMdwYimnRh/F8Tde/iQxwbQNKP3iH8IUWIbDJfoS/K9u0eCQSLMoGgWdnbuQU4/fYipegCS7x482KVpIO7GLHxKqujBg/39XZq4h6SBiEwHNKGfgkkfkmzuP9h5gIkhvoBao7E+pNcxn9TmHsHY/fQByTOZ212ScGLP3X2a73tgNzQiySEe3ieM9kg2DgDpgNiHmOLhPZqtA5ImmuL7O7v02qc0TXtEm3sA9XBv58Gn99A9Mel9/mhnl6bv3gPibSLVfXyy99BHId19MCYFR5JEbMIDxCdE2X1SiwSERITeIkLt7B+Af2j8D0kE0919op1TVp+iDXEc1ALxE3Emzcvup+OD+4TQ/U9J9xI/sR7a+Si9him4NybSPySNcECD2NmjFlAbhBuJD6kyoirUHdQBjfqAMN19AC1L2pVEf58knDoB4z+4v/MpVDwxB8klSSs1vUevQAvuk06mzh8c7N0n+u9DCxKFWJOTGN/7lHwHevNgF9JFxKSB0azeYxty4H92n3sI2xFrfKPtYv3ei+BHvhebx+Ddg9t9RgTdJS28S2qUeOLBff6QVDyRh7iWxO0AcvSANDr9RiIPw0t6juwg6QqyyERrsiz7aAdDQAaWlNEDzA3ZwQcEmziRqEoTt7+3e59kmCCRRSJK75JqgJ4nr4xUGKlCYgpC4+H9e3sQDGIv6hBKfoeakM2CVSOT9CnpYpqwB6SW75OdBTPeJ0O1t3uPfAc42IQPIXhA9ofsDVsrEhFC9ADCBNOxQ9qReOkBxIla7NB/YIOHe3vUI6mTHTLsMDskYp+y1SQdt7O/u7sLbqSB3adfD+7TCPZIi4IbSbsROsTjO+Sh0gf3Dx4C7h5ZaFJbn7JPgp4OSB0RuYiA94DFQ/guRDbCBAp4D5+BEagNEY++eQBsfyQUN/f7I6H4eSYUD+DO+kJB8fBdGxAfPZ5Uy5n3K0fIr/LzZk+D5I/Sqp7lNYX2eBFNIg0R2d624f6tGiKmtQ33NjREQHsriIhmbwURiYBbQdy/bUPkFW7VkLMPt2opSYrbNeVcxu2acsrjdk05M3K7ppxAuV1TzrPcapq4qZvRG3ENpwptJEt09G15T//aTMZwGt8fCNJCt5tgyS7dihKShLodVM5V3Q4qp7RuB3Ufma/bQd0Jmm6ECgRuLdt7t2MFSczdDlXO390OKqf5bgVVsoG3gipJw1tBxbC8ppugIvN4OxGXZOWt+uemt5tWSX3erilnSG+HACdSbweV8623g8pp2VtBlezt7aB+GjTdCJVzwbdryinj2ze93WxJAvpWw5I89e2gcjr7dlA56307qPdv35Tz6LdqKun22zXlrPztmnLy/nZNOcd/u6b7WAq4XVNeMbhdU15YuNVscdPbiSHj+qH2FGT8NJzH9wcCFvv0djMs6ym3IoUsu9wOKq/O3A7qPhZxbgeV13puB3U3aLoRKhC4vZR/ejtmkLWo2+HKS1a3giorW7eCKgtgt4PK62S3gopheU03Egvxye2kXBboboUAN73dxMpy3+2a8qrg7RDgxcPbQeU1xltBPeClyFtBlRXLW0HFsLymHlT+oVHyXbPmTL/21qPvusXq5PFdWgY/Sv4fD258NSIfAAA=</t>
  </si>
  <si>
    <t>1543E80A03E4D85D4DBE738B9C5FF058</t>
  </si>
  <si>
    <t>JChemExcelV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j0RSr//5L/lf++5P/jvxcfpe/2Pvvo3vhgZ/fg/r39Tz99sLd7b+/TtPvJ/qcY8r379+/t3T84uL//8N79h+mn4/1PH+7t7j7Y3bn34MG9h5/2P7mfPiBIewcPdw7u7e3t3N+/t9cF9Gnsk0/H9w5293cPHtx/eHDw6YMDavJwx2+ym+6P730afkJIHzz8dP/T/V3Ceffh/t49+mj/0517+/fu7ezQeB7ev0ev7RDAXcJuh/r89OA+9XWwu0NvHDx4sPPg4YMHu8CZXtu//+Dh/sOD3Xu7NIze6D9Kr4lye+Pdh/cJ9O7e3v693Z1PD6jHB/f8Tz6lHu/vbG5zsJ92AT1Md8f7e0GjT2Mfbe8QJ+4/JCo9eECjeUgY7qbbxOh7NN6D3U8/3Xn48N7+DjXcG+8f7B/s3qcvdh/eo+b34p/F3gXCOw92du892Lt/b3fv4afUDhShLncx0Ts7D3eICfvtgN/9/f17O7sPH+4/+HSXmIPoTaT1R0EycNcKwdHjSbWceb+yVLzKz5s9FYyP0qqe5TURHy+iSaQhxMc23N3QEEJ2K4gQxVtBhMDeCiI1fHAriLu3bXjQbYgWom6Ovitv6V+bQDy8VV+si27VUlTW7ZqyZrtV04Nbt2SgITe8P11E196uP4w35BWvh2/frj+Q17HR14MBlKOMwz9Uxu4aK0W/9izYXWfeksd3yXAeJf8PPC3m4VQHAAA=</t>
  </si>
  <si>
    <t>EB834F77A00BAED7995F7F376B30EC26</t>
  </si>
  <si>
    <t>JChemExcelK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mvy/pP+/3j9J3ezTc/fH9B/sPdj/dP3hwb3dvdz/dvTfe29/duffg3qf39w/oN/pod/xw58G9+wd7+/ThpzufHqQ09PvU4sFDeudg72Dn3l76cLx376H3PEgf0Guf3tvbOXhwsPtg9+Gn9yJtdu9To4N7Dwnsw939nd0H99LdB4TB3g6hdW/n4acHe7vp7gH1Rv/dO7i/9+Dhp3v79N5Deu/h/r29hw/26YO9g3Rvl167t7u7Ry/t39+7t3u/3+ij9JoGfX98754/5vvppzSX/if7abfNfq/NvV6be702e/vpvfGDh0Gjfqv7PUh9jCJt+o0+7fV2/z6x013LT0ePJ9Vy5v3KDPYqP2/2lMc+Sqt6ltfEGXgRTSINwYm3agh+vVVDcPWtGoL3bcO9zQ0f3AoijfrgVg0hbbdqyDJ5q5YiurdryhJ+q6Fz0+gE8Q+d/rtG9dCvPbV01+ms5PFd0oZHyf8DpYduoSkFAAA=</t>
  </si>
  <si>
    <t>041BFBE8619AC639EF4017C0D05E3A16</t>
  </si>
  <si>
    <t>JChemExcely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T7z/8NeXwSfdFvRfSf/7KH2399lH2/fHB/v3dz+9t/Nwd+f+wwf37qXb+2P6a//Th3v79/Z3dh4Qitv3xvfv+R/tP0i398Y7u59++unDBw92d3b36ff76fbO+ODgwYNPHx4cHNx7+OnOwb2DdJtma2fv4P7+3r29+7sPdx98yu/uPbi/9+nuw/39h5/eP9h5iC4e7H96sL+/Q38/+HT/00/TnfG9ezsHe/sHBw/p58H9g3v76e7400/37+9Qd7u79z49eEg06n30IN0bP3x4sHtwb/fe3sNP9+mTT1Ma1L3dg0/39u7vP3hIn+7S3H/66f37+7v3Hnz66d7Ow4cPep8c3O+9di8GO4JUF/cH+/d7zXZ7rfb7H93rEfDg3h4IeO/ep/fv3bt3n2bkwd7uwX7/s/sR4j88AKU/fbCzt7u3/+DTXZqF+/fvpw/BBf7IP0qviTvujfdoah/s3KN2nxLYnf303njn4NN7B2AVmqv9/QcPiEb7ezs0bTsPaUoP9g/u0SdEmfsPd3YP7lOXRDh67VPucvdT+nTv/gMm5A7R497Ovb3de/fv3b//kAi0+5DI8mD/3u5D+gBsQTS7v3dAHe3s0M97DzDdoLt77eCgB+kAaH66E3x0/zYvPuw1eshMTWx//9OHnz44IL6kUcuc7AafHfTbkVTdriEA7o3v3w9e3sNE3dvzP4NoEvHdJ/dIbohp7/kffdpv9aAHikbW6/IeTWUP2n1iyB3Sdnetujt6PKmWM+9X1n+v8vNmT1XgR2lVz/Ka9DReRJNIQyjKWzWEOr1VQyjdWzWEar5VQyjwWzWEmr9Vw73bNqSuH96qIduWW7UUE2Sb7t3U9HbzKAbtdlDZ7t0OKpvH20FlK3o7qGxsbwd1L2i6ESqb79s1ZSt/KwQeBi1vArp3OxYQ7+J2TdkJuRWq4qvcDiq7NLeDyp7P7aCyg3Q7qLtB041QgUCUBfiHasC7xjmkX3uO413nVSaP75K/epT8P2lxS+fLCgAA</t>
  </si>
  <si>
    <t>715CCAF3964233D0ED9AF087F84E71CF</t>
  </si>
  <si>
    <t>JChemExcelWy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4htXtI7R5Su4cgM9N556M0L3PM5JvrVU6Mkbr/vkxf3OrnUPsT+vmC/3Ztwr+/1LbxFvjtdecbvxfz1gv7nf3vo/Td3mcfbd8b73y6s3twcH//4N7B7gNin+298f7D3Yf7+5/u3X+Iz4gNqNn+/oN7BwcPqAW1fEAssr0/fvhgd+fBpwf3Hh7s7O3KqwcPHu7u7x/sP9zboXa7aLW/e7D38MFDdHPvHs3J9v3xvU/39+jjT/f29ncIIFod7N/fp/53d/cI4s5DdHn/wc7e3r1P793/9MG9hzRBQPbh/sEOfbJz/1P6jSaL3vx09/4edbl7/+H9nb0d+miXP6Jn997+fRIK+mBv//69vU8Jkb0dgk8j2hnv3dvfu//g4X0aLDX+dOcgJcndv/dw/1OiyIMDGu9DNPt0Z3/3Po3w091P7z0kDt0b72D8B7t79/YOdh8SfxO97hOW1Ix+7nxK3GUB7R98+unuPg0gvTd+eO/eHigBAn5K7Hp/vLO/95AG8/DB/d0HD4lWn44Jkf2HO/fv7ROKD0lkPx0fPNy7d/Dp/Qc0lJ0dEtYH408JzIODT/d3iAi7JAIPxntExwMawcO9+59SvwT5Af358GD/AVGABoJP9nf3aJL293cODmjW7ll87u3cozl9sIdP7n9KH+3tPdgjNB6SsNih3ru/v7P/8OGDe0SPhw/Q887ew/v37j/YJ3WxO36AXvZ2QahPicgecT99sHPvYI9mlSZhZ0xwPr1H08dtP91HO4W2v/vp/YMHhJk3eTu7ROB9Ip2l5gMi1wOa6/uE2cHePSL23u7+zqef3veGs/vwIeFFjObGc0B9fbpD9CVWeXBvZ5dGTCxLlAbFqa/7D4lLHt6/v7tHSszOAQnE/s7Dh6C40nfv/v4eyOBm5SHhuPOA1J6jL6j7gJTjwZhoRN99SnyPZ9fNHA1kl5oeUJsHEIJPH9AQiNl29tOH4wNiWOr6AUA9IEX5cEycTcShiSAG3yH2hoG5t7t7D50TqAekOemjBxgXgcD0gud37413idS7JMk7JCw0KHx0HzxDv4PD9kiF7hLvEktghh7uPyBxS3eJLe/t0MDvEVI79/eIUbuNBDoEnISVhIWwIEuzuz+m6bmHSSLWvf+AmKUHaw+taPx7O/doCHs0UkErwJT0CPV4QJpl7x6J1AOmDz7aebBDUrJzQDR7sEeSuEtztfOQ1M99UkLEVECViLz7kEj1KfHaPfpfuvuQdMYBze6D+zQXNPBP0YhmeP8BfXawt38Prx3QJ7v0PTHtvb0dkmM0IogPSDEQo+2SEGE0D4kjiTOIF0nJ3ccnpFCoZ1Jk92jWgeb+mDo6oJm+d2+HVSZTgfoDywHzByDfp2P6imTg4QP6H4nAA1CB5FVEiBThzs49wNqFRsZ0sZLdRStoGGInYjaaTGJYy3okcSQ01OE+tSEGIdkkwtOvD624oPuHNB2EgpUFmo5PH+z6wkgj2YX6eACZpXkjZiFlR8OjrlmOiTH36V1iR5r6+4SWE9q9h/QLUegAtuAeYbhL1DmgqSSo0N8HpJFJMe2R/JAMkCNC+vseiT4xzS5NI2meB7APxMQHByDRHnQuffTp+N4eoUYWaJdYh0hwH81IGmkCDmhYB0TIewyNGhwQykTd+/fJDOFV4EUEJKkn+LsM7IBITfpsl0aGCdl+MIYlIJl48JBEndR/uk2MQzJGdpCoQkqaNN32AQ19/94use4Ozdw++VD04j70wM4OASMG/fT+R+k17CrxK+mUB6Qk90ECsOI2uY70FvHYAVGOegfIhySTn8KkEnc8hD17SMqb5IkMMqkvot1DdLvLfPkAPHrABCf1QpiQ3iLlcEDTvIsX94jPHxDP7j+8BywxUOLVB5+StiWbsgMzREQjRAkbkllCmdgENCNmIVsLvQVG4nmi+X94b4fM2wOaMOB1b/wpDf4+zRoxNWT+PqZ4FyIFy/SABkXYgRUefIox0ySQhqROud0BtDO9SWbt4FPug2wEzwGpbGKu+xgEsSCx/6dktOgHyQFBhHkhlXCf/IZ9Mn9kjciR3COLQ+qeGhKlwCSwVA9gJUln7pJGJGeYXHpSFfdJ+9IMkvWCshuTsFOHD2AXaJ4f4D2INFHtgLTsPv0kFO49gHQRS5H5lmHuEv2JGQksoX6PFBB/RgaDxkicTBb9ITEDuyf7nz6A2iIBoU4f8mdQAiDN/j6ZwgN8Ro7TpyQU1CeZ//sPyNWGSwS1CdeEfmIAEAxibfKc7kPJkGbHfNIbpIs+hdg92CH/mfiPensIs0qDJ/3I7EKvAT6RnP4hD5h4g/4mp4M0KKnPh4BF7EJOFT0PiHupg/t4kUSHqEc8RoYV9ojAP6RphFokSSGOechyQTpvH9qfmPRTnnPSEzRrRH8SlQM4SsBVdAv9QzqHvT7MBYn6LvEaob/vcd4B8dbBAXzDT8eg4AEpdjb6+6A/8f8DOG67kGPycPbxEXGlY6n7jBfYCjJ2j1w6smUHcIJAb9IApIhITPfJLSHG32eBV7rtkeg+VJlSupl58Ql+AA8QvGxnah8akLTz/f6EPvDnnVgGgrPPjjW5lqSnDvbYdztgsVKe2YFJoRF96hGdvtl9SGxKn9wnmSCb8hAe1h584Q59d1g9BUSRidnBqA/gKhGR7wuFdLLuw5yRTwllRfQhUd8/wCRDMoic9D1pctJhjMe96DwI0SOUi80DuSkk0TRZpFeJOg/AYGTRYLVgRmD0HkBHwfwT95GOJQ+IPDz26cnrgSdNGuUe/CduB5tJEQRpgj3i4gfc733Yk/vUC5n3HernPn8GHEiuyLzCoNFHZAPgktDb5DeIDXtAWo+GBeIRajuQG9hb8tkfwAI/pJiGLPweTCLpmE+hQohYD+BoPmBy7pK7u8/OKMSdjNCn8MoQIpCp+vQAgQZrbKIqKSPqex9OD8VExMD3of1IO5G/RGHBHhTKQza28BFIwZB2IyKR4qI3oVdJbPfghbNutgqK+AqiCkGyCopeh91n/oO8k5O8x1xNYTU+ojmDu0QKl3DfBTeQSSOsyJMmt58A0KCBxw7M3AFNJFQoJHwfXsXOp5hNGsUeRfskHPtkLkhwCQui6g7zKU0jWQ12Mkj5sOzdh94hpwB+4cNPoXtI7qFHaUBEXJo3dgN2P0UsRPaMxs/k2Cc5IPPyELB2QHLKm9y1iZOjx5NqOfN+5UzKq/y82dNkykdpVc/ymjI+eBFNIg2RAblVQ6Q/btvw/q0aIvFxq4bIetiGe5sbHtwKIvIdt2rISZFbtZQc1a3Q5Ka3mx7JeN2uKSfGbteU82e3wxVNbzdNko27XVNO2t2uKef2bocr0nu3my3JFN6uKScUb9eU8463wpWb3m62JIt5u6ac7LxdU86J3q4pp05v15QzrLdryonYWzWVfO2t6MpNbzdbkv29XVNOEt+u6T5yybfDFU1vN1v3b92SUb3dvEqq+3ZNOSN+u6acOL9VU7DA/u2kUNLwt2vK2fpbzQA3vd28Su7/dk15ieD2TW83W7LgcLumwPV2syXLF7dqKqsct6IrN73dbMmaye2a8tLK7ZruYwXmdk15oeZ2w0LT280WD+t2syWrQ7dryotIt8MVTW8nW7IkdbumvHJ1u6a8wHX7prebLcb1drIlq2q3a8qLb7eiKze93WzJUt6tmsqK3+2a8sLgrXCV9cNbQWVcb9eUod5uYmXh8nZNeX3z9k1vN7GyWnq7psD1dhMLl/DgdhMrS7S3a8orubeaWG56u9nafYB14Vs1leXj2zXlVebb4Yqmt5sthDAHt5stWdq+XVNeAb8VrrJQfiuosp5+O6i87H4rqIzr7Zqi5e3mVZb7b9eUJuvh7eaVcjHZw9vNKy11Zg9vp14fIjS/3bw+5OD8lhN7P2zrweUfmke5u6jKfLouc/r1i5N5viimWfm6rdfTFp88rabrRb5sj5LHd6eL8ij5fwAy31nyWyMAAA==</t>
  </si>
  <si>
    <t>EA78BE5F2DD387673C6A9E81493002DB</t>
  </si>
  <si>
    <t>JChemExcels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9r970v67yR9kZ6UH6Xv9j776GC8s7O382D/wb2dh58e7O2m3Q/upZ+OP/304N7D+5/uPNzd39l9cEADvHdv/8Hup/sHD+7t7u3u70U+6b714GvBuZfuEz67O/ce3Pv0/v7B/u5ODE4f54cE5/6D+/cO7u89ePjp3v5B/62P0msa//a98c7Bjvfc+zTd3h9/uud/tpduE2IPOx91W+2nUWB743u7nWY74wcPgmYHeHX3/v79h/uf0hg/vXewd+/B6fbu/XR3fP/eQ+95kBK8Hf+Tg94nDwDt/v6Dh/v3dg8e7u3v3v90X6BFe/50/PCe/9ke8eFdy4hHjyfVcub9ypz5Kj9v9pQ5P0qrepbXn33EL6JJpCFY2Dbc3dAQjH4riBCHW0GE0NwK4q7fcBNEyOCtGkJSb9UQ8nyrhiz1txoNWu7eCuYDaJBbtRRFc6umqo76LfmH8tNdowTp156CvOu0Z/L4Lunlo+T/Abe25UezBQAA</t>
  </si>
  <si>
    <t>13499C612E503D4B013CC2CA62213D41</t>
  </si>
  <si>
    <t>JChemExcel/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v6/32ZvrC/4XfzF/62n3+Uvtv77KPtvfGnBzu7+w8ePNi5d7C/++mD023CYpvocO/epw8e7u7tHuwd7NzbP+h/dv9Buv1gvHewe39n98HDnf3dvU/3D/j1Xsv+J/dS6vnTB/fuH+zt3/v0/qc7D7offPow3R/v7Ozu3HtAf+8Tcjv3aYru3dt/sEsdPbhHsPbTT+mlg3sPqf3D3X3C49P0gF7a23mw/+DezsNPD4h8D+md+w/u3zu4v/fg4ad7+5Em211k6KNu50SVbu976Xa//+0+9P4nXZzu9yHt9/vrN9rrNSJid/vbuf9Reo3Jfjjeu/fQew7QdP9T/6OH6OPhXu+j3fudF7utIrAeYJy9HkkGH8Q7psb77/eFwrodet1WD/qt7vdb3QcnfLrb+eje+GDf/+he/6NP+y8+AKPRnHjPfRa2+wGRHkQ+I7X0+K7VMkePJ9Vy5v3KaudVft7sqeb5KK3qWV5/9tEeXkSTSEPoJ9twd0NDaLFbQYSuuxVEaMRbQdz1G26CCAV7q4ZQw7fqmho+vBVEVum3aima/3ZN2UDcrinbkVuNiZu6ubxh0ndvN5lst8KmaPO6zeu8SqfV8pIsFRvmL54+/8j74Cezck3ma9/Aljdu6MjN8saBsh29Hfpsbm8Hla3yraCK8b4VVG56u6kWV+BWUEEBr+mNUG/HFeKD3AoBbhoVXv6h6uuucajo156zddd5Ysnju+TjHSX/D3H5I03/CQAA</t>
  </si>
  <si>
    <t>2A83D789B5C0DE24F318CD11B9EC0D96</t>
  </si>
  <si>
    <t>JChemExcelj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xX9f0n/y82TDf963pfcC//ZR+m6PpmJnvH+ws/vw04OD/Z17u/vUPVH0YPfewYNPd3buH9x/uP8g3b033t1/cP/+/d29B58ePLi/sx/9aJ9A7e7d29/bf3h/9/59+uQ+Qdp/uHvv3oPde/v37j+4n+4+oPcIKrW5t/tg91MiXe+jdPeAIO3t4ff9hw8ffgoUHozvP3iwc7B3b+/T/U8f7t07iLZ6OH64/+nBw4NP7+/sPNzfPdiPfbS3O9472CFwDx7sPtzb26Op2tsbE5S9+9TwHg1m7/796EedF/din3Re+zTdu0cYPHh479MdIsqDg72H99K9+/Qa4X1/996D/Z1P7xEj7H1K793fe0iv0uj279F7D+i9g4cP7t072N35dO/ew4NYowikbn/xT/bQfPce/Tj49CGo0mtEpHvA80IdfPrpLpE43f10vHPPmwam7y5B2P90Z//+vXufyrzs7dzbv//pAyLCzv2Hn/Jrnz58sEv0v79LHz/ceYBW1MfBvd3dgwdEL0IBc0wQP6U5otna3ds7INa/Jh7dps8J/Ke7YKSH1PFuun0wfnDP/+he2mu1l25/Ot7f+1ovRlqRpOw98D/b77+5jy5pOPcf7D/8dG///v09mv/t+2NiQBKwBw93d3cfHOzwRw/3/Vb3AWv/oPMiEfL+za26sPij3QfBi/TmvfGn9zrN9sY0cd5HD/b6zQ76zR72od3rtSJd1kXjXh/Xh31cD/o0PMC4790n7UQfPdgjhrzHcxRShwb0cLwDlULEJsbeu/fpg+h8PBzTN/f2aNYO7n/KVKW5pdf2dmjSHx4Qn396wJ89vHfvHmkvEi1iWVLw27t74529nR16e3f/U2L/B3iXROnT+w/v39s/II1Jn5IpuWttydHjSbWceb+ycXmVnzd7al8+Sqt6ltekivEimkQawijcqiFslW24t7nh/VtBhN27VUNYx1s1hA29FY4PuxDRQqz20XflLf1rE4jdnVthJQb9dk33ek3fHzNxHG7V38NbtxRP5HZN2WG5XVP2a27XlN2f2zXdu31TdqiGCP7tWxKcPbLb9ceO262ain93K3YWN/B2UNlbvB1UNL3dlIvveTuo7KLeDurOrZuCO27ZVPzjD5UxAAn5ZhOP74Xc8TX6g+Me8s3XAMKRwAcCQUQRspr31i0FRkKRW1FPIpZbcRY3vZ3eMfFPvyn/UKt614R39Gsv9Lvr4sLk8V2KOI+S/wexvlWjjQ4AAA==</t>
  </si>
  <si>
    <t>9F47F649C9DEEB4236FF25A423ACF280</t>
  </si>
  <si>
    <t>JChemExcelO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OepF/q/7v/vRj4TNp+iZ/lR+m7vc8+2t4fP3zw6cOHuw/2D/YePniwv5v2PtpLt++NP92/d29379O9T/c/ffhg59PIRw+ib+6N7+08/PTevfs7+5/u7376gOixvUPN7j+8v3/vYO9g996n9+4f9D/79F66M753/8GDvf0H9x7u7O7fe3jwcL//2f10d/zpw939nXsHn+4c7O/t39tP74139u7vEAoHe58+oH4f3ut9dLDfe+9eBNkIroTC3sNP9+/fu0c/6P8PP71/j2A9+PRg5979/fs71JQ+eZASrHs7n3668+neAdHm4Q7jdfDA/4h4ZJ+o6H/Ub3S/D+r+p9Th/U+D9x4QXjv3Hhx8urt7//6nB7t7O5/eJ77bJpl6uEuDfLBHZPj0AbEWjfL+3v59GvPDhwf7Bwc7PEoa7s6nu/TeQwJwsA9Kf3qPyLO/t3NvjyDeI4bcGe/SpFKbe/ufUsf7uwd7hNvuvb0HD+/tAtB9GsxBejA+2Atw+yi9Jla7P35IRCNMd3ce7hPX3KfB7++GnwhT+Z8Q/J3wExLse/4n+5/GPuq+t9+DvR/pv4vjvfTT8YM9/5O9WKMuoHu9zsBdxDhElof39w5oCu89IG75VPgr+BAf0UtE23vEW8Tt9z/d5XY0B7vU5NODvb0DepXnllp8ep962KWZ+nSPuKf72e4BiyqhQv+jJg8/Pfj0Po2BRPVTmiz0s/+AXngY+6T7HoO6f5+Ejlhr7+AB9STsRBxx8JCk48Hu3oP7rC52HtyHfO7u7917sLNDH90n7qQPiAHvEUt8Supu+9Mx8dy9ew+Ebe4D/AMw3cPdh3sPHtDPPVKk9OLB7oNP7+8TXuBMZsMdUst3rV4+ejypljPvV1bUr/LzZk919UdpVc/ymiwMXkSTSENo9Fs1hN6/VUNYB9twb3PDT28FEZbmVg1hj27VEFbrVg3Ztt1qNGICbwVULOXtoLJBvR1Utru3gvowaHkD6XfdbKIlmoivcPRteU3/GkZsI5DvvgeQ23GBOBy3a8p+ye2asvtyK/KKl3MrqOIM3Q4q+0y3g8qu1a2g8rBuxwvirN2uKft0t2qKib1lU/ESbzUsRuB2PCA+5+2asmt6OwTQNMoD/EP19l3jjNOvPUf9rvPik8d3KT44Sv4fe4xtcTsMAAA=</t>
  </si>
  <si>
    <t>92755EC2CB157955C87D979716F23605</t>
  </si>
  <si>
    <t>JChemExcelG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i/TE+0//Ks0P/9sv6b+T8qP03d5nH23vjO/de7Bz78H93fsHD/Z293Y+Temznd1PD+7fu09/7u49+PTB/b39dJvIu//g3u7+p/v3D3bu7+88uI+Wew/8z/bv9dvRq3tjAh5+dG98777/0f17/Wafftpvd4963R8fPOx+dn/86afBZ+n2g/HeTuejCCIRdCOj2h3v7T3cubf36f2H9/b2P71/f58+uvdwZ2fn0/2Hew/uf3pw7+F+ujd+sHePKPfpLr25Tz3dS/fHO4T/p/v4/y6BeEjMde/hLsE8uH+wt7/zcP9++im9tv+AOjggcAf07/30gF472N/Z293ZpbHuEF90G+2lu3vjvXtBo4/Sa5rT/fHe/b29e/f2H+7eu/fwHnVAeBFCB5/uHny6t/Nw7+A+If8ptd+/t3t//+EDwuL+/ZRG/emDB58SnTD0nU9373/K1KEh797fobcPdqnpXvSzzrv3Hx7EeiDy33v48P7DfcL4/u7Ozu7OQf+zXZ50It0e/f8eDeOA5me//9nBvdu1w2f3CeNPHxIX39/f/fTTnQMgTIzwcP+AOH+HppiQJiLt7j68v7v74D4k4f59kO3gwP/koNvm0529bqNP7+33Wu33Gj0AAg+CNp/SRzukQO5aDXL0eFItZ96vrFJe5efNnmqVj9KqnuU1qT68iCaRhtA9t2oIDWUb7m1oCD12K4jQdreCCJ14K4jQnLeCeM9vuAkidf3wVg1ZXd+qpWj12zVl5X+rpuj/dhMpluR2Tdng3KopWrrZ3AiUrdetpmkvaLkRKJvD2zVlq3m7pmxcb9VUbPDtmrKpvh0B0DQ6rfxDpf+u8TXo154fctc5Kcnju+T+HCX/D0nuYToaCQAA</t>
  </si>
  <si>
    <t>8C34FAA1CF30C5896A2AB44E234D1B5E</t>
  </si>
  <si>
    <t>JChemExceld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Gn434vO38/4v9fpl/TfC/Pzo/Td3mcfbX86/vTTg3sP73+683B3f2f3wUG6fX98797+g91P9w8e3Nvd293fT7f3xzs7uzv3Htz79P7+wf7uzoP+R5/2X9xLY+D36KMH9+4f7O3Tq5/uPNi5n24T8e/d+/TBQ3rrYO9g596n+OjTewc7u3uf7u/tPtzdpc5Ot4lS3Zb3HvQ/upd2+iAU0i6++5FPeq8dpJ0x3XuYdocEQPc/7bYhcB4ldiNwOm/t9wB/Sp/s07DuP7y/e3B//8G9vQegHoGhF+4d7N8j9Hd37zFZdsYPD+i/vYe7Bw93H+x9+oBo3/nswb0+nYmTrsEFO+MHD3b85wBtH+yADge793f3H+xpR/2mu4zUzkP/SbfvjXd4ru/tBo3v8zcPOo3j7wetaAZ7zQ4Ym0/9j4hoD8c7RLGH9+7dv7d3cHDw4D7h/Wm/5YGgFwK8F+84gvK98cF9CMH+rk9PZuUH+5/e29s5eHCw+2D34ackPg+Ikvf2aLbv3b+/85D+xxj1eP7TNEZbUnL3dvY/pYm+9+AhSQNpDfpon7hk//4Dmpn7O3s791U0dh88fLBzsL+/t0/97R2gZfjRgz4dHu6TErtrtdjR40m1nHm/slp7lZ83e6rZPkqrepbXn320hxfRJNIQ+s823N3QEFryVhChS28FERr3VhB3/YabIFLXD27VEGr+Vg1hDG7VkE3GrVqKZbndwNkA3Q4q26nbQWVzdjuobPVuB3UnaHoj1NvNqJjb2ze93axy09vNK4i1d7uJFVfgVsTiprcUUDS9nYiCXfZuN7HiptwOATS9naBy09vN1sFQS/6hau2uceTo156Td9d5gMnju+RbHiX/D7IKmVl3CgAA</t>
  </si>
  <si>
    <t>61A71F960D66D793E8F61F4533B2AC32</t>
  </si>
  <si>
    <t>JChemExcelt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T4L/vuz8Hf73mr6n/z5K3+199tE2jf/e/r39Tz99+PD+vXufPki398f39u/vP3h4cG9vd3dv79PddPveeO/hw529T/cfHjx4cPCQ0KCPDh4+2Ht4b/fT+/v79+8/3E8J1M79+7sHrtV9ANs52H+w47+5N957sHPwqfvoXrpNU7DjQ7v3AJ/d//T+nmv36cN0e2d8/97BpzsHewe7u58ePNj79H5KrLCze+/hzsMHO/f37+3c28VHDx7s7Dy4f3B//2D34QG9n94b39vFR7s7n95HL/dTwuzBwYP7D2lgBzsH94nc94AEdf/p3r17D+59em+HIX1KH31678Hup5/uHjy4dy/dGT8kgJ/u7tNfB/cJ5kPuj8ZE9Hvw8MGDh3s0tcBqf2dvZ//+vQc7u0QXbkQt9g+IqveIXvcZJ3xCIycaPdjZS5laO7sHD+8/2N0jRB5yGwK9f//g4af0vwdE54fj+36jB7f4gFicfvE/ORjv7Psf7H6UXhM7EAI7Dx/u7j988On9hw9294m+e2Mi9D2i0f1P793fIV65R0Oh6dv9dPcekCKe+XSfqELE3993H93HZO1+irHvPfj04QEYaB+k2v304f09v13ko53xvU8f0hx7HVCfD+/vPNx/sHdvZ/cBsEQHDz+9v3v/0937O/eJU4lH5LNPac72Du4R/+7v3APD0Sv0HOzdu79LE3sgH+19SjjRoIitD+6BoWmWd+hNgrm3t79/wNz7kOTi4NOHO2Cwe/LBwT4R5MEusdPuwb68R93sEl40wj0SYWD/KREVJAc/E/kw+zs7nx6AnUmi9ndJmu+Nd0jgiEeIt4graIz4ZG/n4N7Dewf0D83Cp/TepzQXxICExf496lCIQ2QgxHb3CP17+ywqeJuwos8IOrHvwf7B6TbpFf4KDXaIaWlQhBAJ+sN79OWn8VdIs921qu3o8aRazrxfWde9ys+bPVV3H6VVPctr0sl4EU0iDaEUb9UQqvNWDaFgb9UQavhWDfdu2xBa/VYNoftv1RAW4lYN7922IYzJzq1ail26XVM2X7drylbONt3b1JSN4e2gss28HVQ2rbeDyhb4dlD3gqY3Eut20y+m/3YIsIdwK6jiSNwKqvgbt4PKbsmtoGJYXtONUNnJuV1T9oVuhQA3vd3EctPobPEPVYB3jR9Iv/Z8xLvOgUwe3yXX9Cj5fwAQFFoftgoAAA==</t>
  </si>
  <si>
    <t>C8CD1306851BC9A18B8767B3A104E57C</t>
  </si>
  <si>
    <t>JChemExcelaw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v4KM3LHJDfXK9yQjR9kZ7of1+mX34kuJYn86y+oK930t10x/63vftR+m6PPh0/+PSh9xyku+P79/xPHqY7472dT+/t7Rw8ONh9sPvw03sP073xwYN7nz54uLu3e7B3sHNvnz65txO89ikg8ee7O/5zn+DtfJReU+f7452d3Z17BOn+/sH+Ln21N/700wf37h/s7dNnn+48oI92xwcPvY8+JcD3xvv3/FZ71OjePR+f+w/QC42y+/k97v3o8V1L5aPHk2o5835lsr/Kz5s9pfxHaVXP8prYAy+iSaQh5ue2Dfdv2/D+rRqCI27VEHxjG+5tbngQg8g/lFR3DfPSrz3Gvuu4Pnl8l+TpKPl/AEIHVhFrAwAA</t>
  </si>
  <si>
    <t>0648BCFD31C3A7C5F684F68F1B998C6B</t>
  </si>
  <si>
    <t>JChemExcel1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3ivxep/PyS/09/lR/JGMqTeVZfULudFP/tpvLT/Le9+1H6bu+zj7Z3x/s7wUMtx7v3HgYPffRwJ/jkQb/V3n66vTP+9F4A7FPqabz78N6nDx7u7u0e7B3s3Ps0pT4f+J/sA/5ugMWngB9gtttrtHsfwLuo3h9/ej8A/lF6jYHujPf29/YPHuzu3tu5//DT/b1PPwW+/Q+JSR7u7j7c29k5ePDpwb2H99K9cdjoIL03fnD/4P79nb37eH//070H9Nqn9/1GD/ap1e5D/6OHe0D4/oNPdz/9dO/e/gHBf/CABrEH6h7s3793/9MHu/cf7N5Lt/cJsXsEfP/Bwf39ew/2D6LNiEWJoe5ajjp6PKmWM+9XZrFX+Xmzp1z2UVrVs7wmUcCLaBJpCF68VUNw7K0agq9v2/DT2zZ8cKuGNJiDWzWEvN2qIUulbbl3Q8vdGEz+ofN012gJ+rWnQe469ZI8vkuK6yj5fwCZuKTw1AQAAA==</t>
  </si>
  <si>
    <t>BB919F343EA3500849E56C6E0F6A3E25</t>
  </si>
  <si>
    <t>JChemExcelM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qC/v9lit9u+9+X+O+j9N3eZx9t7+6NP314b29v79P79w4OPt2792m6DXLdf3h//979e3s79w/2dvboMyLx3v2DT/f3d3f27u3sfvog3T6gV/d2D+7vHRzs7+zt3rsX/egBATu4v/Pp7qef3n+wv/OQXvyUYO0f7D3Y2d9/sP8pfZVu79OLu7v7Dx7u7T3cPdihkW/foxfp64ODnd2dg4cPHwKNPXrz3oODh59Sw093H96/n27v0Js7u7s796nxvXsPdx/uRT6jTnfHD2lU9ObewYMHhNnBQ3xG3bt2NAc0zAcPDw4e7u/v3f/0050HBw8e0mf3qcGD+5/u3nu4c2//Ib0JPHZohJ/uE2YHO0S1vfG9fSIWDXLv4P6DewcP0nvjg537RINPCcZ9Qosa7Y939+7fe/iAxnqwu7v3YP8+cef9hztEjgd7hPJ9+jT9dPzg3v7+p9ThwS7Ri3D/dLy/u793cO/Bffp391N66wGhdECvPDi4f3/304N76UMQhiaMZuvTXerzAX1yDzP44GCPqLzzgPjsYLxLVHxIRL63d+/+fZqc/fHD/Yef3v+Uvt09eLC7g7E+pMmiYd+jv2h0n/JE7O/sEGs8+PTewafU7f39j9JrZp57452H1JoYgyAQDx2kYKh7e/5nIP1t2+2MH6D3oF333U8/sI/btovg8nB8AOa4t/eQ6LJ78Cn4fX/3PnHK3qf3iIr3SHB7H+313rsv4GkKiBH2PyXWfrj3QOSOJHB3F1O/u/fw3r0Hgtq9A2IQarj/6acP7t/jIRzs09ySQO7ef/jpwS4+26chEAt8uk8CdG9/794ut9s7eEjA6N9dQurggPt4cEDfEz77xPkMjkZ6f+/hp5/ScEl2DzAuarZHMnz/Hn1y//6n91gF7BFj3t/b2blHk3Dw6b1P97iLB8Q/n+6SHBFfEZuI+tghJiEWJ0ruE0eTDtglLfNgZ4cIuSeS3CXAAWnXu1a9Hj2eVMuZ9yvr21f5ebOnKvejtKpneU2GAi+iSaQhFPOtGkJ936ohlLxtuLe54ae3ggiDcauGMCu3agjjc6uGbKKC0aCJmLyjN/Ka/jUIQ2zcrbpjMxg29Xr47i37Y1t6u/7Y5N6uKVvm2zVlA367pnu3b8ouwRBtvn1L2rBP8aETyk7J7ZBm3+VWTcXFuV1T9oRu15QdplvJo/hVt4PK7tftoLKXdjuo7MzdDupe0PTGKQjVgjfJt5UpjCKc8q8B5J44qO8DhH+olr9rPHD6teed33Wue/L4LgUFR8n/A9sMAQowDAAA</t>
  </si>
  <si>
    <t>046C83C551E46BC2A85EDA7F7B99F47B</t>
  </si>
  <si>
    <t>JChemExcela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wp/nuRys/N/32ZnpQfpe/2Pvtoe398/8GDnQe7D/Z27t0/ODi4n9JHD/c//fTe3qcP7+88fPjg4X66fW98cO/TBzv39x7uP3iwf//TB3vp9t743v0He7ufPtx9+GDnYP8efbQ7fnjw4NP79x/u7z/89MH9vXv38OrOwwf3D+7d26e39x7sP7yHdnv7D/YOHt7ffXjv4N7ezv19fPbp7qcH93f2H+7v7u3v7u4TvJ3x/Z1PH+7d23l478FDQu7BvXRn/OnOvZ2d/Xs7n97f+/TefkqwDvYPHj749N7Dg/vUK+GxN94/2CEgps3OPfpo92B3/75r9YA+2iHoHqR7433q1X2wc58+evjp/R3vtfuEwP1Pdz7doxc/pS92d2miAOn+p3s07N2dvXu71Jpe3MVv93cOdg4ePKRf0IoI+oCw2iN4D3d3DoD6zg59Qj0e0KCod4K+ew/v7T3cIVITLntM1vsP9olgRM9P7+8fHHy6nx6MaTQeYsQN1zqdn+4+2L2/Q5Te39t98JAn4NNP6aPde0T0T3eJuTBPDx/ufnr/4cO9T/d2iNafYjr39z6lKXhAM3xvh9iOXnxI07v76af0xcNP6WXhjQO8+eBg7/79vT28SHJy/+HOpw8+3Xlw8GB/92DvUx7F/YeE+8GDnYe7Bwf3Hj7kwd7bp0kgYPsP6DNMyt6DXRr4/U8/pfEfHOwR2e7v3HtIg9rZ2b1HzEVk2x/fIwLRH8RBxIH7D0k2DwinXe+TPYyHkHCAiDl3iGUdIJ7eB8Tr9rUD4Emcdf/+/g6NfG+PRrVLH+1/eo+IhPc+vXf/033wJjHd/qcHNKM0eBBk7z7otUtMQvP3gF5/QOzJJHx4/4Dov09SQEPfZ1Lfowm6t09Dp2FAeoDbLnEXoflg7wH1tYNp3yHNcdeqjqPHk2o5835lXfIqP2/2VJ18lFb1LK9J5+FFNIk0hNK5VUOopls1hAK7VUOouVs13L1tQ+r6wa0aQrfeqiE08K0asp6+VUtR57drylr/dk3ZONyuKduQ2zXduX1Ttkq3a8rGyzbdu2lYt5t8zMDtZl+M5u36Z9t6O6hsgm8FVSz1raCKQb8VVAzLa3oDrfaizMI/VKncNb4L/drza+46pyd5fJfcqaPk/wGupirPagkAAA==</t>
  </si>
  <si>
    <t>51C94D7D45C097B56464327A394B69FC</t>
  </si>
  <si>
    <t>JChemExcelWB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v7H6V5mYMgb65XOdE3xX8vUvn5pf40/33p/et+vl/rL/k3+vej9N3eZx9tPxjf+3R/b+9g9+H+/v7ug/ufptufjnfu7dzff7jzYO/T3XsP9tLt/fGnDz89+PThw/s7Dw7uf3qw328UafWg/9HDdPsedXhv9+HOwd7Bw/sPPr1P9Ox9RrTZ3hvv7D28v7v7YOfB7t7DT3cfftr7jKZwe4d6uH9wb+/+wf17O7v070FKH917cLBPoD+9v/cpzUP3g539/ns0Vbvjhw927+/d/5Q+v7+/D1CE2M79vZ39Bwc7uwd79NunKQ3p3sHBwb2HO3s7uzv37z8g9n74gN66t7N37+Dewf2HxElE1Z1P9/b3dvfvf0oP8dQBvfbw4d7u3qcP9h/uf/rpfvqQXrv36c7OvYOH9/aiLXpEvp/u7o937/tv7d4f7x882HsAsuwSlYmcu5+OD/Z2aHSf3tt7+ODgwYN7/Vb3+q16n3xKoA6ou32i3oP7+wc7nx7s3Ot9lO4+JNgH93Zpwj/99N7+AQlG76N76d4OAd8lRnj4kGi9R8yxt0eA7n/64P7uHs3qzsOd+9GP+u/dI+APaYZA392DhyR0e/vU6N7OvXvERkS6hw8+Tfc+JVCfEpvQPBKqO7vp3oMxUfLew91Pdx58SnQlodw7oPf2d4id9h7u39vdoQnfodce0AQcEA73H5IiubdLr+3uE2c+uLdzQAxyL9KoR1/iuQcPdvyHefUBiYL/pNu74/v3go8+hTjsPOh+1nuXCN9/tdcq7cP6KL2G4H86pkHvEhnuEXcTexF+xMj3/Y/SbiNiDsj0/m7Y6t74032/1QGL6u5O8CaGeu9e0AySubdDzR+SzO3tPqBvSTPukFz4n9H0ju/v+p/s0KyM9w6CFz/ttYpA2u91SB/dCtQtGu1+vUZ7oEKIJ5msLrF2SfJ+NGX/35uy3b3x/oNPSRl+Sgbo3sGnB7sDn90bH+zu7NInOzt7n5LeejDwGflS9A7puD1S1fsPiPjb5FxBP9FMk7HZ3YHF2344PvDncjfWityru9a/Ono8qZYz71d2uF7l582e+lwfpVU9y2tyDPEimkQawlG6bcP9WzWEl3erhvAFb9UQHuOtGsKvvFVDeJ+3asg+qm25t6GluLK3Aioe7+2gsmN8O6jsP98K6sOg5Uag6P920yl+++2asnt/u6YcBdyuKQcLt2vKMcWtmkrocfumtxM7xC23m1YJdW7XlCOi2ze93QxIfHW7phyG3a4pR2u3aipB3e2acux3u6YcIt5KXCSSvB3UfQSct4PKcentoHL4ejuoe0HTjVCBwO0mVuLm2zXl8PpWTSUKv11TDtZv15Rj+ts15dD/9k1vKYagwO0mVnINt5pYSUncDipnLm4HFU1vOQUPkAcJmqLN6zav8yqdVstLyopw0umLp88/8j74yaxcU6pk38CWN4Y7kmTLrdDnptEJ5B/qHd01mSr6tZfFuutSXMnju5Q8O0r+H1qLNdlYEwAA</t>
  </si>
  <si>
    <t>C9678D9B58E189B609A38C03FCEF8ED7</t>
  </si>
  <si>
    <t>JChemExcelG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R9wf/Hv+Yv8+9J+qT+KH2399lH2/fGOzu7Ozs7e5/u3Hu4s3fw6acpffbggf/Z/Qfp9t74wf7O/XsPd/c+vf/wwaf7++k2DfvevU8f0Ee7B3sHO/cOPsVn+w/3P72/9/D+fXp7b+/+fbx67+D+pw8O9gncPQK8f7pNeHffvnc/3Rt/+umDe/cP9vbvfXr/051PH+yn+4zevQf0wf7BPv1G9L53b//B7qf7Bw/u0bv3HqSf0msH9x7SGw9393d2H+z1Pum/dRCBHOm+i+Tep71WBx+l1yAkfb63+2D/wYO9vQd71M9DptDewQE1+XRn5+Dhwf59+mhnvEsvEl0+ffjppwSP6IIPH3z60H8+Zart7N7/lAh2cPDpAxrGA0L54NOHu/d3aWD0Ksj4Kb9L07M/3t/de0Bztb+3s0vd3XNf7vjPLpAitHc//fTh3qd7O59+ur9rm4Y47AsOwWfgjZ0HwUeC6q7tAc/9wXYdcITLvbAVicVdKxdHjyfVcub9yoLyKj9v9lRWPkqrepbXJNB4EU0iDSFRt2oIubMN9zY0hHTeCuLubRsSxE9v1RAq4VYNoThuNRiol1tBZCV0K5Ciq24FVFTa7aCy5rsdVFaQt4L6MGi5EShr3Ns1ZcV8q/4fBC03AT0QRd9vyT9UTO4aU0O/9szQXWejksd3yfodJf8PUREnjRkHAAA=</t>
  </si>
  <si>
    <t>A26435C604C57BABD47B3EFEF9453EA5</t>
  </si>
  <si>
    <t>JChemExcel4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N//uS/nvBP/1Pn9Qfpe/2Pvvo/vjevf0Hu5/uHzy4t7u3e+8g3R/v7Ozu3Htw79P7+wf7uzv76d74008f3Lt/sLdPn3268+nBvf5Hkffup13gD3uNPu222b/X+2Q//ZR6O7j3kDp6uLu/s/vgIKU5uHfv0wcP6fuDvYOde/ce9D7a2+t9tJtu7433D/Z2H+zt379HSN/b3T/dJqpud1s+QMtgiA/2+h/tRN7cp3YPxw/27u89vEcj2H24//DBfeqEIPYp9FF6TXNAX3y6+9B/0m0iwkHno26rg3T73njnQfDRPSB5b6fzJjWjxjvjB58GX+wC+4cP7u3tP3h4/97DvXuf7h4Qpp8S3e7vc/sHO96zyxQIgT/Y76NKI/10/HCv81EX+0/7L96732+21x/k3v0+HsQ2vXaf9pvtkOQ+vmsF8ejxpFrOvF9ZMl/l582eCudHaVXP8vqzj/bwIppEGkKEbcPdDQ0h6LeCCHVwK4hQGreCuOs3vAHig1s1hKa6VUPos1vhCI22cyuQ0IW7t2oJzelmcVNLUbS3QpSbupncCJXV9u2gsna/HVQ2AreDyrbidlDZpNwO6n7QdCPUB2Kk+k35h0rfXWMy6deeOb3rbG3y+C5Z8aPk/wGL6o9e4QcAAA==</t>
  </si>
  <si>
    <t>5B21F3841E68E5426D86E7539C7C5925</t>
  </si>
  <si>
    <t>JChemExcelK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mL9CTy35Pa+8M0+ZL+438/St/tffbR9v3x/f37ew8f7O/s7h3sPzx4mG7vj/d2dz/dPdh78HD//qcP79/rf3Q/3d4bHzx48PDew937Dz7dO3i4e7Cfbu8SsP29T3d27t0/2Nk5OLi3m27v0Ks79OfD3XsPH1AX1DrdHe/u3dt5eLC38+Dg/v3dgwcP070xAX7w4MG9vYefHtzbo4HfGz94uEMf7t/fvb+7u3efOoh81HvvQR/6PiZ4b3/33v37D+7du/dw7+G9Pl4HO5/2B7AXG9SnkZf3DvrdxhDZ3Rs/2A0xIdbbfeB/RK12xvs74UcH44NPb37v3nj/oNPq/ngnGHoMh4/Sa/DCDuFL03nwcP/BvU8P9veIJTDUA8yx+/BTzP3+ve5nvZfvfxp/+Ws33N3ZvT0698aEvvfZ7Vrt0pzt73Jf9/c+RfOH94nFdg/8jx48ACPudT7aH5P0eB8d9BodfNoD9ZD6ozn49MFDGioxEfHYg9hHpL34/9sD39Hg9vZ29vc/3dl/uHd/597uvdPtXebnsPn+Aamsu1ZnHT2eVMuZ9ysrsVf5ebOneuyjtKpneU3KFi+iSaQhtN1tG+7fqiE0560aQr/eqiG08K0aQlfbhnsbGkKj3woi6/1bgRTzcCugYkVuBfVB0HIjUPR/u6mEwbrdXIqNuxWmYgpvB5Ut5u2gsmG9HVS2v7eDuh803cj2bM0DqGjzus3rvDo6kff0r2Eg7A7crj/2Gm41Cm56u3nkUdxOKsVVuR0C98Wj6UPlH6qb7hrfi37t+WV3ndOWPL5L7uBR8v8Alj/7LSoKAAA=</t>
  </si>
  <si>
    <t>A1123EC00670CB6C69775A64A8F2D203</t>
  </si>
  <si>
    <t>JChemExcelA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sp/X+pP/7/+Z1+G//8ofbf32Ueg0P7evZ2dB7uf7uzv3d9P98ef7n/66c79hw8e3tvd3bl/j6j46cG9+9Tk3qcPP32ATx6Mdw8OdnYf3j/49OHup3jrwfhg59P9+/d3dw/u33twb+fT9OH43r2Dhzu7D/bx785eSlP16acHe3s7O/d2Dnbu7X+a0uQc7B7s39/bP9h78GD/wX1qdG98b//hzsH+p/u7Dw4e7FNn9BF1e3+PQN3bp28ePkx374/3Hx7s3t+7d29vf2+Xvkp3Px3v7xLUg4f36Zu9A8Jp98H44f4O/UVIHezdpyfdPRgTfrsPqLdP93YfEOX3dsb3Du4d7Dx8uHN/b+/hw1202bu3/2B/b293//7DT3c/3QfwBzv7RI0dAnJAqN8DCg8e7j7cvbe/d0A/DnYO0t398d6n1PXuHlGFviQiEO6fUoP9+w/uPaA3iarp7h6RnGDfu/+AkLx/7z7Tgaiys/vpQ6IfkW/nHlHvUxoz/ba38+DgIQ35AOTcIyrcOzg4eHB/HwR+QGjv74HA1PBgL8XgHtC4PiU6PaRPAZhwJfo+2LtH1NrBLBDNqfN7u/TPw0/v73x6HxOzT+jt3//04OG9nfu7D3koNFJiiHuf7j/cf/hgF+MF/R8QNp8SXg8+/Si9Jv7Z3hvTZ/d29nf2iH+Ab7pN87W/f//g4cH9T9En9Z1u3x/vHGAsNL5douT+frq9P0af94gI9/bo0wfE8tuYfZr4nU8PiFg7xBn38dk+dblL7EZEvf+A/p9Srw92H9JsPKSp3XlAs4RmD/aJj3c+fUhIEK33+TMi/L2HD2gOCDsghFeJPjt7D4n6BGKPxr+9O374kObxU5qkfWLxT4np6FViAury/j5Jxj1ixQf4DDx+ABbc37+3e/DgHkZBJLt3/969HeIFIsRDfITJvU+wd/d3SWAeYvgPdu8Tu+0ScMzhLj46IFYE+9IU7hFK9/Hmp0S5+8S1++AOAXYAKHv7wp3EZtufjvfoz3skRjQxNO8P8dG9h/s0q9TvPlGQtAbBJ1a6R4Sk+dnfgURiEiCJD2kCHuwTORgv6ofeI2Egnvh0F6CIW4iBSdyJdx7eozE+GN/f3yOoxAukB3YPuNXDByRHxCv3HhIdCEi6fUBvEvgDQvbepw8e7jxgYESWT4kQnz7YpbHuAdg+sQU4nYZJk3kPrXbu7z8EFXZpIvZIYT++a9Xt0eNJtZx5v7L+fZWfN3uqgj9Kq3qW12Q48CKaRBpCUd+qIdT5rRpC6d+q4afdhmgh1uXou/KW/rUJxINb9XXQbfj+fcGA3aovNnNDnX37dp2JnbxVd2JOb9eUra5turepKRvn20FlG347qGj66e2gskdwO6jsONwO6t7tm7IrcqumD2/dUnybD+REcY5u1Z/4ULdqenDrluKU3arpp7duKV7erZru37olA/1QJSN+5604kZveTiOJF3u7pqB3yF9fYxTwlD+U8yAT90LOuxEI/1A7ddfEFPRrL96464KR5PFdCnOOkv8HJ4+o5gINAAA=</t>
  </si>
  <si>
    <t>631C7095CD1F939E3BB9E6B2A60AACEF</t>
  </si>
  <si>
    <t>JChemExcelY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PHfl6n81P/K9IX59aP03d5nH20T1vfuffrg4e7e7sHewc69+w9S+mz/wc7ug4Pd/fsHD3fu7e+fblMX3Zb7n6Z7408/fXDv/sHe/r1P73+686DX5n63yacPH/Te2u2/hkYPdx4+fHjw6b2dh/d3dx4Ch09TmoN0f7yzs7tz7wG9vH+wv7vzabq9N97bub/36QN6/eDe/fu7nzLCvbEd7KFp2Pk+tdsZ3//Ub/cQzagL76NPibzXRK9744P9h97z6X3C59Nd/6ODtNvoYa/NQxrfPYzP+2R3fH9/x3t204PxwQFNw/7uwwf05979PaYBofvg0+DVBzKsnU/v7e3e29178HB/74CbEsh7Qcv9yNvpp+Pd+/4HB/TJwz3/kwfpg3H40n1Cbi8g2j7JwP2HhMLOAXHOg92Hn+7sE3fftex99HhSLWfer8zvr/LzZk9Z/qO0qmd5TXKJF9Ek0hCCcauGEB/bcG9zw/u3gghRvBVECOytIEKsbwURwn8riKwibgXyftDyBix3d2/VEkrpdtMo+ut2TVnN3b7p7SaTm7rp9JryD+XTu0Zl0689dX7X6frk8V2yIkfJ/wML/DAxYQYAAA==</t>
  </si>
  <si>
    <t>8D5B366CB410C38B1F4D0AB0A9E0F5CC</t>
  </si>
  <si>
    <t>JChemExcelL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o6/ZL/O9H/vtRPTj5K3+199tH23nj/092dew/ufXp//2B/d+fBp2n0s53xw73gs/vp9v54Zyf4LP7q7nh378G9+wd7+/TppzsPdg8in32a7oz3dj69t7dz8OBg98Huw0/3qV3vs3t76e74/r77Z8d/7qX3xjt4a+ej9BqjwzztPPQe6vqAUPQ/enjbjz4lEvQ+2r3f+Wh//Olu56N744P94COm8b0AsYdMKBoUYSyjoz8PDu4/BHV2Pj349OHe/uk2k2mH+OSuZZSjx5NqOfN+Zc55lZ83e8o8H6VVPctr4nC8iCaRhmAx23Bvc8P92za8f6uuwdS3agjWv1VDCMitGkKMbtWQhe1WLUUmb9eURfdWxOSmt5sgbuqmyEOAfyin3DXqh37tqaa7Tm8lj++SRjxK/h+2xWzLLQUAAA==</t>
  </si>
  <si>
    <t>A107A955B4626651C549A6807C92E6C1</t>
  </si>
  <si>
    <t>JChemExcelIx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P/gozcscxHlzvcqJ1ulJ+kL/j/++7P3W/fnC/v6lffNLfUe+N9+9oH9f0//lP/3to/Td3mcfbd8bf3rv3oNPDz598PDew4cPiYbb++OHnz7Y33/w4OHDBw92Ht779H66/en43s7u7t6nD/fu7dy///Bgz//o/sMHOzs799ybB9zm4YOH9Kbt4GDv3u69h0TQ7T16c2fn4OH9T3cf7u893HnofXT/wf0HuwcHu/jo4d6n+5/ee3hwf2//U/o/obZDHXy6v7uzf+/+zu59mqCd8b1PH+wB+r3dBzu7D+65Tx4cPMB47tEU744JwYcY0acPDwjWp/fSe+Ode/ufEva7D+/v7+4+fLDntdr7dPfep3sHfqsdBkZstjfe37l3fw/d7dwjeMQp+9Tlwb2dT3f2PkWrewf3HayDewcPdu8/2PMQo/4PPt25//CeNx766MHO/gGxbe+zPZ9iD+6DtA+JFb3Pdj492Kd3PFo/vLe3v3ufPvc/26fB39/91Jth6m/vPkF84M3mvYN79/fvHzzwW9EQ9nY+feBP5gFwe3Dgt9rd36MpeOi32t9/+JBEozv0ByQKjkIP7u/u74COltr01/7eLslk/xNL63u7mHCayftj9Eoju7/38OHB7sOH6QN66z7RcO8BUe/TPWKTA3qLINyjCfv0Pn2ePqSX7u3s7d3fPaA293aIR0gDEpYEkuZ3l7qNAHad37t3n4ay57XZ379/f2/Xn9P9e8TL1CMR6QFRZP+AXtx/CIKThtj9dHw/7O5WnxyMdx6EnxD9H/qf7BK1d/j/e+O9PcJCOqUv751uk2rcHRPxt/HvR+k1aYD71Or+/g7J08F9Ig0pw/sEkT/ZI65/cLBPDGgb7d37dGeX2INm5tMD/5OHD6i/h7v+e/uukYH9qWu0S1TcITkjohLl+JOdhwf37h18iu4OPt3b+xSNiB/3MMfa/w4JKonTgfcWqYJPH/rda2f76IwwY4z2MPU0/10k792HYBJL8kcPqHfia55EIuj9hyRWBwd7Dx7sUmMmGsnGw11CjaaT1NunkML9B9Lw03s7xMYH/kdgr08ffIo3SVq8Vvf9VsQPIA1LHJPSfvbAf5MR2SHSO+QI3wf7JOsHwnb35ENor929fdaq2od+xuqYFCl/RISjzx74rVid7JD6IkxoAoNmjkpCS6hohwir6X3icUdz0i0P90hovT7d6N1I7Ue9VjG63eu/+mn81W+2WQ+RTz2CkM7f6dCDqbYHA+joQTqEeH7PkwGaFZLMB+QgsECSvBCrEX/B0NDc7h+QxD5wErtz8IDofp80GBHioYhz/JVtctEeBvNMbPOQLFdn6h+QoHU+irTqfUSu2l3rqx09nlTLmfcrO2+v8vNmT/23j9KqnuU1OZl4EU0iDeF03aohPC7bcG9DQ7hbt4IIv/JWDXdv2xBu6q0awpm9VUO4vLcaNZzenVuBFP/5dk3Zzb5dU/bGb9eUnfZbjYqb3m42JQS4XVOOFG7XlAOK2+GKpm6yNkLl8ORWTSWKuV1TDnZuhSs3vd1sSeh0u6YcYd0OAQ7EAqho87rN67xKp9XykkIkjka/ePr8I++Dn8zKNcVN+wa2vLGhI472boc+B4W3Qx9NbzfXIMq92821RKK3QoCb3k4yH9y6JXjt3u24QgLl2zUFAW4nwxJ2344AaHq7eZUg/nZNOda/XVNOCdyqqWQObteUEwy3agpc9283W1B4+7ebLclq3KopVP7+7TQugN5usiSLcrumnGy5Fbdw09tJFje93QxIdud2TfeRBLoVAtz0dkLATaN05R/qnN01STf6tZeQu+uydcnju5QHPEr+H+N595sjFAAA</t>
  </si>
  <si>
    <t>B2E87954F0DE8D1E1E879CFBF5FDD698</t>
  </si>
  <si>
    <t>JChemExcelb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T/i/L/Wn/a/0/nCNvpR/P0rf7X320fan4/1PD+7t33uwv3Pw6f2HD/bSbaLJvf1PP93/dPfhzr0HD+99Gv3o3vhgZ+fhwf19emfn4cOdHfpsj4A9uLfz6b0H9+8d7BK8/XR7l1699+neg7379+7Tp3sPH6Y7472dnZ371OBg78H+3g412x3fv3ePXiVAuzt7e/u76d744NMH+7s7u7u7D+/t7D24n+7Ta7s7Bw/3qOX9g3tEyf4n3bc+/TQC+j59sv+Ahn3//v2DT+/tH/Qw2n/4aQTzB73P7u1E3r3X6zLywb3x7p6Pw4OUGPH+QYgW8e7Brv/Rw/ThmDoJG0Xeo8l52IF+f7zfGXQfh4/Sa/AEide9h/sPvSfdplF+Gnx2cJ9Gtfdg5/6Oe/ZAIHrX/+xe/N1bd/IBDffBkfcfBJ/dB+cSIf3PNjSLDnJvvLO/47U+2E/v0RwEH4Fd793vfNRt9fBeD9ZDmpfxPeKxBw9393YP9g527t1/EPuI1Br/f3vgOxrTHjHj/qcEfe/+zr3de6fbu8zVYfP9A9Jld60yO3o8qZYz71fWbq/y82ZPFdxHaVXP8pq0MF5Ek0hDqMHbNty/VUOo1Fs1hOK9VUOo51s1hBK/VUOoettwb0NDNgi3Ail241ZAxbzcDipboVtBPQhabgSK/m83mTB4t5tNsZG3wlRM6e2gssW9HVQ2zLeDyvb7dlDvB003Sgh7AwFUtHnd5nVeHZ3Ie/rXMBB2J27XH3sdtxoFN73dPPIobieX4urcDgE0jcom/1A1dtf4b/Rrz7e76xy/5PFdcimPkv8Hd5an824KAAA=</t>
  </si>
  <si>
    <t>A14FB261BD3BBE0E160A7482AF3AD400</t>
  </si>
  <si>
    <t>JChemExcelU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HuvY/SvMzR+5vrVU6DSfHfl/Sf+fmCf774KH2399lH98cP79/79MHD3b3dg72DnXv76f74092H3nOQ3hvvHXx6b2/n4MHB7oPdh5/eS3fprb1P93cf3P/03v69h3sP+o320gf0yYN79w/29u99ev/TnQfdDz59mB6MP93b3bn3gP7eP9jf3bmf9vHpt3lIbfYf7H66T9Co3X5KhN87OLj3kIA+3N3f2X3waa/NR+k1jfbeeP+ej9Jeujf+9FP/E4LWbbR7v9+KqPTwwWZIeyDT7l7YaGd8737wye6nvc92P/20h8O9PviDfqO9fo8PiJvuWnY6ejypljPvV+avV/l5s6cs9lFa1bO8JsHAi2gSaQhGvFVDsKttuLe54f1bQSQcP71VQwjIrRpCjG6FIzV8eCuIn0Ikg5ZoIiJ+9G15Tf8aHifL9K26E9G/1RC4aXTq+Icyxl2jpOjXngK767Rb8vgu6c2j5P8BUDNzK1MFAAA=</t>
  </si>
  <si>
    <t>CAF1B4BC5FE055B5DBDEA571599CEDA4</t>
  </si>
  <si>
    <t>JChemExcely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3Sf2X6gn58yf/qn19+lL7b++yjg/Hep/c+ffBwd2/3YO9g59799NPxw3uE9/2Hn97b2zl4cLD7YPfhp/vpQ/rkwb37B3v79z69/+nOg92URv7w3u7OvQf0wf7B/u7O/ehHe9TD/oPdT/cPHtyjXvbT3XsE6uDeQ4LycHd/Z/fBg3R3n97b23mw/+DezsNPD/Z299LdT+m9+w/u3zu4v/fg4ad7+we3AvVRek2j2h8/eOCjcZDuj3d2/E8epN02D3ptDnptDkCee7ubQUdf6zZ62Gv0MN0b73/aeW13/OnD4KM94oy7ljWOHk+q5cz7lXnlVX7e7Cm7fJRW9SyviafxIppEGoKpbtWQIO7fqiEY9FYNwca24d7mhg9uBREicauGEJxbNWTxulXLBxDCW7U0stofOf/QKb1rNAP92tMad51KSR7fJWV1lPw/ykBcisgEAAA=</t>
  </si>
  <si>
    <t>A95F4EAA578DCC1D0CFA86E6F6F07DC3</t>
  </si>
  <si>
    <t>JChemExcelZ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wp/ntB/3/Nv33Jv3+ZyufmP/mMPi0/St/tffbR/fHB3t7Bg08f7n167+HB7t5+2v9kf7x/8HD34YODnf37D3Z2Dh6m98a79+/f3z349GDvwf7ezv17+7GPeu/dT3fHn+4GrXb7H32a7ozv7316n/669/DB7v6DBzv3ux99+vBBur0zfvjpzsP7u/fv7VGbewR+m+bs/kP6++DTPRoEfbyfbu+Nd/YfUucPH9x/8PDBpw8eptv3xvfvEazdB/sH1Opgf/8ePnt479OdnXs7D+itnQd7+/Tq/TF1eH/v4OD+zt7efRr49qfj+0SSB/f2Ht7bI+wf3MNHu7v3MNBP7z14eH/v4W66vT/+lKj36ae7D3fv7e7s7h0As0/v0x/7n+5/eo/G8PDgfoSufdp3ybqXPqBPPr1//9Mdwn3v091PP0qvaR7vje99untANCCK7O7vEPfsEiz/kwcP6KOd+8FHe/1We2kXFI1xf0yo+x/1Gz2IgdoZE6WI9Lu7Dw4OPn1wbx+g9u/vPDjYJ0o/3N/F3zSovZ29Tx/s7x/c2yd23xvfJyIREXZ2Hz482KMhkzDu79KsE5j7uzsPdnbpLaIGkYHA0usH9Na98d79+zsEluhFL9+n6dsbHxCk+0S7T3d3Hj54QEShSd6/v79zb5em6R7x1X2CvU+TSUgSzYhndnkS7u1SP3s0dQc7NH33009pPgl/YoSHDx8SwE/BfPsHB7s0C/ce7hzcf3hwb+dTTDJxif/h/f5neyB6Zx72SW3ctXrj6PGkWs68X1mRvMrPmz3VJR+lVT3La1J4eBFNIg2hcWzDvQ0NoZduBRHa61YNoeNu1XD3tg0J4oNbNYRivVXD/ds2hJ6+FR2hrXduBVKU/u2asm24Vf/c1E35RqhsaW7XlA3S7RBgu3U7qGzebgeVreDtoLKxvB3U/aDpTcTau93EouXt5lVs+a1Q5aa3m9c9cQz6LfmHqpS7xm2hX3suzV3n7ySP75IndZT8Pxgoq5ZlCQAA</t>
  </si>
  <si>
    <t>305C4977DA62B705A4E1C3D1D812AE4F</t>
  </si>
  <si>
    <t>JChemExcelR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OK/F6n8/JJ/+1L/Mv/h09f6G/33Ufpu77OP9scHu3ufPtj/9NPdnfuf7u7vp/fG+w8OHj68f//ew729g92dh5+me+Pd/fv3dj/d332wv7Oz8+D+p+kOvbf76b0He9Twwd7OvYcHvY8OHqbbO+MHewf3Pt17sLO/v/fg4ac7B5HPdtPtXXr3wb2dB7v7D/bv39+jz/uf7eOj/d2DB3v36YuHDx8QDOp059MD+uPh/f39gwcHO/fupdt74/s7Dz59sLNHY9rb/5Rexmc0kp2Dg4f3du9/+umDTwnYvfHuQ7xwj8A/3N/Z51YEav/+Hv2xe+9TGgy6vLe7+3CP0N379P7Ow4fUJ41gb2/v4cHuwR79ee/B7n2guzP+dI9gE3zqh/6R4T/cvXdvf//h/r1d6nl37wDdErK7NOx79wgekaxP3u4cRJpEZuDT3mu76QF1FkzvR+k1zTohcfDpvU8P7t07OHiwc/9gB8S9N955GHyW9prdux9ttjumLjvNup9FOqBW+2MiItH24B5N9T2aH9CMpuwBcc/+/U8fHNBcPExJ5PeozafU9GDn00/3aaqIE/ZoiojQn+7RDO8xk+4SEOLmh9TFw70HYOX7NPz7xGh7RP+dh3vp/vjTg4O9nd39g/v39ol4++mn490HRD9iKiBBlKNP7j/YJ1zuE6cRFiSH98doT8QnhqVJvocJIv47uHdAk//gwacP6V8i9c6nuwf39u/df/iAOOoAOD7Yvbe7Txy1c+/Bp+B2Zv6DgCz3IqQiWlGXOx3yAdOAyv2P9iEPpI3uWnV09HhSLWfer6yfXuXnzZ6qqI/Sqp7lNSlWvIgmkYZQZLbh3oaGUHe3gni/2xAtRKkefVfe0r82gfj0Vn1B9d6q4f5tG0KT34oe1PXDDxwm24tbYSVm5VZ4cdPbzb0Yqds1ZVt2OwTY5N0OKlvG20FlA3o7qGxnbwf1XtB0I1QgEM74JrruhRPrscO3b8cccAbcjG8UYfYjbtf01i3hk9yONcR9uRW5uWmUNfiHKrO7xjGjX3tO213n0SWP75KveJT8P5BR9aVHCgAA</t>
  </si>
  <si>
    <t>57F16B8733E05487CBF704A68352A5A6</t>
  </si>
  <si>
    <t>JChemExcelB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qC/jtJX9N/J/zfC/35Jf/2pX7ygv97rd/Qd9lHQsDyZJ7VFwRrJ/16/23vpkSqd3ufffRwvHvv4OH+7u7+w/t79+4fPEwfjD/deXDvwYP9ezuf3v90f/9h+un44J7/yQOannv3dnfu7ezu3b+/9+m9gwNM2IOdnfuf7j3c23m4v0fv3H/w6cNd+vvTA2qw8yC9R1A+JSjUbu/TT3c/vZ/uje/Trw8PdvYP9u8d7BK1dse7nz7c2T14iBY7BOheur1Dn+1/+unOLiG4++DhvYef7hH+4/2HB/fuPbxH0PbvP3xw/17/M7S7N965F3zW/+j+frq9P97de7BHo/x0h8a+d/+g/9FDvEkfEPagw+59Ggp1ujfeI+I9+PTT+we793b2iGvozQP6YP/Tgwf3Pt2ngeCT/d2HRLv7+/u7B/sPHhB4ouDBwR6NdP/T/Z3d+3vc4/39h/sP9g/u7e0/OLh3ILh+uvtw/+HO/YcPH97bI36jDh9ST/d3Af7Bw52DB/d7JNrf2fm0T8qD25Ky/+79B+nuvfG93YBRPkqviX8IH5reTx/eIyD793f379/bB44PHj789NMHxCQHNOlC4Hv37tFYiWy7u58CaeKH3XvEIMRhBwSRiU7UPNi9/5CGtkMfEq2AHtFtDzTf+ZT45P4ef3Z/N2i233/1fqTZpwM99JqRbto7oHnZAxn26YUDmrPeh/v37vXfvs9MQUxDX+8+QHPihPsg6e6De/v3H+zu7eyTiFDHaLV/8GCXR/Vgj8hE071DbQjDe4BFxKKPiLbAeO8Bsc99lr1d+n4f4rZz7yFRk2Tt3oODXSLuwc6nB/f2CX+S4U8ffvrw4e79+/d2aZ4P6JM9arr74IDoTMy7C4ml+dkjDt/fo9nfJ2beoWkLBtgb8v5DFgNi3JCExLoPb/iIgZE2vmvV8dHjSbWceb+yfn6Vnzd7qqI/Sqt6ltdkWPAimkQaQpHbhnsbGkLd3woijMKtIMJ03Ari3m0bEsQHt2oIe3WrhrBqt2rItu9WwxYTeSugbEXDpmgjFvrou/Ke/rUZiJvjjf2xxb5d093bN2Uf4Ha0AQLhXH+NAbOvcTvU2CW5HWpoejteEAfnVk3FD7pdU3aXboWreFW3g8rO1+2g7gRNb2LcPTflGxFgr+9WTR/euiVkbO92LCDe5u0IgKZRFuAfqovvGr+afu353HedQ548vkuu/lHy/wBwkALNBgwAAA==</t>
  </si>
  <si>
    <t>1F70095121D82CCD0AFBCD697DA355CD</t>
  </si>
  <si>
    <t>JChemExcelc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Mp/L/Tnl/zbl/zJl/zJa/79Bf/EN19+lL7b++yjT8f3Dj69f//Tnf2Dvb1Pd+8/JKrs3N87ePDpw71P7z082KVu740f7D7cffjgYGf//oOdnYODdI/eun9/9+DTg70H+3s79/fvpTQt9MG9hwTq4e7+zu7B/d5HDz5Nt3fG+wcHu9TdvYc7B/cfHuz1PyJibO+O7z94sEtIHezt7t7b+zTy0X169d5459P9T+/tfHp/n17cv7dzD5/RJ9SE/t65/+m9XYDbH+/ev3f/wf2dhw8+3bv/AB/RoO7vP3x478Gn1PeDg3sEbW+89+mD/U8fPCSMD/Y+/RS93h9/ur+7S4N+sEM/aOjbn453H+49PHhwf3dvf5e6p3nbfjB+cG8HNHt4/yGhRmPfPhjv7j3cv0+A79O47n/6AG8e3HuA3+/vUN+f4sWHY/pm98HeLg3q4ad7n/Yp26d+pFGE/P1pe3j/o/R6DwJEnYVNezP1MO21is9wt9G98b1Pg08+7X/Ue+3BfrpDFNwjFHd3H9AIH9zb3033x/tEKJrFnXsP93fv7eATYs29HczS/gE1eUiUuE8MQITf2X1IzHT/HoSaJmz/AQG6v7vzYGcv/XT86R6B3Ds4eEjzQ7+lD8Y7ew/27u8Tzffv33uw/5AgEyFpYqhzcD9BJqyJ1+7vPrxH8/yA5hKfHNzf339IXHbw6S4Jyz69dvBg7yHx1YNP7+1/ur/3gLpHz6A7oUkDhDzt7+3TCw+IFjTpB+hs995mqj14EBGL+59CCPbuBx/2P9rbJ3V01+qjo8eTajnzfmUF9So/b/ZUR32UVvUsrz/7aA8vokmkITSZbbi7oSH03a0gQiveCuKn3YZoIer36Lvylv61CcSDW/UFDX2rhvdv2xAK/1b0gNrf+cBxil25FV5ifm6FGTe93eyLMQugenif3HIUbA1v39+nt2vKtvV2A2YTfDuobKlv15QN+u0Q+DRoeiPU2005gLoZ39RS/I1bNb1365bwXRxrbOweTR0DbNRLaBplAP6heu+uceLo156Dd9d5f8nju+RXHiX/D7nZeSJzCgAA</t>
  </si>
  <si>
    <t>EB2D16F269A172C539B9E0AA60AB657F</t>
  </si>
  <si>
    <t>JChemExcelxQ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E/55mWO0b65XOREvxX+v6f8vUvnd/fYl//Ylf/KlfiYtX/BPfPeltjDfn3yUvtv77KOH452HD3Y+fbh3f//T+we7NMwH40/v7e3v7+3tPrz/6b37Dz5NPx3fO/j0/v1Pd/YP9vY+3b1/gDnZ3/n004cHDz49ODh4cI8a3R9/uus3+pQA0b/+J/d7kB7Sazv39wjMw71P7z082CXy3Rs/2H24+/DBwc7+/Qc7OwcH6R69df/+7sGnB3sP9vd27u/fS4m96IN7hOHOQ0Jl9+B+7yPCaXtnvH9wsEvd3Xu4c3D/4cFe/yOa1O3d8f0HD3YJqYM9osDep5GP7tOr98Y7n+5/em/n0/v79OL+vZ17+Iw+oSb09w6RCwPY3qeBE+HuE2U/3bv/AD0QdfZ3d2k0D3box8GDh+n2p+MH93ZojPd26T/CiF48GO/tPqAXCLFP9+7dI74h+A/u7z98SBSmJg8OiHUI/IO9/d39B7sPdu4d7NOkodXBwf39nXuEwv6nuzQ0akZUIyI+eLBHNCE8Huwf8Ge7D/YePHxIY/p0b3d/FwPd29ndebB3f+ce9Xj/3sNP+/Tuz0mkUWRSepP5sAepzwGf9j65H3mrw0mf7twnfnuwt7N37z7RhdCh1l2e/HS3y5OffpRekxAQeKLI/h4RmEhB8NP9Mf2xs3dwsP9wnx6S4nvje58Gg+u1AeIP7qFD+uj+vYOHNKXdT/aJSMRRIZF6nPuw3yrO8d1GPSQ/jeDdfe3BfrpDaO4dPLy/u/uA5vbBPWKM/fH+/Z0HxNU79x7u797bwSc0LUThTx/s7x9Qk4fEA+A3mqid3YckXPfvsWLYBW8SH4OUe/QWsQfRnABjVncx4Qf3dunbvXvE6MR7eGv/3t5DQmBn99M9enZpej/dI0SIuA8fPrxPv9HMUQf7Dx4QyYkrPiXID8kwkAjs3Nu/v/fg/n1i0wNik4P9fQJDUkEt9zHf1O39h/fv7e3RgOn/9NqnxFs7JEIH9Oo+CSzJ673NdHzwIKI4SMVBeu4HH0Y+ug+5e/Aw+OxTyOz9T7ufwRYG+uo+Pjt40Omi+9EetMmn+52PHpA2CYdFquM+cerBLrTA/QcP9+/fJ6N411rFo8eTajnzfmUz+So/b/bUUn6UVvUsr8m+40U0iTSEebMN9zY0hNW9FUTY5ls1hAW/Vdd7fsNNEAnHB7dqCLch6BotxP84OpG39K9BEHA7btUXOye3Gqf4MLcCym5O2NRD+ru3G4L4Srfrj12q2zXdvX1TdtJuRxsgEHLB1xgwO4O3Q419xtuhhqa34wXxQIc4783tRiEu7K36E0/3Vk0Ztdsxg/jNt6KNuNe3g8pe+O2asrN+OwTuBU1vhOqm/Cbx27vdlEswcaumt2+5y9HJrZpKEHMrWnHT27GAhES3a7qPyOl2TTnAul1TjsNuNyw0vd28SlR366b7t5stbhqdLf6hNvyuCYvp117IfNfF08njuxSpHyX/D44GJ+nFDwAA</t>
  </si>
  <si>
    <t>2C4989E415EA2A14135FA68FAEFC3EF9</t>
  </si>
  <si>
    <t>JChemExcel1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Cp/PdCf37Jv33Jn3ypn8jP1/zZC/7Jn36Uvtv77KNPx/cOPr1//9Od/YO9vU937z8kau3c3zt48OnDvU/vPTzYJXTujR/sPtx9+OBgZ//+g52dg4N0j966f3/34NODvQf7ezv39++lNF30wb2HBOrh7v7O7sH93kcPPk23d8b7Bwe71N29hzsH9x8e7PU/IiJt747vP3iwS0gd7O3u3tv7NPLRfXr13njn0/1P7+18en+fXty/t3MPn9En1IT+3rn/6b1dgNsf796/d//B/Z2HDz7du/8AH90ff7q/u0ujebBDPw4ePEy3Px3v3HtIQ9p9SCgTBWim6M2H93ce3Hvw4D71sbv/4ABv3tt/eG+XkX348N6nePHg3qcH+/sH9w/2D/bv7/F7e5/u3Huw/+n+3sMHezsYOpHx/j698OBTGu2Dg3t7aPVgD1B3H+zcoxcPdtHq4OD+/s49wn3/012iCTUjchP1HzzYI2LSAB7sH/Bnuw/2Hjx8SMT4dG93fxcU2tvZ3Xmwd3/n3r17e/dpLP2J6k9mpFFkNvtc8PD+R+n1HuSUKBY27U38w7TXKs4w3Ub3xvc+DT75tP9R77UH++nO+MG9PUJxd/cBjfDBPSLP/nifZpKYgiZ5f/feDj4hTt/b2fv0AU0dNXlIlADVifd3iAcOiITQHcQmNEO7D+4TbXf26C0iEnEDAYag0Fv3xnv37+8Q4F0SpAfEJ/sEaPdTwub+fZoNmkxw3M6YJv3+pw8PdnZ27t8nMj+gjzCBBwf7D3buPySEibAsDrs+5xDTpJ+OP92jYewdHBDH3aff0gc05vv7Dx58+mCHxPRTwushaTlio517xIAP7t+ntw5oxograTDEWdRyn97aJaTvP7x/b2+PyEX/p9fA6jvEhgf06j6JOwnLvc2z8OBBRGrvf8oceD/4sP/R3j5p0btWjR49nlTLmfcr69VX+Xmzp6r1o7SqZ3n92Ud7eBFNIg2hgG3D3Q0NoaZvBRHK/FYQP+02RAuxGkfflbf0r00gHtyqLxiWWzW8f9uGsFO3oges1c4HjlPM4a3wEqt5K8y46e1mX2xwANXD++SWo2Ajfrv+2Nbfrim7BLdryp7D7WiDpm6Cb6LNXjjDg9LG7sqtEBCv5nZQ2fm5XVP2kW6HwE7Q9Eaot5tY+GW3m1dx4W7V9N6tW+7DJbxVS/Ecb0epA3Ew+1D5h+rou8ZPpl97PvRd52Anj++S636U/D+iA/xn1gsAAA==</t>
  </si>
  <si>
    <t>A4E8855C9FF11C8B3C25DDE734479AB0</t>
  </si>
  <si>
    <t>JChemExcels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h18lOZljhG+uV7lRLD0RYr/47/X9NsJ/yU/v+TfvqT/m2/MJ1/SJ+5z/P0io/99JBQvT+ZZfUHAd9Kv89/2bv8D+u+j9N3eZx/dHx/cf7Czf39/b//hvd3dBzv30wfjnZ3d/YOD/fuf7n766b37D9JPxwf7O/d39z/d23twb3/3AVH0YLy3/+DeA/rowf2dew8efJo+HO89eHBAzT/d3Xv46f4eNbm/431ApL9Pn3xKn9zf2Xm48+kuEXF/vPvg3u79T+89eEhtd9O98cG9h/sPHuzdp//t7Hx6/166Sy/df/DwYPceIbm3c4+mdYfe2tvdfbhDnz289/Dh/Qf9z/YP9mmg43ufPjg42Hl48On+zqc7O/sPI5/tpdt7YxrswR518HD/3r29gwdo9oAGe/Dpwf6nD/b3dx7Sm/fG1P3DTx/u3TvY39/dJZ7a3h/f29sl8j349OHBzg59i1Y0nH2iysODBw8eEkr7aHbw4NP7BOX+LugqH+082D0gmhNR93Yf3ifuo8/2aXgPH+7s7d0HZgfp9v0xEYYGv7+7TzTZ+ZT6pPnZY5Jggu4/PKA+Px3vEZYHhPH+ferj012gcW93/94eTevu3s7u7t79A3z2KQ1pj2Zg9/69h9TtpxjnAU3fPs3Iw/s7+7s7B6DGg/sHBzT6nYc0yE9pzvDZAU3GPULg3sHuwT7JCEF7uEdgPn2wuwM67TyIzFV/Qh/cakLv916kke/eo2nyOeohvbjzUXpNfEyEenCfKLtDqBN2RH+Q88HePs35p3v7NCMHJLuE8+7Dvf2D+w8Jg09p0kimaWj3P/2UppPe2achf4rh3hvTqO4TQHT8KUnDPUzFzv7+3r17n+4d7D8kdt5nvtkLwD3od3HLZoJJv93OmKai06732YP+u/s8ivs0rHs7NHjiloeQ0p0xjeYhyduD3U/39x/sEfeQ3r+/Rxy7v0PvE58ecK87O9SERGSf2I/ITfoBc3KfoDx8QB/RVO0+pJkjNru/T8/Bpw8hxWDj/fGnnz7ATOztffopoXOf9Ad1RoQlLtshVn5wQJ98ukN97u8Qwffu36eZJN1AAyCJOdinCd6lIR2MiScf0OB2Du6RftgnxURysbNHOH1K4A4+pRbUxz64gSR5j/ia4D6gEezvHezeP9i5f0Bw7xHj7tH/iHDERfsP72Nw9/f2IK9Qe4TWzi7EgLTBzv1PQbyDg/tkD6gZiY1P0d0I6fd3mc/uBdMBXrkPam76aB/Mm24fEJ8HfEs27641ekePJ9Vy5v3KVvBVft7sqSH8KK3qWV6T+caLaBJpCOt1q4Ywqrbh3oaGML23gggDfSuIe37DG3B8cKuG8Apu1RC+w60asodxq9GII3IroOyrhE3RRvygo+/Ke/rXZiC3m2Pxi27XdPf2TdnTuh1tgEA4119jwOzR3Q41dvxuhxqa3o4XxI28VVPxNm/XlJ3SW+EqvuvtoLKLezuoaHo70WYEbiez4lffDgE0vZ3cMrHeY7Zu2RR+fjixHkN++3bsKYHD7fqDdr6dHpcw5FZNH966JVTVvdsJ+b19hD+3mkZuGmUO/qEm7a4JAunXXoB410WPyeO7FJceJf8Ph8yZMrMOAAA=</t>
  </si>
  <si>
    <t>3A2E3AC39836503EC4B96BA2C55DA9F2</t>
  </si>
  <si>
    <t>JChemExcelk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X6Yn9N+L1Px2kr7W37/UT83PE/vf6/RF9pGQrjyZZ/UFQdpJb/5vezfyIZHo3d5nH23fG9+/f3Dv4P7B/v7Ow1160u298YMD/6OdPQIx3tvvfLYz3nu4++nu/u79+w93Dg4OHj7ofXTwaf9NIib1cO/eg3v3dvYOHuzuHtx7eD/dHX+6d3/v4b29Bw8e3Pv04d69g3Rv/PA+Ad279/Dh/U/3H96nVpGPui/u76X7hMXep/d37+/t3nu49/Dhp8RGn+59Sv19un9vb293597O/fTT8cNPd3Z2Hj749P7O/sOdTz9ND+i1e58y1gcPHlCrXpuDWG8dnD7t0+Vejwg7D5kI9w/2dvDK/Ye7D3f394lY98YPd+8/oEaEwf6D3YOdSLt7D3rtHjzcT7f3xzsPPsXve7v0z71P6aP79CqN+v4ejX7n4T7x5fan43v3Ox/dHxNVPt0hzPbu73764OA+UXVvvP8gIMZH6fUeJJvg7hJd7z0g3Hbu3cec0y/7+0TX+w8f3CdyfXqv99nuw8iH9/Z4+u4/CD7sfbILTqCh3zv4lP7d2dnbO9i/Rx/d2/db7fXe2wOHhj3SkNPtnfEDYrj7Dx4c7O/s7T+kmbsFsN1+j7u9Rjv76b3xwUHYqPsJ2BPs5LfpfsIMc3/Hx/IAfLD3wP/oYb/VQ3DGwW7w4j1wBnGo+Yx5gKaQ/nefBJC4ZR+f7O/vkljc3/n0wf3d/Ye74Ipd4ici2cE+ieP+feHOT++RvBIHEWvskTwQhUmz3rWq9ejxpFrOvF9Z177Kz5s9VbcfpVU9y2tiJbyIJpGG97oN0ULU+dF35S39axOI/Vv1BdU/1Ne3b9cXTMet+rp324awRLbh3oaG1PXBrSDCqt0KItu+W4EUE3mrpvu3bonub8ckYplv15QN+O2asp2/FaW46e3mE86Cm9CN/bNvcbv+0dRN6k0CFU4qmrwfl4unc6vuxCG61SC46e1mUdyr2zVlL+x2CLCzdjuo7NPdDiq7freDuj/UlH+oMr1rnFz6tecA33XecfL4LvndR8n/AzdX6laTCwAA</t>
  </si>
  <si>
    <t>60329F34E6ED8C6EC62521FB849BC2D3</t>
  </si>
  <si>
    <t>JChemExcelX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O9L/v+X3u/y+Wv6/wv92/0Mv9XPP0rf7X320fb+eGdnd+feg3uf3t8/2N+l8WzvjT/99MG9+wd7+/ThpzsPDiIf3U+3ifr37n364OHu3u7B3sHOPqG8fTDeOXh4cLD38N7O3u6Dg/3T7V3+9P7u/sHDnd2D3YN7e7v3D/jjzvt7D+6nnW4+JUpFPgpR3nl4QLxw797+g91P9w8e3CNwRMDuJ/fSTwnQwb2HBOPh7v7O7qcPe58cpIT+zt7Og/0H93Yefnqwt7OfPiQ49x/cv3dwf+/Bw0/3Ih/03zkYP3jgf3KfPiFs9x/eo17uE+bEEMTbuzsenHsPU2Ln+w/v8V/39w4Io/10l0Z/sLe3t79DiO4cfHpwkO7ujwn3B/sPaeQPHtLr3Grv4N6n+3sP7h0c3N85oA4JPMHZpZaffgq67eOTew+pv/v098OdBw/uf0pYPdzd2SH6fbq/v7d3/+FuunuPEN27f/AAM/XgYOfgAT7avbf76YMDoLv76S4xKaFwf+cezdnu/T2CT9OX7t4n3Pdo2Pcf3n/4kDiB2hw8vPfp3oO9vU/vPdz/NN19QPJ672B379P9HaLBDglPd472ejP7oDf9u3sfpdfg24Px/qcPvWc/3X44JjJ6D3iU6PDA/+zTtPfm/f6bD34O3rw9tp+OH+75Hz3AR7v3Oy92W91/DyzuP/AEkzQCcRhIv0NCvH+P2AHwH47pK6/VLr+5t0MTvrN/f3fvgBjqHprRtBMD7ewcEGN9SvqOPrq/u3vw8MG9ew9o9u/Tiw/GxPMPHu7skWiRoHx6Dx/tEfOQNtn59N7u/fsH9NH98YN7JFCEwD2Shn1StfTRPdJZpFhI/RDz3eNx04+DfQK392D/090HD9GK5I7E4sE+CRNxLCm0/THh9OmnxGsHn97befDpfbQiziTcD/YIKQJ4AFgP6CFe/JTwONi9x62IYT99SLDu7z+E5ugT/0Fkjh72mz0kw3PXWp6jx5NqOfN+ZVP0Kj9v9tQafZRW9SyvyYbiRTSJNIQJuW3D/Vs1hP27VUNYSdtwb3PDB7eCCIt7q4awy7dtuLtzq5Zi5G/XlH2BWw2dm95ugsSzuB1UdkBuB5X9lNs1ZXfmdk3Z6wmaoo14WUfflvf0r80Dvt18i4d1u6bsiN2OjGh6yyl/cOum4gF+IG3Ehbxdf+xp3mrA3PR2fCN+6+2gsns7MOB0Wi0vyZllx/+Lp88/8j74yaxck4e7b2DfSBT2oW+P/u0YRjzyW41UHPdbQRX//nZNOQy4FQKM6+3YgqHeTuNDndy7HVtImHK7phrN9JvyD7V8d03ARr/2grm7LtJLHt+lGPIo+X8A+OmCfl8OAAA=</t>
  </si>
  <si>
    <t>FC0C5440245543B1712BC4C841BF7E3D</t>
  </si>
  <si>
    <t>JChemExcel7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qfnvhf78kn/70n7uPn2tv335Ufpu77OPHowf7O3s3bu/+2Bn5/7+7sP9++mn43sHn96//+nO/sHe3qe79x8SuXbu7x08+PTh3qf3Hh7sEj73xg92H+4+fHCws3+f3jw4SPforfv3dw8+Pdh7sL9HsO6lNF/0wb2HBOrh7v7O7sH93kcPPk23d8b7Bwe71N29hzsH9x8e7PU/Iipt747vP3iwS0gd7O3u3tv7NPLR/T18tvvg4D6N6D79ff/ewb29dGd8b+fhzs7e3i4BJ5z3dujdvfHepw/2P33wkHA52Pv00wd4lbA/OPiUnr29fYLCzR7ef3Bwb3d35+He/b2dTz/FR/fvP9zbf/jgwcMHD/d3DxiRnQe7D/b2d3YeoKvdB/epU/qxR13du/9glzq4t/8Q47p3sHvv052Dh/ce3Hv46R61x4efPri3u0/oUJc0DoJH5L2//5AafUpUoO6J4j369ufg01tNQn/yHt7/KL3eY/nqNiWS7PU+6kzhw36r+NR3G90b3/s0+OTT/ke91x7sE2kf3NsjrHdppg+Idvu76f54//7OgwOagHs0Jfd2dolnH9Lk79AsfUqk3f/0U2bse58ePKS5vH9wsH9v/yB9MN7Ze7B3f38PjH/vwf7D++nB+P7uPk3tQ6LQPWq8nz4cf7pzjyaX3nj46ae7Dz9NSXkQMnv3d/Z2HuzfpwndxUf7Bw+JUe7f+/Qh8QrhRCpoH9PyYIcAHewSHxHwh7uEA/HqLk0/cU+6Swz24AHxCKFKqO8TQ3w6/nSPhrV3cEBI3Cd2pNHt3ttMugcPIkJz/1Nw5t794MP+R3v7pMXuWjV29HhSLWfer6zXXuXnzZ6qto/Sqp7lNTEMXkSTSEMoQNtw7yNpIarz6I28pX8NgoACvVVfULNBX0MNoYxvBfFBt6GH77dvhz1U/q36gmG4VcNPb9uQ7cytCAJrszs00O/ebqBizm6FmFi9W2HGTW83/WJDb9eUTe3tEGCLfDuobLhvB5Xt++2gshtwO6j3g6YboR7AsbhdU/gc4cR6/HB7MdhzM75RY7Cbc6um+7duCcLcjjXEu7oVublplDX4h+rOu8Z/pF97vuVd53gmj++SS3uU/D+e1a6/7goAAA==</t>
  </si>
  <si>
    <t>BA1A9B46FFEE887B51BF3A5FD1DEBDD5</t>
  </si>
  <si>
    <t>JChemExcelz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Kf57Qf9/zb99yb9/mcrn+E1+x7cv9LsvP0rf7X320f3xwd7ewYNPH+59eu/hwS510/9kf7x/8HD34YODnf37D3Z2Dh6m98a79+/f3z349GDvwf7ezv17+7GPeu/dT3fHn+4GrXb7H32a7ozv7316n/669/DB7v6DBzv3ux99+vBBur0zfvjpzsP7u/fv7VGbewR+m2b1/kP6++DTPRoEfbyfbu+Nd/YfUucPH9x/8PDBpw8eptv3xvfvEazdB/sH1Opgf/8ePnt479OdnXs7D+itnQd79+mz+2Pq8P7ewcH9nb29+zQYfETk2d3d2X3w8NODew8IjU/H94lKD+7tPbxHL+0+uM94fHp/997u/qf7n94jjB9+eh94fLq3s/8pUePg/v1P7+9/imYPDnYf0Jjuod3+Dj7bGe893N8lyn+6t0vo3Tt4KB/uArsHNI57+7s7RAkiycOdvU93Pv1092D/4f39h5/ei8xUfza7E7X3UXpNjHBvfI8AERGJpLv7O8SPu/Sq/wmNlSTwfvDRXr/VXtoF9QCIETX8j/qNHsRA7YyJrjTm3d0HBwefPri3z2O8T3TYp6kiOuFvGsMeUeLB/v4B0eYg3RvfJ7rTmHd2Hz482Lu/B3nf3yW2ITD3d3ce7OzSWzR4mgUCS68f0Fv3xnv37+8QWCIPvUxv7Y0PCNB9otSnuzvEOQ/3CcV7nx7QPD+k2djb/3TnHt57uH9/f+feLj4kVt1LP6WJJmSJbR4+fEivf5o+oJHdJ0b+9MEOTcOn1P9D0kDEszv39u/vEcfc308Pxg9oIvcJ6fvEE/Q6vbVLyDE/7xFR9h7SW5/SXO7s0SjpTWJgcMb+AfHKzv69hzsH9x8e3NthviJu9T+83/9sb4+U112rvY4eT6rlzPuV1dmr/LzZU432UVrVs7wmPYwX0STSEHrPNtzb0BDa8VYQ73cbooXo4KPvylv61yYQn96qr93bNiSID27VEIr/Vg33b9sQduRWFIY12flAyom5uhVeYtVuhRk3dWyyESrbyACqh/fJLUfBRvZ2/bEtvl1TNtm3GzCa3m56ecBugjc2ZT/hVgiIO3ErqOJ13K4pOye3QoBxvd2UM9Tb6QY4RrebV/GdboUqN41KN/9QFXnXeIf0a89zvOvcyuTxXXJYj5L/B00WJLHMCgAA</t>
  </si>
  <si>
    <t>6DB51F3D97CE18B1A904579145BFB3A5</t>
  </si>
  <si>
    <t>JChemExcell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H6ZvkhP+L/X9P8X/Jf5TH53336Jb7KPhFDlyTyrLwjGTvp+/23vpkSKd3uffbT96fjBw4ef3t+9v//w4f69gwf76fb98b3dvd29+w8ePNi/f/Bg5yDd3h/v7d3bPdi9d29//97u/t6n6fbe+MG9+5/ev3//092H+5/ufbrDn92792Dnwf7evb39g4N7Dw7os53xwcOH9z7duffg/qcHe58eHOzhs4fUK3Wwf7D3kD7duYd39z+lv+/d39t5cLD78OA+vXtvfG/n0729B5/e23+wc3937+AePtvZfUi97H56b+dg98H+g/s0nPGn9PIuPQcP6X8PDgBuZ//+3sO9fQL54NODT2muqNvd+/T9/Xv7n+7fu3dA8A5SQmXv4YP7D3eICA/pi4d7KTAJPup90n9NRhWCv39/P703Pti5R3Td2z3Y39u9T7+Dd+8Rrg/u7e/s7T+8f+9h5JPua31A+xGkOnD204c0k/4HH6XXmPPd8f7O/oMH1PbhLhFhd+cBSEjw790nwAf3H+x8+pB4mQb0YHd/f3fn0x0aCsEA+XdJ8vYePqQpuL+zQy8/5Kn7dIem5wGm/uDT/fv7DzBNu/f3qJt7+zQdn+6ReBATffpwZ+/hvYN792jqwEP3xzsHBwcP7u9+SnP86e7+vft48cHDB/f2wEC792iqaaTEpPf3Pr1/8JD+vP9g9wDNSD0A/IN9QuXBPnVPRE9pYGCVg70DQmeXZoNnZX9v71Oa6j2Cv3tw8OnDT2n2Pv3003u79wmv+6A3cX33o4MHROC9neCje72PHtC87D0k5HZ2iAOpnwcP71Ojhw860Hug+v0x/+zc+/Rgn+SGRvbpzu6DT9P9MREnaHZ/vHcQQL8f+4jIQ6rtrtVtR48n1XLm/crK7lV+3uypvvsorepZXpOWxotoEmkIrXirhtCdtuHeR9JCFO/Ribylfw2CgO69VV/Q0EFfQw2hx28FEdr+Vg1hE27V9X2/4Q0Qd3du1RKGZ/dWLcVe3QpPbnq7KWbLFzb1pvXbt5tkMZ+364+t7If2x2b6dv3t374pG/7bERgI3I4VxI24FVTxNm4FVZySWzUFxW/bFLjejm/EG7rdsNA0yh38Q9XZXePn0a89H/CucxCTx3fJ9TxK/h+IpIfrlgoAAA==</t>
  </si>
  <si>
    <t>503D39B0D083662D28EC6B79AFC1F779</t>
  </si>
  <si>
    <t>JChemExcelk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L1L5/5f8/xfpa/p5op+d6Gfy7Qv+F/+95r9M2y/RJvtISF2ezLP6giDvpN/Ef9u7KZH43d5nH+2PHz7c2X9w/8HBzr09+nE//XR8b29/9/7+w5293fv3P93djXzyYPwpvXFvf2fv3sODe5/u308PCM7u/d17u/v3D3Z3Pz1IiS/u7d3ffbi39+mDT+89fEB0v02bLuRP0z6G96jNpw8efvrp/YP9hw/v33uY7hGce7u7D+7f+/TTB7v3d/bTnfHDg4f79w72d/cP9u/tP9jZTbept/39vf2dBzufPjzYv09APu1/+On9+0Se8cFB8OFu/7P7D9LtvfHDB/d2D+5Tlzu7uwf7B3v9zx6m2/vj/U93Huzu0ED3HxIqRC/67OD+wz36hMZ/f//gIaFyf0w0pv7v0f/39vceHuAjItjOg/2de5/ufPrpPhFom0b/6T16Y4/+Pdjdu7/Dn+19Sq9++vDe/u7evXufUp8Pxjv3HuwSne8d7Ow83P90Hx/dP3i48+kDUBK4EBYPx7t7nz68/4CAHdzDr/jo/h7hQNjd2zug+aIhHYwJ6EP6ZPfg0/v3dh9SK5q6h5/S5O3t3wf4g/0eyT+lIfXm5ZYT05/R+/fS3f0x/fS55aP0mliYRo8Xdw8wSvqKBsizcC/47B5m8N5D/7OHe+j60z3/s4PdfjvA67Z78DDeRwyX3md9cEClh16s3X6kXbQZ0Xn33s7BLlHuPpGSVFf3kx3m/uBFno3dMRH84NN79+hT+u8+abu98c7O3s6esOfDT3dJ6e2OP92hWSOWJMbeJY7fow52d8Ej9wjaLkmXSCaN7d7BwafUaO8hsT7J8+4D0gPEAnuf7u6TGqZpfUBicv/B7t7Og72dT6FwiNlJ2RCH3Cfe3Pv0PsHZe0ic/GDvgBiYmBq9Hdz/dIc4nsB/ep8Q4TETuzzcId2w/4AAcv/EWHvA5gAfEtukEJa9hyRPB3sHBw8OSGYhsoTgvb1dEgFi6F2M7iCg1V6ffHt9DnjYn+yDT3ufPSBYO2TQ7lqLdvR4Ui1n3q9s4l7l582eWrmP0qqe5TXZZryIJpGGME23agiLaRvubWgIu3oriLC+t4JIDR/cCiIs+a0gUsOHt4K4d9uGcBd2btVSvIzbNWVn5HZN2We51eDFtbkd1Pu9pmgjXtbRd+U9/WszEDfTG/tjT+t2Tfdv35R9t9vRBgiEM/41Bsw+4q1QE1fyVqhx09sxgzimAVQP75PbjUI829v1xw7w7ZoCtdsxg7jTt6MNe923g8rO+e2asg9/OwQ+DZreCPWW8o9g4XZTLjHGrZruvkdTjlpu1fTePoKbWxGLm0Z5gH+oTbtrQjz6tRf+3XWxYfL4LkWdR8n/A5+9ALuRDgAA</t>
  </si>
  <si>
    <t>572BDBE679797AAA1C0380158E361712</t>
  </si>
  <si>
    <t>JChemExcelg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epJ+2fk//ntN/3+hf7uf5tvwrRcfpe/2MAf37t379MHD3b3dg72Dnb2H99LeRw/S7fvjT+/tfbr/YJf+efjppw/vnW7TKLc7Tfd30+298aefPrh3/2Bv/96n9z/defDpvUiz+2mn2af7B+n+eGdnd+feA/pg/2B/d2e3+wlN8717hAM1fnCPYN37tPfJ/fRTAnxw7yHBfLi7v0NTcEBA9nYe7D+4t/Pw04O9nfuRT7ov7aYPxvv3up/s3Ht4sLu/9wAv0VwdjB888ME8SIlJ9+4//HRn5/7Ovf379+492MNHn94/2KX/7u093N3du7+fPhzf//ThHo3q4OEBdYFGe+Pd/fsPiFg79+89/HSfGIY+ur+/v3dw8PDe/sH9/Xs71IrIcY8g7VPDe/ce7n/6abpLjE8d33+4Sz0SQe+nu/fGe/f2P72/t0MUo0527gHUw4f3HuzTRO7tfbr7YP9TgCKaEuyd3Yf3d4EbQO0Tlandp3uExO4ut3pwH7juPNx7uL+zR7wdzsjOw4eRT7pT2+eoBw96jfY+/Si9Jn7cPhjvf/rQe4j5Ph1T/92Pdu8HH92/XbM0Dr/XKgLrdi/ujz/d9T86SLfvjQ/2g1b7/WY0l7dB41OgsfepR0uaue2HNE27mPCH+/d27+3iRWLfh36rXXx08JDmf2ef2h4Qx9zDi/cePHxw8OkeMcqD3R3Cldh1/1OSpZ1PaXoeHtz7dJfBP6DfiBXu7e0dAAdStnvMPvf27j/Y3SelwJ99+un+PrHP/fu7JBcK7T5eI9Yh5tl/QEqP8P+U8Ny7t7tLMrhLnQCzXZK+A+r0/qcH9+kzDHyfZeRTkibC79N9tLoPQSIhJ+a8d3+faUEcTEjsHhBJ6L+9PrEPDqCSSEL9zx5AJRGT+w832yXhJCnYI1nZ3ycpo/kgRfcpWYW71iwcPZ5Uy5n3K9uJV/l5s6em4qO0qmd5TcoVL6JJpCH0+60awuzcqiGMk224t7nhp7eCSDg+uFVDmMNbNYTRvBWOMJs7twIpFvhWQMVQ3w4q2/PbNWWzf7um7B0ETdFGPJCjb8t7+tfmAYdABpuyJ3K7puyw3I6MaHq7+eYB37Ipe0ofSht2tW7Vn3hktxowN70d34h/F0D18H5zu1GIg3i7/vbhR96uKVC7HTOIV3o72rDzejuo7OPeDiq7wreD+umtm0L+77kp36h12Qe/XVN21W/XlD36W1GAm0Ynln+o/blrYhr6tRfv3HXBUPL4LoVZR8n/A0GGBEyCDQAA</t>
  </si>
  <si>
    <t>774257CDE6A211F560E3037CEEB28760</t>
  </si>
  <si>
    <t>JChemExcel8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l+mL9MT+92XqPnmhf+O/18F3X+Jn9pEQsDyZZ/UFwdpJv95/27spkerd3mcfbR+M93bu3XtwsPPp/YN7hPD2p+MHu/cP7u/tPbx3b//Bg3v799Pt++NP9z59uPPg4P7Ovb2d/ft76fb+ePfew3sHezsPHhzcu7938CDdvjd+sL9zsLPzYP/g3gP6df/TdHtvfG/n3s7BpwcPd+8/2H1A1MRHB/c+Pdjf+3R/9+D+wf6ne3j14MHu3u7Ozr1PP32wu7NL1KYeHuw8fHh/f/f+zv2H9O99NNu5v7N/78Gn9/YP0NM+Ptrff7ize/DwUwJ4/+DgwT0a3fj+p3sPd3cPPt27t7d3cO+AhrUz3n9w7+GnD/Z3H+49vH///qcHKbHrp5/SgO4f7DzY2d/fv3ev9xHNbu/NBwe9Hgi7lIb18OGD3d0HO3v37+0R5e6nRJB79+493DnY27/36c59Yqf+J93XDoj3dz59sPPpw4f7n+4eHNzff9j75CD9dLwPOj/c+fRgZ5eGvR/55AH1RSM4INoc7OPNTyOd9RD6tE8DotTu+OGuB2vvo/QazLM3JrifUrNPD+7dO/iUCEgfHXxK03Fw7+GDBw8/vY8J3x0/oMndv0dz+eDTh3v3du6j2e6nDw/2iHGIxoTRLs/up/cf3Lu/u3OfeIA+fQAe2NuhN+g1mmNi1APw4oN9+vrBLr19j/htDyy7u3//wc7B/d3dhw93qVe8eADOIZ4miIQQiSbhQTxzQP/bR7uDvQefpjS3NFjioHu7ewf3SQ520Wz/AVF6j6hE+BAP7oIHiEb3dx88oJfu7ezv0RT0Prt3n0i3u/9w/4Bw37v36cP79HnvIzDK3j1wP4kZsRVJQArqBm32+q89iCAhxN3FvLkPY9BISO6HSBBh98JPiK6fhp9039rf7wO6F4HU/eQBkXmHFPFdq4mPHk+q5cz7lVXzq/y82VPt/FFa1bO8JpuCF9Ek0hA6/FYNoeltw72PpIWYiaMTeUv/GgQBS3GrvmBPgr6GGsLq3AoibNOtIMKC3Qri/ds2hPHbuVVLsZu3QpOb3m6G2QKHTb3J+vbtpk7M+O36Y2v/of2xu3C7/u7dvik7ILcjMBBwLLMRKrszt4PKXs+toIpzdKumoPhtmwKB2/GNeGW3a8rO2+2aso93K2Jx01tOLDzF22kCcSxvhwCaRoWcf6juvWtcaPq1517fdb538vguefVHyf8D/PpXVvELAAA=</t>
  </si>
  <si>
    <t>2F53F9E31A457511BEA0C06CFB1F5FAC</t>
  </si>
  <si>
    <t>JChemExcel9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Ir/XqTy80v+7Uv9y/z3In2t39J/H6Xv9j77aH/84MH+p7sHn+7tPrj/6f496v/eeH9/5+G9h/sPHz7cO7j38NN0j0j4YO/TnXsPDnZ3du59Skjs0Hv37h/s7t3/dO/B3r29Tw96H91/mG7TZ59+ur978GD/3oO9B58+uHcQ+exeur07Prh//96n9wiRB/f3H96/f9D/7AE+2r//KSFxcP/B3sMHOw/uU6c793YI0sPd+7sHBzsPd4hI23vj+/vU4tN7hOze/j0gQkPYf7C7v09vHVDvNOh0+954796nOwcP93fvHTy89wB97o0P6Jedg52DfXrv4MGn6PMeUeJg797u7sP7Ow+IMhjC3qe7IMenBw/37u0Tlfbx4af3H366+3D34cG9g100T7f3CT2ixB6Rj5C7TzPXo2Wf3rcjeH+iiBwH44f3g+n8KL2mWaah3t97QAAI0gOiFPqgsT64H3yW9poJSXrNdscE3m/2oP/ZpzwP4asP0MPB/qcPdg92Pv30wf7ePrPD7t7Bwd5DfHbw4CER7tOUaH7/4NOHRM/dBw8fEP326COCRcg93CMS3N+9d+8BUWl//wFx0s69/YO9/fv3QJGH9+7vfvrpwc6DezsPP31IPd4f7+zt7+7SSzQTn9I8pp+O7+/ufnrvAbHKwd4esQV98nB3Z2/34B51dLCzs4e3DqifB/ce7jyk3om/0v3xPepznyb2U+LZ+w8eUvc7+w937hNHEZd++un9PYyFMOqQuUcY+oyQ+rRD0/vgPJ+m/Y8egNtJy9y1aubo8aRazrxfWe+8ys+bPVU9H6VVPctrUph4EU0iDaGgbMO9DQ2hxm4F8X63IVqIsjz6rrylf20C8emt+oJKvVXD/ds2hIa+FT2o64cfOEy2A7fCSszFrfDiprebezE+t2vKNup2CLApux1Utni3g8qG8XZQ2X7eDuq9oOmNxBqc8W/fbsbvw6Lfqjsx/LdreuuWcCBuxxrib9yKhtw0qhr4h2qou8aLol97HtZd534lj++SY3eU/D9VWkIV9AkAAA==</t>
  </si>
  <si>
    <t>818E59A970A2ED9D547436C8C0F168CB</t>
  </si>
  <si>
    <t>JChemExcelD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mv++pP/cX0P/fSn//yh9t/fZRw/H93Z279+/t/fpg4Od+/fv76UPxwcHuwcH9/YOdh7cO3i4mxLB9nce0P8+fbDz8MH+gwf76e7e+N79vU939nb2D/YePNh78Gm6e2988OBgd+/T/XsH93fv7d57mO7ujw/27t3b2znYvU//o2/w0f79g336/f7u/v6n+w8P0oPxw3uffnpw8HDn3v69T6kbwoB+Prh3b+fB/U/3Du7f+5Ta7Dzc2Xm4t7v7cP9gl7BIP6Xe9qnf+7t7D+89IHzTB+N7Dx/c39nb3dnZPXjwcI+a7O8QtvTK3sH+wacHeynhQ8/up7sPD/buHzzYpQ/ufXr//sOdT3fprQcPHxwQf9y7T2OnwR7c23+wRxNDL927v/Pw/i46/nT/YD+9N763+5AGSOje3wEGn6ZEDxo5Yfjg4e6nRI99+uRg/+Gn96jjT/d3D3Z2Pn2Q7o4P7n/6kHCiwTw4IHLupzvje/TW/gEB3j8grIkw6fbOePdgj8b2Kf7ZJersP6SG1P3+/Xv37+3ff/Dg3s7eQbq9O/6UBnJv796nD+7d3324QyMk1B7sHXyKlkRTmj+MiKaIxnvv3sH+vfsPiKWImp8+3LtP+KPvvYN7H6XXxArbe2OixP09gr1D1Pl0H7jQ3BPy93d2iQb3H9zfxSd7nz6895DI9unOg929AyIRvbl/cJ9mh979dJdQwSdEhPv3P/3003s0hw8/JS7fvjfep0l+QKPa2SUsH2CkNDM7B0TDg52HB4TkfXxGlNyjYe6Bjz7d2f2U2Ga8t3ufxrdHY6Kh7XwK+tKE3SOaPDygUe4S/N3x7r19+mWXWIAIvbvHwO7tEpvQwB8+2LlPPz7lIT3cJez3MKKdXe6UOtjbuQ+aE+x79OMBUZwQPSDk93Z2iRMOaCJSSALhuv+A+IV48QGNneaZZoUo85DGQPNCU7C7tw8gRBnwJr/2kPh5b5d4/IDIekDMuUNIHBD++2A8sP2nTA6SwnvEISR6D2loBzwCEgn/3fsY6Q699+nB/YOHD/c+pbHtERrUxH8Vre4RKUg4HjykySE5YGgP9x/uE8c/oLkjmaYe9seE9gGR52CPhk28yeR4sLOzA4YhFEnkH+6Rurtr9d3R40m1nHm/sgJ8lZ83xEZQgKQuq3qW16S5P5IWojqPvvv4rveX/BEHcS8AMdQQmvZWDaGPb9UQWts23Nvc8MGtIJJe3xuix7dvRw9YkFv1xXbmVi3ZFIVN3x8vsWe36u/g1i3FQN6uKdvR2zW932v6NcbL9vp2/e3evil7AB8oMuJC3K4/9jRu15Qdkts1vX/rpuLi3K4pe0K3a8oO0+2asl91q6ZMgUG+ueXkcH+h/vkaQEC1kKO8127LwfAgP5jXQOmQ127EhH+oybhr/Gv6ted733WOefL4Lrn8R8n/A+LjMvQODAAA</t>
  </si>
  <si>
    <t>FAE05068B18E3A2ED06E03005DACD74C</t>
  </si>
  <si>
    <t>JChemExcel8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7epx+leZljIG+uVznRJXX/vfD+3/3U/ev9V8pHpfzvo/Td3mcfbe/ujT/99OHD+7uf3n9w79NP7xEa27v7452de5/e23nw4OHuw/17nz4Y+Kz77j36jGbg3qd7D/bu37t//97B3sNPBz6jmdzZu//w3v7uvQe7O3uf7qXbBwTu4OHu/t7D3YODvT2i0vYDevP+3r37uw92du7v7z6kVp/Si7v373+6s09tPt29T6326cUHBw8+fbj36b2HB7t7NBfb9+hNeuHBwc7+fXr54D4hvEev7tzfPfj0YO/B/h79lm7v0KufHtx7SPCoZwK8l3Y/OniQdl/cv5924D9Mu0h8mnYwjXzQHd6DtEMDmo7+Jz3aPUw7JL63cy/tzc6DtDuJ0U8ir3WAp7v36YMH93YePtyh7vf2d+73p+V+dD57bxKwh2Mav/fRPs3AzkfpNdhzZ3zvYP+hew7S7if00e744d79He/BhH360P9oL9YIoPyPmJci8L/Rdv/vbrYNMgXDut2bw692W8XARfCI9tqdQ9Kl2/2Z7jXbYdEPm+3HGGKAkXzUPgXb7KTb98cPHgTwyIjctVbk6PGkWs68X9msvMrPmz21LB+lVT3L688+2sOLaBJpCHNgG+5uaAgrdSuIsGW3ggiLdyuIu37DTRBhQG/VEGb2Vg1hjG+FI5vsACSavG7zOq/SabW8JAPLfscXT59/5H3wk1m5Jqu7b0DLGxtowX7BrVAS9+GHgRP7KLeip7gyt2vKHs/tmrJjdLum7D/drulBr+nPEv3Yl7vdnLLLdyv04RV6UH/20Bf381boi5d6O/TR9HacIj7v7Zqya3w7XNmDvh1UdrRvB5X98dtBZbf9dlDvB003Qj1AIHCrptA190IFskFP3rvdvHLsEWvJP9Se3TURFP3ai67uutAreXyXgrqj5P8BBvSyMPANAAA=</t>
  </si>
  <si>
    <t>668CFF8ABDDCE1EDCE9499B7A18892E6</t>
  </si>
  <si>
    <t>JChemExcel9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1PuvTF+nX9J/L+zPk/TFR+m7vc8+eji+93Bvf//e/t7O3v7uw737p9sEjwZ0796nDx7u7u0e7B3s3Nvvf3TvQbq9N97/9OH9h/cf7BzsHzzYP9ijl++n292mnx70P7t/D69/+umDe/cP9vbvfXr/051PHz7offaAmu2Pd3Z2d+49oA/2D/aJAtv3xvv3/EbS6cFD/7P7+2kPPg3i0wcP9j+9f29v/8G9gwcPDx6k98af3n+wd39399O9+w8Ix4dpp7+d/fuxj3rAP0qviZ6E286Dh95zwAO9t9P9bGf84NPgs930YLxzf+8hYXLv0917nxJNeS7Q8sGO/zCZ7jEddg78L/aEqPv39+59uv/pzv69nV2aJ56Ubnf39/pz8vBef+L300/He/ce3j+4d39nj0a/8+BAOWT3wUPM+/7e/s69vb0Hu7GPeqN8uNenxsM0QjSSjrtWPI4eT6rlzPuV5eVVft7sqch8lFb1LK8/+2gPL6JJpCEEyzbc3dAQ4ncriBDSW0GEKN8K4q7fcBNEaIZbNaSuD27VEFrmVjgeQBfduuXurTqHPnOzuKmlqL9bdc9NbzeT3PR2cyk693ZQVTXfAureUEv+obx/15gR+rVnYu46+5M8vkuW7Sj5fwCcRSlc9QYAAA==</t>
  </si>
  <si>
    <t>3C75146B98BA4F02007C3ECB3B5D99B5</t>
  </si>
  <si>
    <t>JChemExcelv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FP+9oP9/Sf++pn+/TOUz/a/8KH2399lH23vjTz99cO/+wd7+vU/vf7rz4NN0m4Zz796nDx7u7u0e7B3s3Ht4P/LZvZRefbi/c+/+p3sPdx8c7Hx6cHC6TfjQx3s79/c+fUAtD+7dv7/7qXzchfDgQdr9aL//CaGzQ/A+vbe3c/DgYPfB7sNP7++le+ODB36z+70X76edgX368EH3owe7/dfQ6OHOw4cPDz69t/Pw/u7Ow31C/9OUWKDf+P5H6TXRkPjjwYOH3nOQgmV23AcPH36aHoz3P/U/eZA+GAcf0Gufjnfvh5/cH9872PzJw/Te+GB/8ycH9/qNPqWR3gtwfEgjvL+/4z27hPUBUf1gf/fhA/pz7/4eU4Pm5EGI+4OUOQkTtXtvd+/Bw/29A25KIO8FLffRstPxpyQMd600HD2eVMuZ9yuLx6v8vNlTCfkorepZXhPp8SKaRBpCjm7VENJ2q4aQyVs1hOTahnubGz64FURogVs1hK64VdcH0Ci3brl7q85FPd0KqGix20FlZXc7qKwTbweVVeftoO4GTTdCBQLRKeUfytR3jTmgX3um4q6zI8nju2ShjpL/B/W5yeS9BgAA</t>
  </si>
  <si>
    <t>1241D196BA5E75360471BD156A030233</t>
  </si>
  <si>
    <t>JChemExcelw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6v/3Zfoi+Jv+K9PX9DG++PKj9N3eZx99Ot67/+D+w4Od/f37+3v37qXdD3bup/vjh3v3Hu4ePNzbe7C7v/fw0/Te+P7DHfrsYGfn4ODTvcgH3Xfup3vj3b37n+7uPfj0/oOHuw/27n2a7o4/3X/4YO/T+w/RGXW1Tx/t7e1Qv/sP6PPde7v393ov7t1Ld8YPH+5Rf3v3dz/de3Dv3i5g3dt78PDTewf79+49IDTuP6RWuw/37z3Yv7f3cG/33qe7+/t76TZ18OD+7v37Dx58+mBnd//+Lj76dHd3h9799GD//h51Rp/tjAmD+zufHhARDh5QFw/vpdt74/2dgwfU5uHOwaf3D/b3HlAf9+/t3NvdJ3QefoqmB/TRwaef7t2/f38XQ39ImAMcjfP+w0+JHvuEy8G9XRrWzr17e3ufPri3f2//4UPCl8Df2yHMdz59+PABYfjpR+k1TdE9Qm/vgN7evU/QHh4c7OPdB95HDzH6Hb/Nw71um4OHaQ8QzdK9g+4nNIEPdvdogAf39mm4xP3379+j8e/u7T7cO8BMEWgauw/6ASFAo3t47+GD/f3d+w/vM2Hu79+/v0NEPNg/2HuwL1TYP6CJ2CHy3Htw7+H9eyD+w4dotHOfCHrw6UPiHfqMiEqMs3ePpmn/3u6Dh3h3h2aaOqT5Jxbbp8nDpO/sUhfUbIcYjZiJJ+k+WOfTPcwS8Q3x2fa9MX316ae7gE/k/nQ/3SYGfUgMRXO+9+nezs69+2h1QMy9s7f/6c7Dg/s79x7go11CgXiC8CDMH+7SuIgFaN52793HVO4e7JJmeHzXCvrR40m1nHm/suS/ys+bPRX+j9KqnuX1Zx/t4UU0iTSEirANdzc0hCK5FUSom1tBhFK6FcRdv+ENEB/cqiE04a26poYPbwWRteqtWu7fuqWo6ds1ZW1+qyGJ0r8dVLYNt4PKJuR2UNnS3A7qbtB0I1QgcLvZ52G5+d/YlC3h7XA9gMG8fdNbTuyOmN9+U/6h8n/XOAX0a89huOu8ieTxXfJTjpL/B+yjMPTDCAAA</t>
  </si>
  <si>
    <t>52F2EF9565A70960243C7E55739CEFC7</t>
  </si>
  <si>
    <t>JChemExcel2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VemL+jHl+mXH6Xv9j776N744NP93Z39g/17D+/v7h88vJfuje/f29nfu/9gb293797+/fv76e549+GnD/Y//XRnZ+/h/f3dh/f7Hz3ov5h2oD8EIR4+eHBw7+Gn9x88eHh/79N0e2e89+mDg4Od/Xv7Dx4+3N39dH8/3SboD+7tfPrwwd69ewR+7/69dHtv/GA3+Kz/7oO9j9JrGtXeeOfB3sHe/Ye79/cffvrwgJAj+u94Hz3cwUB7re6NP90NPrqX7o/vHfgv3qLNwUP6ZOfg4MHu3s7Bpwf39vd3Dqi3g/1Ob52PHhKS9+nnvYcP9vd37z+8/2DnPnHAXcsCR48n1XLm/co88So/b/aULT5Kq3qW10QBvIgmkYZgHttwd0NDsNitIIIRbwUR7HoriLt+w00Qwf23akg4HtyqISTpVg1Z3m41mocilbeAeW+oJf/Qqb9rNAX92tMid52KSR7fJeV1lPw/LfxCQ9gEAAA=</t>
  </si>
  <si>
    <t>EFEC7D74A7B399176308A367E085B703</t>
  </si>
  <si>
    <t>JChemExcel9w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w8/SvMyxyjfXK9yIloq/31J/8lP80nsP/ftl97/7X8fpe/2aG52x/u7B/d3dvb3D+7tPTigvmkK9h48PDi4t3vw8MH+vQefPkwPxge7e/cfPrh3/+Heg50He9zo052D+/d3H3y6+ym9uH8v3d0b7zy4TxCo0e7O/QcHD9KH4/1PHz68t39/597O/sGnD/AJgf6U/nyw/5BA3wfoB/f3DnYffrqz8+ne7v2H6YPx7sM9eu3hwf2Dg53799A9ofPp/f17Bwd7+3v3798nMPd2H9zb26O3du/t3t/DW9SGhvHpgwP6eOfgIP10TLg8eLC3t/fp3v0HDx7uUZv9+5/u7Tx4AOQODvZ3qc39/f2d3d1d4Pdgl1C+PyaI9x7Q0Hf3HxBR7qf743sP9x/u39u/RxjRv2hD+O/uE8IP9mhsD3epzacHBw929u/fow72d/aJNe6Nd+8fEK1olJ8S/HsPH6R7Y2pOw6Wx79GAqbed8QPCfp/ourO38+nDgwf76fYOjf/Th/fv7dwjhPY//ZSwT7d3x0T1+wf36atdmodPD+jV/b3dfSLIw/39e5/eO6A/0t3xw/t7u7v7nxKe+0QE4qq98cGn+/d2d/cOdg72d+jNe4QZvfZg/1Oa0/1Pdx/wEHeJCAd79NbOwR4xApF8b5cm7OEO9bb3gGYQM36w/5C4gXDdp27291Iwz6cHezv3d/eo109pFqgRTQy98umDnV1C4eF9sAVA7BEBaIj396kRIbC/c2//YIcwu3/w6cGn6e7+mIZx8OmnD3f3ibYH+Og+zSiz1wMaNE39AT66v7u/Sxz24CF1QIxJ7+3sEEkOHuwR+N19kphr4mpimL2de7v37tNc7xAu92nqiaGJ0x+A1T/99ME9GuG9+7s7+3sH+3s0OQcE7NMxzfsBMd4OwXywT20IBaLcA8zjATUlxsHc7+/t0JD39/b3iUV2MNPEaIT83kOajL29B7tE9AfE7Pf2H+x++unOpzukEO6N94hSu8QdD3b3HmKCaLLAvkSqg33wDjEu5n6Ppolm5dP7kAaaN3xGfPfwPkno/R0SJPqK5n7nHiG0f+/ePWJ4IsV9zD0RcH+XGIuYn6i9R1h8evBwlyhA6JKo7TI3EAfdf3CP5o+E9+Euo7G7Q9T6dOchicLu7kOaV7AgSRWxKo2ShIvEcx8seH8fknkfo3rwKfEQs+UuxI+YkoXz/gO8TFTB9zQxDwkhIhs+/JSmnMZIzE9UI4pAgezcA6dTi4ckhJAGTP7De8Rg9yH7+xjDzq4P7B59snvgQ9oBOegdKJX9B/ibmJRa3SPue7DzkGbq3n1SZTQDD6jJvYMHJE/EBKRgaZZINmiqD4jAkGOgeY+m5OA+8RzRbJ+4lRhxDH4/gDzcu0/T9SkEmSSJaPqQECPtxdQn3tm7DwVIQkUqAKgf0DDufUojIQ6mMX4KnfBgH/ICrqDme0B05x4oDQWwRwxKinRnfP/Tg3v0N+mG+yTNe/QJTein9zAkUge7pGgOyILdtSbs6PGkWs68X9mmvcrPmz01ax+lVT3La1L4eBFNIg1hi27bcP9WDWFIbcO9zQ0/vRVEGOVbNYTpvlVDGPhb4QgfIASJJuJWHH1XXtO/NsLY3b0VXuJu3K7pvV7Tr4EauzW362/n9k3ZUbpdU/anbteU3a7bNWXv7HZN792+Kft7QxT/9i0pzg7jrfoTv/J2Tdn9vBVHi5d6O6jszN4OKprebsrFNb4dVPagbwUVU95p6k3HLcWByXi7/sSx/8D+wNJ7gxx1WyD7CC0+FAjikpDXvNduydsS3NyKfBID3aopFM8tmzLUUEd9jVGAnrdjZYnebteUg7zbNeVY8HZNNWS8TdP9oab8Qx2JuyaQpl97QfZdF4Enj+9SbH+U/D+HpxlY9w8AAA==</t>
  </si>
  <si>
    <t>10F8215EBB19D37E2538E607BAED2F0B</t>
  </si>
  <si>
    <t>JChemExcelR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ZX/vkxf6G/uvy8/St/tYej37t379MHD3b3dg72DnXv37qeRj/bGn3764N79g739e5/e/3Tn04P+Jwfp/nhnZ3fn3gP6YP9gf3dnPwLqXrq9N965f2//wcHD3f1PDx7c37+/f7q9ex+f7+7vPHywv3NvZ2fnwe7e/U/l8y6Mg73IZ3g9QOgB9dRF6GH0o/6LXeh7n36UXhOttnfGDz596D+f4vV7O93P7o13HvgfHTAyn+4Gn6Xb98f3Dm746GH0xS78h9EXPx0/3PM/eZBuPxiH+D+4H20WQSyCRffFh8TEdy0XHz2eVMuZ9yuz9av8vNlTzv4orepZXhMP4kU0iTQE/9uGexsaQkpuBRGydCuI1PDTW0GEXN6qIaT3Vl3v+Q1vgPjwVg1ZZdyqpWiW2zVlBXS7pqynbteU1dmtmj68dctPRT32W/IPZdO7RjHTrz2lfddp9OTxXbIVR8n/A7vQBrxHBgAA</t>
  </si>
  <si>
    <t>BDA320609E415405A33F064AD571E59F</t>
  </si>
  <si>
    <t>JChemExcelQ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3YOP0rzMgdGb61VOA0xP0hf0/y/5X/z/hP/6kv59yT+//Ch9t/fZR3vjTz99cO/+wd7+vU/vf7rzIO1+sHM/pUHfu/fpg4e7e7sHewc79+6n2/vjvU/v7RzsPdzf29u9t7Nzb/90m5DZ7jb9lD872Nvdv//w0/2HDx7c/3T/Ado+6EPtd/TpQe+j/X0AfHCPID3c29/buf/wwaef3ieA9yOdU9vucPYO8Nn+7sP7O/fvf3qwu3vw6f3dB/H3DyIDOjjof/YQIA8eBM32053x3s6n9/Z2Dh4c7D7YffgpscH1Htjx/r2H3nPwIN0fP3y4/3D34f7Owaf7O9RWaLkzfvCp3/LhQ5qchzv79x88+HRvZ+fg4NNPP1Wyd5sePCTC3d+n9vd2Qgj3xgf7wSefAvl7u+n2vfHOg7Dtdvf1g36rB+CFT3c7L94f3zvofPTp+OFe56OD8X44wH6rg8iLJD13rfgcPZ5Uy5n3K8vTq/y82VOR+iit6lleE6vjRTSJNITg2Ya7GxpCPG/VEEJ8q66p4ae3ggiFcCuIu37DTRChX27VkEb98FYNWVfdqqWotNs1Zc13u6aAGs4k2ojyPfq2vKd/DQNhDXu7/lgR364p6+vbTSCa3m4KuWl0EvmHCsZdY5To157BuuusWfL4LtnJo+T/AR9jSZ1DBwAA</t>
  </si>
  <si>
    <t>4DF5F0791F12B8A6A351BCE0439488EC</t>
  </si>
  <si>
    <t>JChemExcelm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Kn77wX//wX/lP++9L6V7/mTj9J3e599tL0zfrB38OnB3u7Offr/g3uEAH22v3Ow//Bgd2f33v3dewfU8fbu+P79vYf7u7v39u4ffHr/04f76fa98c7ug/ufHux++oD+IQgP8Nm9ew8eEKwHu/f3d/bv06t7492H9+7tPNzd37lHvXxKPeyPdz/d29nd3X148JB+A7D98c7O7s69B/c+vb9/sL+78zDdvk94PDh4+ODeg529+/ceEL22Px3v3zu4d//g/g4B//Te/U/R6tNP/Y+4x08/fUAf7e0TtE9pVMD/3r17nz54uLu3e7B3sHPvAK1oSJ8Sig/3Dx4+PHiw++npNs1Ft+W9tAOOeku72O4TC927t08w9g+IiHu79x7cTz9lzB7SKxj7LqHR/6T72kEP9L30gD7Z23mw/4CISFNFpHlIb91/cP/ewf29Bw8/3dsnrHcI9MP9e3sPH+zTB3sHvTZ9OMRH1+CBe+OD/Qc0MwcPHj64v09zdR9UvXf/3j5hcrB/QLzwkAhDxCfaH3y6S0zy6YMHn97bR7OHO3hrl4Du7+yh1T7NGs3pg4P9PeIo4oL7zBUPdneJisRXxDK79z4FtIf3DoiiewdgqgNM5cF4/9OH3kNvPhwTrvce7O/f28Gs7BFbPBg/vE8ctXuPsAL8XcD6lCbr/t7egwd7NFM79/nNvXs+sAd9+A9+LlrRuPd6H+3eDz66f6tmB/1WD7lVhJQP++gdkPa6a9XX0eNJtZx5v7I+e5WfN3uq0j5Kq3qW16R38SKaRBpC8d2qIdTjrRpCid6qIVTtrRru3rYhdf3gVg2h32/VEFbANtzb0JBtxa1Aikm5FdAHQcsb8Ny93YSLJbtdUzZ4t2vKdvF2Tdl83q4pW9nbNWVjfCuqis2+HVQ27beCKh7AraCKo3ArqBiW13QjVCBwu4kVD+V2TdmRuRWu3PR2E2vcols05SmINuUfqgDvGl+Pfu35gXedk5g8vkvu51Hy/wBvH7bOmgoAAA==</t>
  </si>
  <si>
    <t>1D0D32120A86121B6E02AD504CDA094F</t>
  </si>
  <si>
    <t>JChemExcelb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afy/F9FPn/F/J+VH6bu9zz7a3hs/+PThw/2Dh/v37927v3t/N+19lG7vE0Hvfbp3sPPpg91P7+0eRD7aT7fvj/fvPbi382D34ODhw909Gsf2p+MHD3YeHlCDnYPdh3v39+/HPzsgaPuffnp//97ep/sP9h72P9ntv3i/1+Ve7JNd+uTTvU8fHuzdu0+f7+7fS7d3CPre/Yc7D3Z2P31APw7uH6S74z1APtjf29mlwd+/v5/uje9T558+uL+/+xA02U3vjQ8eHuwTYp/eO9i5TzCImfbu7e3u3ScYn967t/PpbvopvXX/YGef4O5/urvz8H7kk/5bfcgP6BOahv2dvYd7Bw937+2lD+mteyD3/d3d3QfEMAfjTz/1muwd0Eu7e/5L99Lde+P9Xf+tj9Jrmvm98c7uvQNC5778ez/dGe8/8D/Zf3AflNp7aD+hf0H13fHBPf+ze5+CaT7d8T8Dlbvt4uC63e7dv5d2kdt7QB89OPA/ok67rfb7QwBqvT5J2roN7+9F2u3cnibddvf2Iu1IUvpEebDbJ16kWYRO4Nh9/5OdB+jz4P7Dg3vU8YOHByQEBItA7Twgsu49uP/pg336bI9g7ZDuumuV19HjSbWceb+yNnuVnzfEKdBmpPuqepbXpIY/khaiB4+++/iu95f8EQdxLwAx1BBq0zbc29AQyvVWEKGCbwURivpWEKHObwURSv9WENk03AqkWJBbARVDcyuoD4KWN8zPLVuyibtVS7GEt2vKBvN2Tdmu3q4pm9/bNWUrfSuiijG/HVS2+beCKq7BraCKB3ErqBiW1/RGXG83seK63L7p7SaWm0Ynln+oFrtr/Df6tefb3XWOX/L4LrmUR8n/AzwMoOVuCgAA</t>
  </si>
  <si>
    <t>9F6E31AE9D1972EE07E0D0C89BD639B4</t>
  </si>
  <si>
    <t>JChemExcelxC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4MHH6V5mWOW3lyvcpr09EV6csN/X3b+bz51v/vffV145r/XDDn8XD/7SLiyPJln9QUhv5Pupjvf6H/fDLztGJhtYvl3e599tH0w3tm/d+/+3oOD/YcPPqVZoU8O7j14sLP34MGn+zs7B8Q02w/Hu/f2HtL/dx/e390jlt4mMbx/8HD/03sH9/HPwQ61ItF7cH/nYGd/Z//TT+/v7xLbb+/eG+/tPLhHjQ52HxzQbw/ps/3xPerp4f7Bg3sPHn66c8Af0Xf7B/v793Y+PdgnZOizvfGnu58+vEdt7t+/f7CLj3bH+/T7w3uf7hDIPf7s4fjhw4c7+3sP6b3dT3eJ9+ijBzv3Du7t3d+7f2+HemF0Dz69v/tg78Hug3t7O3s792QInz58+One3oP9vZ0DGo0M4d7uvZ09GsHe3j59xUPYPXhwcP/e7s7uPRrfp2h3b7x/QKgSFvv7n+4RUMaXCPRgD9SkD3kINNL9h7sPiXj37n366e7DB/zZzv17Dw/2Du7v7N3fP3jIve7TkB4SYvd2d/ce7jGw+w8f7N/b29slih+QhtjevT/eIxIRaoTWzs4uWu2PH957+Onu/i7R6ODggCl+f0zN94hOOwcPqeUuUPt0/JDGf3Cf3nt472CHhH/7wZhml4hDNLm/s09w0+1Paa72DmjK96jZDpEz3d4fP/gUBN9/sLv7cJ/+xUf39z7duf/g072H9OEDUjjb94iSDx7u7u99eo8m+WAP49wjntkh+u7t7h/QvH7KJB8fPNzd/ZSm9N7+DhGNlNv2Dk3pPeKFe4QyEeZTgrczppE/uEdzskdo7BEGKUE72Hm4T5jQz/1PiQbpvTF19une/d171AeR80G6Pz7YvX9AkIkSu/ufklq7T7S+f+/Bpzt7D4mc92hOPh1jFmlKiKmIrg8PUiLEfTAfHsw7abGD8afEi7v3iGUOiJF2HqDRwQO0uk8zR+P7lD55QL8d3HtIsO/t75Gue0jzc3BATYjCNJs0GQ/H92mg+/sPCZ8HNJUPU2I64tb7D+8Ta1PnB6R2aap3gdB9otw9mkqafmKIA6Iose+n9zElNDZ6keaLyE102SHak16nj3Z39h9+SoLwKf37kNQ9vbj36afE9CRCDw9Ihhk8dX1w/z6RZJcmhNAi7qUpIVmmCdrd2yMSpsQ1hOkDGt7+LsEmrqRPiL0JUaIaMSejtT/ef7BPmNMfRC9G/h7Rk4ZLUvkAs0BmbffBmFiZSErv7B98Skp/92BMQyGx3tvdJabfpfkkjqTfSJh2iQloBMTg9B4x8af3PiU1RFSFnBF0Ug8EhPTC/j6RZw8fPdy5R+M9IIa+v0ev86AJF6I5sN8h9QTKQAYJ3APwFkF/OL4HzqeeSOqIFYil7pG6CrHa2xuTKtj9lGbi4acPiAF6n5B5jr1HfHbwgMTiHp6dvcgHkZeicIiZuijRIL2PPoWcfgq6kfp7QLJLrHy6zTp5TH1BDlkcdkhX9D+7z5JJRIBE7mOaSN3x65G3Ix8RB+xDr+w8JPW18+nep/bdvb1PoRJI7UBb0sc0o+P7xLPeAy1GIvHQfz79KL2GIdqhCdojjbq7A2WwS19AmY1JxdDod0mwQY6DAygb4jJSg7sQYPp2Fx+BxYlPH9Is7YMDaJAPQDCSZ9KLpE4espoCEUlSdvdIE5KeZlqQVJGRI4AP75F03YdG+hSvkOSRgSLJhgEhhiKGIxv5KSmpXQg9kKN3d0gXwSg+IG2NZg8wzv39+7v70Crk6ZDlIcm7R8iScic8SA+SdBO6NKL7e/T3Q9LdUGbUFRp9CqwJ7RS2g6Rvn0QQCp8cQBJbUuuEJOG/T+Mnn3EP7+2Ser5HRCejc58ng9rTPBD6ZI1J90AxkqmDrdr7lMwxtOA9CBkBIfEmrtolTQnr8IBY4iFMBWH56RgDJsv9KQ3yHok0DQWzTFgRR+7vkX4mSDQWVhyEJoneA3IamPY7ZELJQpM9JnX0kOcdE/EpofHpLqhGggTif0pDJOpTM5ItbrYHVUZ6nvQuaTAQlboguhOaNLVEuAcPeMbvPSDOfwC1uv+Q1BhoT2r/0x04Mbv3iaYPWSRIcTx4CAmGtdu7z70SRcnyPSQMScfuADsyYDRAYmIyyDvEefd5FPBhPt2BPiLr/ym4irTdQ4JItKU5IP3P4HaJqA/IWaBuyLKAM8hzefAQ0EkhkUp9AJdhH9xC1pgMDCndB4xcn7lvSZIdaDxCjnp88ClNyn2owTEmZ48+gFTR4PDRgz3obzJ5EGMoIpIBMpvEdxCKg/sPH9In5IaR8LDvQcaaVARMBvEAjXMX1gugiSsJMRonOXz3dsELD+gjIukBGYc9OIHM/YTpPZrjHRKzh3uYFZo8EoNd4oUdeEb8CRlU4s9deBbECCyFJPDEUzSRIOXOQ35v9yGNlT4gGpJzAPD0IrHfp+REkFEgCJAukgyS1R1oJWIGklWiDRkI0pgPH8Cto1HSR2SxIF73YYvJYJNdBL/sHpBQ7BIuJKj34e7sETfTsElMiVZkwuFgQsR2SFZ29zEDNArQkMjzKdlCUssPIOTkJtFXOySZhBjZ7U9JnqBQqFPiNGKp+xSTkXtF7EmgINMP7jPoT9msPYDVJ+YVjURa2VeQzGJgyB34w746vYeBddTprrQLICiI4DPyAsbkgjM/7PPvAZz78rXfm7q9+x4T38dEgdk7jL0L3y/8iCbv05tbdWABPoUje36rXbiuZI2CFyONuh9RRH/XhvRHjyfVcub9yjH+q/y8IVOEGJ/Co6qe5TUlJz6SFpIdOPr247veX/JHHMS9AMRQQ4Tst2qIeP1WDRGs24Z7GxoiUr8VRCQ5bgURqZBbQeSEya1A3g9aboIpGZhbNd27dctdTukMMcN3b8cMkhO6XX+cOroVZSTDdDuonIi6HVTOV90OKqe1bgf1XtB0I1QgcDsuknza7ZoixXa7KZfs3K2aIld3u3mVVN+tmiIJeLtplbzh7Zoiu/iBbCzpydt1x1nM2zXlZOetuIib3m4SJXV6u6acYb1dU07E3q7pPvK1t2vKad3bNeXs7+2acpL4dk05l3yrKUDT/duJnGSmb9d0r9f0/dlTMuC3648T5bdruo98+u2actr9VmSU7PztoHIS/3ZQOdd/O6i8JHA7qPeDppugyiLDrZpitm7ZVJYtPpA7ZN3jdv3x8sitaCOrKLeDyostt4PKazK3g8pLN7eDei9ouhEqELgdI8ma0e2awjO93ZTLCtStmoLpP73dxMp61q2aQuo+vd3EyurYrZqC6T8dNMO3DC1kBe5WUy4LdbdCTdbzbgVVlv1uB5VXB28FFcPymm6ECgRuN4+yLHkrBLjp7QSUm95OQGUd9HZQebn0VlAPeFX1VlAPePH1dlB5jfZWUDEsr+lGqEAgnK3BpvtYHL4VAtz0drPFTaOzxT80C3B3UZX5dF3m9OsXJ/N8UUyz8nVbr6ctPnlaTddYqD5KHt+dLsqj5P8Bqjf5QsQgAAA=</t>
  </si>
  <si>
    <t>5A5332E5383A940C987700F874E8B313</t>
  </si>
  <si>
    <t>JChemExcelzA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Z999CJ9kZ6U6cuW/v1I8CtP5ll9Qd/tpPhvL935KH23R3+Od9L98e5Bur07vr+f4k/88lF6rV/i/9v3xjsH/r+E0l2L09HjSbWceb8ykq/y84ZAMIYfpVU9y2siJl5Ek0hDGUe/4V0P+l1DHfq1R7m7jqzJ47s0YUfJ/wMy5jIxzAEAAA==</t>
  </si>
  <si>
    <t>B60662BCDA5E028CEA8680AA4DD4A780</t>
  </si>
  <si>
    <t>JChemExcelK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yX9/4X+3/1G/y/5yy8/St/tffbR9t54b+fg3sN7n+7v7t3b3XnwIO19dJBu74wf7N978Omnn+58unvv0/v7e3vpznj301365dODPWp78OmD+/1mO3v4bO/TBwcHO/v39h88fLi7t7NDDXfHuw/u7Xz68MHevXt7D+/vPbjXa7j74GFKzR5++mCf4O1Qq/3dg097H1G3e+P793b29+4/2NsjhPcJWnpvfEDY7+wf7N97eH93/+Dgfuyj7ov3+qDuYfIfPnhA9Pj0/oMHhOp+f0j7+xjR3sODe/u79z89uP9w98GnD2jo98b7RKoHDw929+jj/YcH+x+l13vgzIODe/cf3Nv/dG+PKHCwT8jt7/mf3OMhPHy4f//hp/fufbrzkDrbJ+w+ve+3ur9P5NjfefDpwYO9hzsP7+0TjjxZO/c/fXjv4YN9Qufh/Qc7Ow8ZwXs7ewd7hNx9avfw4c4uZvr+/sEDmpODTwn3/Z2H+Gjngdfs4CHg3b/nf3SwS5O/d+/B7oP9nYP9+zv3dnYJcr8deu2B28NnB/udLvbH9w7Cj3o9EOvfHxNPEq6f0oBB/N300/H9nYP7exgPDRgzT5D2Dh58uveAvtgh2u+SzN21Qnf0eFItZ96vLIWv8vNmTwXxo7SqZ3lNk4QX0STSEOJ6q4YQ6ls1hOjfquHubRtCkwQN0UKU0dF35S39axAENNGt+oK+sg33NjSEVrsVRNZ9twL5adByI+lYmd6uKevcW/Uvqvl2UFmD3wrqw6DlRqBsEm7XFKiGTLGBcXfDuX9/9hEDdavugFjIGF4H3452xz9Uku8a20u/9uzyXWe0k8d3yR04Sv4fMCSoISoIAAA=</t>
  </si>
  <si>
    <t>FFA6AE717D83FDBBC11CF5FEE1F70327</t>
  </si>
  <si>
    <t>JChemExcelk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3P0rzMgcWb65XOQ0qPUlf0P+/TPHbCf/2pf77e30koyxP5ll9QY130qH/tndTwvjd3mcfbd8b7+we3Lv/YPfhvQf37t/bf0Bfjvcf+B99etD/jJr13ryXbu8TeR/c29n99N6nDz7d+/TebrpN5N69h8/uH3y6v3Owu3N/5yDdGR883N2//3B37+HBwcP7Dw/2073x/j3/o4fpvfHeTvDJfro/frAfvHc/0sHOp/vUwf6ne7v3P93Z3fv04aefUpe744efHtzfuXdv98HB3qeffvoQb97/9ODezv3dvd2dh5/SV/fSg/EDr89PP0qvQSRiiYcPAOfe3v7u7v39/XugSPjZPYxqd3/vHsH59MH9g4P9+/RP77NPd/YIlb17u3tE0N2dT3fvP7j3cI+afbp7sEtDunfwcO/+wYP7TLlP94Je+x/d4+l6+CkR4P6D+9TRw/sPHt6PfIaPDmiaDvYOdu492Keh3dsjku/Q37uf3n+wv7O3s7+LT/Z37u3s7Nx/8ODgAQ2PmJBmYe/B3n2iz/29+/cxL0Rw4u67lr2PHk+q5cz7lfn9VX7e7CnLf5RW9SyvSVDxIppEGkIwgoZoISJ19G15S/8aBAHBulVfu7dtCDm1Dfc2NKSuP70VRMj8rRpCMwRdexR4czt6QLPcqi/WP7dq+QBa6lYt927d8lNovaGp/+7thipq81ZTxU2j088/lJHvGiVPv/YMwF1nHZLHd8nuHCX/D6stokWTBgAA</t>
  </si>
  <si>
    <t>978D4A23FE184DE896A61A086C2FCD7E</t>
  </si>
  <si>
    <t>JChemExcelB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VL89yKVn/5v/b9OyuiHH6Xv9ojQe+OdnXu7u3s7Dz/dv793j7Alen766cP9e3sPH+x/urdP+PQ/eTi+d+/+g/v3Du7vPXhIH32aHhCcvZ0H+w/uEaQDApd+Si8d3Ht4/9Odh7v7O7sPHtBc3Lu3/2D30/2DB/d294hAvQ/2Ccruzr0H9z69v3+wv7tzP90jKA/u3T/Y26fPPt359OGDlObz3r1PHzykNw72DnbufbpHHx3s7D7cp252Pn2w83DnYP90m4ayvQc87z3Y3X/w8P69ew8efPopf96FsH/Q7edBBJXuJ5/2XtrrfRIZ00Fv2HuRTzpv7fbI2SP5bmRW+p98ndm9H5ndGzsnlr0mBqMZ2HnoPZi++/f8Tw7SbZq++3s0Dbv3acgPH9w7eEDThLkP3z3ov/xwv9fqYb8RdfFwvLe3u3vv4f6DTx8ePNzbvS8MsjMmvnw43t8hKdg7uHd/f//hvb179N0D/u7TAAx9tj++9ykxEs0UiQoYyDBUp8dP+2jdrlV6b3yw739wcEC88Olu8BExw+797icP9za3eXA/AuhgvB+OUUiy4z/02f3x/QMSor0H4EASqAeWeuHbByxynRFt3xvvPAha3QMhu6hQJ/cOOh9FWsWA9QZP2vuuVd9HjyfVcub9yvr8VX7e7KlK/yit6llekzrEi2gSaQg9fKuG+12IaPG6zeu8SqfV8pK0OBu0L54+/8j74Cezck2qfd9Aljc2dnPfdrO3AR8YqlshDnN2K4gwereCCNN4K4hsQG8FUuzsrYCKOb4dVLbat4PKxv12UNkHuB3UnaDpRqjsVdyq6YNbtxQ35XZN2Zu53ajY6bkdVPaNbgVVXKhbQRVP61ZQMSyv6UaoQOB2ygDe3O2YRRzBW6F6P2i5ESh7lrdryg7o7Zqyn3orVMWdvR1U9npvBVWc41tBFR/6VlAxLK/pRqg74pX3m/IPNTZ3TVxBv/ZijrsuIEke36VQ5yj5fwCFFAjGBg0AAA==</t>
  </si>
  <si>
    <t>90A9A9DF6F28D4FE5E0BF4E965D0294E</t>
  </si>
  <si>
    <t>JChemExcel6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9D/3W/S/kv73Ufpu77OPtj8d795/8On9vZ1Pdw92HjzYpW6398cHe/cePth7eO/hwwcPP33waf+jB+n2vfH+wx364GD3YPf+7qf76fYewfr00939Tx9+em/v3qc7+/TZDr1Ije7ff7C///D+/U8PPk13xvd3dx7s37u//+Devb39Tz/dS3fHDw7uEZS9+w8fPHi4Q33QR/v7OwRqZ293/+DTe4Rjuje+/+nDe58ePNzZ393Zv7fz8H66P97Zp5+7O3v3d3b3H36KT+4d3PuUANP/dx5Q4/TeeI+7unewQ38+uP8pfXKw++De/YP79w8I+s7OHj7a2fc/omnYHd/f279//+HOAX324B5a7YzvPbz/6f2Hezv39nYe3ntwbzfdJn57QJ/sPdx98GBnd+9gnz/b3z34dOf+Lr3+cH9nd+c+KLFHve/cJ1A0mp0HB0TX3TERj3452H9w/97+/Qcg9d6YBkgf7j2gwRN1iNYHNHBvTA8/Sq/3wOiEwKcHB/TRLvVGXRN+n+4EH91Dv0Sze7u7nz7cOzjYvXfwALS9zZu9VvFG+w9293Z2d4n29z69D+h7Y2KU+xjD7h59+nCfp2lvZ+f+p7sPH+x/ShxD5Aan0IgIpwe7O7uffkqv7Xy6T1yyt7+/u7u7s3NAsHd2iQzEQA8e7t97QPTGaPZ3P9379ME9YqdPD/YOmNgP9onKn4JWxHm7nz7AZ8SmhBlx3AOi2N7evhACWNzf36H/7e88uId29w5o8g7u7zwkbAi9BzwBBzSzBPTeAd64D15/eG+fWJQYbYf4muQP7H+wgzneJ4Z/QN1ys3v7u3tg2719AktcTPqFtMFdqw6OHk+q5cz7lfXDq/y82VMV8VFa1bO8punFi2gSaQhFctuG+7dqCKV0q4ZQXbdqCAV3q4ZQg7dqCGVpG+5taMgq9VYgRfPeCqgo6NtBZT1+K6gHQcuNQNkw3K4p24/bNWUzc7umbI1uNaoHQcuNQNm83a4pW8Fb9S/G8lZQxabeDuqnQdONuAKBKLPwD1UAd43vQL/2/Iq7zulIHt8ld+Yo+X8A6+eY1uoIAAA=</t>
  </si>
  <si>
    <t>E04266AB6145CB1E7F93DAD98DA05425</t>
  </si>
  <si>
    <t>JChemExcelw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t6q//K9AX/Qv9+lL7b++yj++OH9+99+uDh7t7uwd7Bzr1djP/A/2Q/vTf+dN//5F66Nz54EH7SbbP3oAdoLyW63gteu5du74z3dj69t7dz8OBg98Huw08/PcBnDx/4nz3YS7f3xvd3g8/up9v3xnsHwbv9Zvf70O5/2kNkPyWW4P93v7n/gAb76acP7t0/2KMB3v9058HO/e5Hnz58kO6Pdx/co+/u71M/n9J89gZLb91/8PD+p/f3Ht7b/fT+/v09+mR3J2yzM77/afcTwvzBw72H93f2H+58urv/UXpNE0cjvbfz0H9Aj85Efdr/bH8/7b/6aZ9K9x7GP4t02/3o4F6/W2Lm/mf9V/cf9Hvdudf/bJexe/BpgMmuzuD9/TQyQvr8Xqc5YYSvCJ3d/b2HD3f2Pj3d3mVaUFe7B/s7O/cO7j+8d39vj5ntYL8Dcnt//OD+/d2Dh3sHB/fv7ezv0CA/He/tPjwAD977dG//Icgd+aj3ImmPu1Z9HD2eVMuZ9yvrk1f5ebOnKuWjtKpnef3ZR3t4EU0iDaF4bMPdDQ2hnm4FEUrsVhCh6m4FcddvuAkidf3gVg2hX2/VEFr4Vjiyrr4VSFHptwIqmv92UNlA3ArqQdDyBjLtuknf2D3bpVt1L+brdlDZyt0OKhvD20Flm3k7qPtB041Q2QrfqukD2OpbtRSTfrumbPlvNSpxEG4HdV/8iNtA3Q2aelD5h2qqu8Ypol97DtNd500lj++Sn3aU/D9UAqcHwwkAAA==</t>
  </si>
  <si>
    <t>B083552AB00C54639D3E0F403B85FDD7</t>
  </si>
  <si>
    <t>JChemExcelQ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sp/L9Iv9Tf9r6R/vqSP5csT/fq1fv0l//ci+0joWJ7Ms/qCwO2kX++/7V36h3B7t/fZR9v3x/fvH+zQ/w52Ht67d/DpQbq9Pz64f/Bwd+/B7u69e/sPP/003b43vnfvwcGDvU8//fRg92D//j5/tvPw04ef3rv/cOfT+5/uP3y4j1f3P31Ir3167wE+PaBmkQ52xw/29g92793fv7e/8+n+7r3ddHtnvH/v3t6nO9TgwYOd/U9pMnbGD+8dHBAmDw72Hzz8dO/+Xkqstvtw/+DT+/d3CdqD+w8e4s29B3s7n366u0cA93YJI/Tw6T79/unug50HD/f2Dmgat/cI3P0Hnx4A/b2DvXuf7uEzQuQh/bVHCO/uPpB2n+4/uL/z8P79e3v7D3fu76OLB5/u7u/s7d/fvbfz6Q6NjJC7t/fg/v7uQ0Jvj2hFH+2ODz4NPvq0/9G9/ot7kQ4e7KcgOY3g4c4ekfw+USvdHxOW9+4f3Nu9f2//07094s9+IyI3kZ56ONjff0CU3Y98cm+M2SAaPqSX7u0R+ffGDx48uP8Qs3HvU5qsh3iNmhJK93fu7R3c23t4L304piYBIBLmj9JrYiPC/+Hup/fBDTv45cEexkSTTgTc3yVMD/YBgT472Nu9R6xyQCB37h3cB7nv7e/t33t4H918evCQhg7W2sc71Ns+zdnDhw8wpQ/v7326v7MPNA/u09eRdjyjO3sH+zsPDqjNHrHgPs88sc3Bp6DQ7u79TzHLxKn3Hh48IMbd/fQejZk5de8BNXr44D49nz7Yv49WBHX/wT5h+vA+seE9tNrfpUFQpw8PiKUP9ogKe5jk/Yf39x/s0AjQjFj8/v0d4j6SoofEnfcOMHgi2g5kg/nrgGYaPI7ZOaD3wB07O/v9jz6l6dl/2GkV+egeEfzTg/t790kAd+5h5DTwB8TY+3v3Hn66e+8B5IcQ6na3f0Ak2z0gYYa47TLsg3sHND6aJuKH3QcPgBQNZPfTPUgnDfHe/RQUpGklFqZhH+zd/xScdrB3QCy0Q3N0b39/n9oQtxBDEWGJop/ygEkBHRDyAQ1JX9+1Cvvo8aRazrxfWYO/ys+bPVXiH6VVPctrMj14EU0iDaHqbcO9DQ1hEG4FEWbjVhBhXG4Fce+2DanrB7dqCIt2Kxxh924Fka3jrUCKEb0VULG1t4L6IGi5ESgb71s1ZRN/q5biCdwKU256u/lknyJsijbiwxx9W97TvzYDcbO9sT/2Xz60P3aAbtffg1s3FZfqdgQGArfjBXHQbteU/bhbNQUZb9mUoTq+ubHp7fiGhxVqAm/mvnu7eRRH9VYU56ZRPcE/VEnfNS45/dpz1+86Xz55fJeihKPk/wFk1DWTQQwAAA==</t>
  </si>
  <si>
    <t>99423EE8C9E7606CCDCE76640AE51B4C</t>
  </si>
  <si>
    <t>JChemExcelI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fpl+mLFD+H/vvS/uv9/6P03d5nH23vjB8+2P/03t7u/YOH+w8P9u/vpjvj3Yf373+6t3ewf+/T3Xv7DwgZardz8Om9ew+owc7DnZ2d/b2H6e740/0Hn97/lN7f3bt38HDnIN0bH+w+OLhPTT7dv3d/5+Defro/3tt7cP/+wcGnDz+9f+/+p/fuE+nvP9zdPdj/9NP9g4N792nQ98cHB7sEYe/+/f3dhwc7D9MH43sP79M7ew8f7H36Kf1Dn1AP9Mf+wf2Hnz68/+Be+il98uDTHeB/sHd/h/q/T2/d+5SgPNx5+ODBwT66PzigRgf7O0Bjjz65N763v0sf7B3s7NzbPbhPSD/cf7B/b+/hwwcP7+3sfXrwgIZ2/96DBwSThr9LIzo4AFke7O88fLh37+E+4Xpv994DkGV399NPd2hQuzv39/eJFgfpNtFl5/7ewX36/GBvn0ixRy8fgLb37+/sEW12aRzU6/7evfsPH366t3/vHtGKpprepMb3dqkhDXVn5yERnpo9AKSHQG3n/u7+AxrSvYdA7cG9Bwf37u09YLIT1ff2iSwPDz7dBWoPCDxRZveApnaPiPQpUYtIe+8e9Xhw7+Dezn76kJrsPdi5T98f7H5K0FKSGELqYO/BPZoCmvudex+l18QmRNZdGvX+Lk3X/sNd4kjCgWhAyNL07dC4d4HDzj4B3qM+aHJoXKA9cQZxE9Fs5wHx+z36gIb14NMHNCV79x/yYPZp5ogQ+xj6AxKGe+MH9/b3dx7Q30CXJ2hvj+i2TxOB1whFmiB6gXDaJ+Lt7u4+JGEh3ImJdmgC9+/vH3y6/xDTQzPgvShTtr8TvInZJsIe0PTfu0+TRHOxTx/RhBKb7+wSIxPr4D0a3KcPMJZ7YCZMDr24Axkhht/boR/3DtBu7+ABSdKnmMfdT/dI9HcJ/33m0b1PaYL2aJDEI8R6Dx7eJwb7dHcfs79H07p/f28Pk/hgd2eXWHUPrEpUp3+I8eiTT9Hn3g74gXqhoZEkoEsi3739+/doQuiT+we7aHb/wc49YtyDT0mU7x0QqfEqseHBQyBGPdyjeST+IhHHvN6noZHEPqB2JCGYSggI5hi8T33u7RBXQ65IJEkcSXk++JQwpr/3dw6IzUmXPr5rVePR40m1nHm/sq58lZ83e6ouP0qrepbXpNPxIppEGkKp2oZ7mxvu3woiFPStGkKN36ohlP2tGsIk3KohDMetRs3m5VYgxQrdCqgYq9tBZZt2K6gHQcuNQNlI3q4p29Jb9S8m93ZQ2TLfDiob8NtBZTt/O6gw9bebV/EabgX1ftDyJrLetik8k9sxizg2t2oKvtq7HQuIm3SrpmDsvduxgDhdt2oKydq7HQsYF67flH+otrxrnE76teeQ3nXeavL4LvnBR8n/AylLJMAjCwAA</t>
  </si>
  <si>
    <t>AED1895D3C13F5700457E58357C78014</t>
  </si>
  <si>
    <t>JChemExcel0y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4htXtI7R5Su4cgM9MZhN4BpXdA6h3QegfE3gG1d0DuHdB7BwTfwRsyNXhjd++jNC9zcMGb61VOTJV2//syfaG/4edr+hv/+Z+Hfw21esF/vf/PLsT+f93vu38TDpn/v49EWMqTeVZf0Jh30tv8t717Y5P3aPY+/90IstfAfrBr/vsofbf32Ufbe3vjezsHxA97D3b29nZ2SMC293bHuw8P9ncf7n66f+/+zgNi3O3dh+MHuwcH9OfePfriATE1Pru3f/Dw3sHDgwcPd/Z28NHB+NOdh7v7n1KTe3t79/HRg/Hu3sP7n+49ePDp7qf37u8C2qfjHeriwf6n1OvD/b1P8dn++P4+/bVzf+/h7r37eyRy+Gz3wc69h/v71Mv+fcKFPrs/3jvY2TnYu//w4YPdfZKm7d298acPMQp67dODT+8T72+TUrt/QOy8t7f/6cHugz2Scnz28D5JxsHewR7JwUOSlm1SjjTUe/d2dh98unePxkqo0Lg+3SXkdjD6gwekSLYPxjSYnfsPHu493Nt5uE/ySR99urf78P69h58Seg/3SO1sY6iE76cP793/9AH1vM/wd3c/PXiw8/DhvXt7n+6R5qI3Hz7cPaCXaAQHRL1PpdnO7v17NIj7n94/2CNFRWg8uEdTsLcDkNR8r/fmQ3R5nwZJr9w/+HTvIU0bY7FP6Dw82Lt3jyhKerGHPr14f/wpzcnB/U+JFge7jNenY2p+/8GDB/f3Hny68+AePqGZ3n9wjzrbub+zf0D6ent//JBaPyQS7X5KVCO1vH1vfAAS0gTdp2nfJ61HrXYP7u3RkPZJC9FzD60I5v3de8RUuzTJn4L64/sP7wEp+vchUzLd3hnvH+zv7e8Su+0CFqmuHRr2/Xv7xEb3dvgHfQLE9+4dEB/t7xzQFKe7431MNs3sPs3CAzIhe+P9B0Q2oj0x8z3CmbAnfr93j7689+k+4bpPNAAW9OIOTc99mqf9PSIGPnv46T1iMnpt7+Deg12062JGVow+o9m69/A+cSRJxx5ROAVHkVgQV4M/HuwT0XbHB5jKT4n9aGr3iZjpPQL2KUG+T1x2QIJGJm5/TLxKIHbBdkTOe/QJiHpA87m7f/8h/UPm+j6x5KdgQaBKyv9Tmu4HO7uYapK8h2RiyKQTjE8f0lzu7exDfh+MSdKoEY2XWjwkU0YcQYK7Txy3f4++IkNJ7Pbp3qfEMvvUACRKiSlJ6EkB0CR9+inN0z18RBN98ODBPXApmT2SlQf394l2NNck3tTTwX2SHZrhT+8TpcmwPyB5JUHa3bu3R9NPjEoYHxBxd4jhSYzv7fKoqMNPSU/sE7thLDTyg519YmIa1L1P6b09akN4EJ/tPoBOuk/m+R40wacHOw8/JZrQMGjCH4C+NIlExN37xOakyg5Iz5CQEYUPPt0hA7tDI6cx7B/cO/iUZGmHxJ4++5TEg/4j+hCKe+BgYrqde6QroGbog/sQSeIx0jl7n4LQ9BD/gKPoN9J6NK9Evb0HzChERuLnHWIHeo+YEJpgzDIKnUUcu7sLTUtys79D4B8SFYhDCDsSHOJPpjj1Skg9FJHb+XRn5x5z4n0WuH0oz/ufEpeRYnzAwkvv0bgIqQfC1vfRiPh0b+fT3fuEMZGHuIw0wwEpemJLEkBC4CHYkdrRrNGoiQV3idmJwXc+JUyJ7CQIJGU03Q+J0kR60lYPiE/370Mpk7jt8ITeJ61PQB/u7GDWD6gJzRFYafce8QPBJ8gPD+5DMvcAnsiV7oIi+8QnxD4PSEXSJ3uQYfry3n3i7wPis3T33vjhPpiWv9iBmMBSgIjQJKQEiTtSGBTiZOIfpiMZkJTsDhkdIjPxwgMRwvsg9wHm5AH9b4ecPnqP2A4SQRNPI4ZckBDQwIn6NDTyTaGZ9x8e3COyERV2iSeAOKlp0jEkAWQ54VLBBO0RLsRzhOj9A1JkhDlBJnVLUD4lk4DB7JKM3T8gjfspTd0BERWDoRdJ3mg6H+zs7APWPbQi0SSpJAv2kDTsfbKX1ON9Mis0bRgMSQzpAzKihCwJCHEdTQLpRlJs90hp3dsl+0mGnMjmk2Dv3pgG5n0CbbUD9fSApOnB/kfp9R6Ci739h4Q7oUPzTTxOjEPdks4hlUv2iLQEXoHdJx1K8ntAthhamiz1Q+hQEnWyDQ/AX6QAaYJI8HjUDwDrPizFPnHtA4jmDnomwSYRv0fqgXQ6f0JcSH+TfO7v4VXqj14mLHaJBmTBD4gNSWiJ+UhCCRBpUooTuojvQiWEqB+kMFbEIfjfDvTLLisboscObOoBWUCCTXJA5CapI1kk1ia/nxTvHvEYdUi4ExdDqcJi81hIIzxgVUfcDqNHDHWf2PYBTQokZYfswwFx2cNPacYPiHthEol0pLkewHD5pCSvo0fJhxjHjZRkApA1IZz3wYu7MH5QRjsMZJ9Yn9Q5Wex7PdKxPepOAjEdrBhpon1os96kEJHI8pGOJBVK9nF//1OwJekgovbOQ+J78tug63dgD0h7UMc7O7BXYPY9eGXksUB3kT4h5PdgHol7yUj1SMvkv0diS+qSqEQq8x7RcR/TSoDvEzqYEJIAUlwHZKnuMey97lzDXPbn+nbcTSp371OIzAOaSRCUPqHPSamRbSNl+gACR4MlX2b/3sMHpIFJ9d6HD0L6BnblUyITWWG89yl0EPuqe/B9adbImSK4JM2k1x7swL8hVU+KgXy9XaIa6AZX4yHcugfk2dHkETexUdmBE0zuFEzVHgWB1E4cXjKmNELisD1YGvqAGIjMyd4ufFp8RKZhF2MiB49Uxy47QjzX8Jmp+91dWBqaYWJhaBsykDCCyBgQH+wekLbfJxZio0UMiBndJ/2/c4BQgOhFnAjeJ61Nn++zO0mSAEcGupqUHoXXBO2A5pdaEcUxS/uAtk9wSFfv70IKPmVoJAkHCAXuqROAZnuIDkhDksgf3IONJQeARkl6eh+d7z7kkcMM0PhIBvfhELEnSh7UQxI/niwaHYZOdD6A5iY1Q6p2TxwAiovIkSImos9YMO+Tf0K0J3mA5iByw0fah/Im20gexj4CDTiZEGQCfZ9ijfuMxi7oB5wg22zDyWkiN499HOJyQQw4kXsIO0+OLYZJmo/4heCQqocDgEHtot2DHbhRZP8PeOR7sE5kpIgA1AnjTx99CotP1hma4x5PHgkaLCv4mwDuY1YoCoBDjLmiwdxDCEHaG6EU4YCp43CHlCExIxky8sxIlXDsQexDCoSmjlxRgD8g+SfSk2Emk3SPnWuynzCLUJ6YL45i7tNMc5BC00czz+HCHqttouQemAaYkidGDhXZOJqlHWaVByTe5DISMT4lbuGIiyweWWB6lfys+/CNSJuQQSQjQeqbxgdKkPuLnuh/5Gs/2JPo7SGrRBJAYknK3RB0iBoM9i5c5QPWwsQJEHAocAIHuSRjztz2KRQskQjiS/xNfR/AKae5Za+THP0d+P7k1rKLhNkgUd0Dq8P53JUZosmDJ038TL8Qd8A7RXRBRoSQBa4c4BKPEZORl0JzSK3JitF8EwmI0g/hKsChgwH/FMAJwM6nJOZ7UEggKU0ccTm0oJh7/H+bvIy9/XBebvMRpf3u2rzf0eNJtZx5v3Ii8FV+3uxpLvCjtKpneU0+BV5Ek0hDJPBu1RDZu9s2vH+rhsjb3aohkna3aoiM3a0aIl13q4ac07Mt925ouXsrmLuciL1dU87X3q4pp3Vv15Szv7drykni2zXlXPLtmnLK+VZk5aZurm5quucm6ya67t1utiQdfisEuOntZkuS67druo8c/O2acqr+9k1vN1uMwO3kStYHbkcsLBHcbrZkteF2TXlR4nZNee3idk15ieN2TfexEnK7prxgcrumvK5yK7py09vJFje9nR4EXfdvN1uy5nMrBLjp7WZLVpBu15QXmm7XdB/rUbdrystWt2vKq1u3a8qLYLcjFprebrZkSe1WTWXl7XZNeYHuVrhy09vNliz33a7pPlYFb9eUFw9vhyua3m62ZCnydk15xfJ2TXlh83a4ountZkuWSW/XlFdTb9eUF11vhSs3vd1syRLu7ZrySu/tmvKC8O1wRdPB2Qqb8vLyrRCQVehbNYXOumVTWde+3bCA6+0m9gGvkt+u6T4W02/XlNfcb9eUl+Zv15RX8G9FAW56O4cETQ9uN7Hg14PbzRYtjmUHtxNDyrRmB7ebLW56u9mCHji43WwdYFi3my1K3WUHt5stbnpLpYkpuJ0Y0vpS9vB2s/WQxPDh7WbrIRHr4e1mi1JB2cPbzRblb7OHt1Oa3NTN1o1NbzdbsLEPbzdblO7OHt5uth4iir7dbD3kOPp200Xt0Ph2E0bt0Ph26lAbu0m7RePbCdk+j+92Ukbt0Ph2M6eNo3PHPzQBdHdRlfl0Xeb06xcn83xRTLPydVuvpy0+eVpN14t82R4lj+9OF+VR8v8AMa2sUdMmAAA=</t>
  </si>
  <si>
    <t>722BF4CFC50A27C37A12A543E3375B09</t>
  </si>
  <si>
    <t>JChemExcellB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4MHH6V5mWOW3lyv8s8+epGe0H/yL/77Un8f+mn+kt/NT/O2/98L7w1p96X+5X/Wf8vBxm/4/2v+nf77KH23B97dP7h3/+HOvd3d+58e3D94uJtuE4ve3z3Yv3fvYO9gf2/303u7RD369NN7Bw8/3Tt4cPDp3t6nD3f2053x/Xv3Pr238/DTB/ce3v/0IU38zpheur9z/2Dvwf7+p/f2dz5N98Z79/d2H+4/vPdwf/fhwQ6xwd54//79+w8e7jy8v7d3/+F9mtF744MHD/c+PdjbebD78OE+8df98c7Dh/cfUO/UCfVA07g/3jnY+/T+HjrdIQAE6v74/g71s7v/YP/hAyB1f/xg5+GDvfvU5MHB/d2He/TW/gFB3Pn0wf6nuw8OaHofjHfvyTt7D+4ffEqMdDC+d/8e9fzpw4OHhNED+mD3/s69e/fv7xNpHh4Q/386frD36af7n+7vHezuf/qAuOvh+N6DnU/3d/YfPiSy7BKvPxzvfsp979/bP9h5eEA9Pdi/d58+u0fgHtwnsfp0TPjvEQkf3Cfy0FipzX365YDwvf9gZ5fGSm12dz8FwT6992DvwQG1uT9+uHtvlyDuEJV2H5BY2FE9vP9wn4i+S5/sHXy6Q3QiaDRvNBt7Y5qrexjmwe6nB59++ilIT/O0e39/d+/THcKaZMVS8CGmcn8fKD4k+t7b+XSXsHpAo7DE+PSA6L73cN9RkIZ/8HCHxO3BmKaJGj8katG00kgPxg8+3dk/wIzv790j4hN5ZAAPH+7ef7hL8FPSh/cOHtz/lLB9+CkN4+H9lFTgwe7u3v2d/d37uw8+PSA1srs3piERkvcf7N+/d0BA0917Y2Ja4iKatXv7hAmgP3jwgNA52CVGfbhDqsn292D3gHp8+KnDiVCnD0jVUXc0g9T1zsGnROqd+46OuwRql6bT0XHn3h7hc0D8sTsmRtjZ39vff0CiQ0OgT/bu3Se2371HQA4+BeuT0BAMkJboBNa6R8C20eEBuJzYgOYXxNumHu7t7e8QA9NM0SjTbeJ1gra7v7NDkniPuD3dJhkhpth7eLC/jxGRTt2+P+YpYB79lPB4iI9oGojN92jge3sHQINma4fQ/5QkkHjwHkPfZ7a5twfQ+xD7T4kzPn2wQwT7dGePCEHqf5smfm/nHnVGE3YfnJxuE9Pv7zzYoQl+8GBvH5y4TZNISNx7SDxFAyQSUQdEVsKTIEL093YgUvjsAU0OgfyU2OjhvQd49x6oce+ANMk+6QiakO3d/TGpGdIwew93IQf7APcpyEHMSGT9FMMHuAfjPRJJ0lTUfHdvj0R9e/cAo7j3gEZL9CFtgXeJDUiFPaCG+/d3SHiJ3LsYBfHr/fvE6PTdfX6V2IZkkF6n8e3s82B3CdYusfUB6Zz7QI4YlppQb/vEijukIPmzXbD4ARQODxmUI9JitPd3Hu6SigEeY6IDSdGDB/dI+B8ePMC075O2IHoCHNlJ+oDmjD4iTbADXfgQPESUfQBevU+8t7uLCd0b46994sqH4Jt7oC6p3vsH96kLklnCjZQp2tFXEHMSS4jFDrcj4SJO/xSaZIc4YC+locMAOGG6f9uPHlKn/kf7Kc3UgweBYH6UXpOlIf4i9UWi8JDk4ID46x5YjswLsS00ArEnOG5/DHmlWSVYuw9ptsD2NO1E1J3dnR1MrRn/PSLrHk02sTUmgbQoGYcHO/cOWFDJw4AlI2VJ6phUIvHIPdLUn8JqfXqfXqKZhYHZAxcSjekdEhbSRCRiJPQk85i4B2QESQ3tEBNAdUIX3yMGJnNEam8fqoLEhyTk4QOwwsN7cOFImTwkw0MoUB9Q1DBspD4OiBtJBe/C1pGU3AMP0YsHbCNJFzwgYuxCdZD8QcGQUaXfdomKpCxppugjYjHSBfu79O8DcCrPJrHHwQ5GTly/f19sNcnFHpiZJPz+AZvqvV3S7rskwmRiCIJwEVnmg13Sfnuf7hPDPVBF9BDzQQTceUgScg9zcg9CR/r6YI/GS/4TffTwPtk1mpKHRCFYfppMMnmkGR48hJhCkB+MyeYSIUghkHuwD+V0MCZN8AC+AhGVpHcfrWiiyTKTQJA+Zcn+FNrwHilXqJQ9COIDMBWNmqT9PhkHMhOk5+6B14mviceow0+ZU6h3ItneA7ggu+Sh0mfkA+ztwI3Ze0DmhHmMlBAxHc3HfXInINVjOAukbUnvk/w9FDmh7qk3sktkLh/AptMMkDEj0IT4/gHpyQNosPE+9ABBpM5Jsx2ALYha98h6kYQRicmCkv3+lCzwHql3Uk1ENBhZ4sn7oPA+bMZ9eAb375GIEEsQB0OX3xsTyYmfqUuC9JAapmz2CGmi/C4JFyF6b0zM9+n9T0lRk+Wh7miyHzK+B+AMmiMiIDE4UWv3PhyTHRKUB8xh5MYREoQD6ad7RHFqRh7YA0zEDlh/B1aNdB15TTQdpGLJgSB6kt4hAYZLs7ezt+dR5R7pXBrxHkuUUo+cC+otIDL5UJ8+IL7f84hHOuzep/CYyG6Q+iLBwBTBtTxwfE+8TNxK8YOVF5oqnkgnLjQOGgAN0ckrXEaSFRVW8o5IO3360Jdx8r1oVkhoHH33SAzug47wVlnbkayQLiCtc0Ct6B3MHZlB8gPuAdQDYhRSHKS8SQHDehA3QvjI/rPhh+6JEq83C0Y/EG8Th+FTq0SI+Un0iTrELffIKhO92YDBAXG6gN5Gn2Qwb4nX/TGAEzyS3k8hL5gZmjsiAWkf+upA5IYmihyEHXbLd1l2iSg0LdDpDyH7LM4HcBUI/gHs6KcQelJ95G08PIDXsA/yPYBLQX/BvFLDUzLmosJT/ge/EgeSziBdTcqDmIOafBp/kYLduzbaPXo8qZYz71cOf1/l582eRsAfpVU9y2uKffAimkQaImy9VUPErLdqiID1Vg0Rrd6qIULVWzVElH+rhsgF2IZ7mxvu7twKpCQWbteU8w+3a8ppiluhyk1vN0WS9LhdU86N3K4pp1Buhyua3m6qJCFzu6act7lVU0nv3ApXbnq72ZJk0e2ack7pdk33kXq6XVPOUN2uKSeybtV099YtJTN2O7Ki/3Be0UaSe0fflff0r2EgnIG7FWqSqLtVUxD8npvxjaNAyi+ccQ/vb99uFJI3vBVq94Da7XgB0nAv5IX3J7CkMW/Vn2Q7b9/0ljKNHGk4w+9PYEm+3qo/ydHevuntpB0afz+c4a8xin2kjG/Vn2SWb9UUuedwgr8GZpzAvlV3kue+XVNOh38gA0s+/Vb9Sdr9VmLPTW839ZLEv13TfeT6P3TAAHK7qWfUPnTuZVHidv3x2sXtmvISxweSQtZIbtWfLKXcau656e3mXhZmbtd0H+s3t2vKyzy3a8qrQbdryotGt2vKa0u3a4olpg9V32CGB7ebR1nqul1TXhG7VVMw7gM3j5u4A0rrwe3mUZbhbteUV+tu1RQK9sHtXDAsB94uDMKi4IdKo6wwfhNAbje/sop5+6a3mzRu6iZtY+yIptF4iH9o6H7XrHLTr70V8LtueTx5fJcW3o+S/wcQInQIlB8AAA==</t>
  </si>
  <si>
    <t>85345BDBCF3D078B3D5A8CF9E6A08D8B</t>
  </si>
  <si>
    <t>JChemExcelC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J+mX9J/8PAn+2/T3lx+l7/aIvvfH+w92dnY/3b+/e3Cwf5Du3hs/vL+/8+nOg50Hew/3D6hj+mj/3s7Bvfu7ezs7+/s7Dz9Nd/fGDz/dvXdv5/7+w4f3798/eJgSdff37997sH+wc//ep/c/pZHRhOzf3/t0f/9T+nDv03sP+KOHD+4fPNjZu3d/78EDIsvB+OG9Tz89OHi4c2//3qf7Ow/Sh2P6+YCAP7j/6d4BAaM2Ow93dh7u7e4SRrs7Dx+mn44PHuzvPfiUcHp478Eu9f9gfI8g7+zt0mgOHjzcoyb7O/vUxcP9PRrYpwe76f74gJ7dT3cfHuwRDrvpvfHBw093Dj7doUFRuwdoQrjff7jz6S7BefDwwQHxzb37B/f2dh58enBv/8EeDYvA3Lu/85AIRqjQ0O4RnHu7D3fvPaQB3N8hnHbTvfE9Gjih/ODh7qcP9h7cS3fG1JwIdP/e/v0HD+7t3NtNt3fGuwd7NIpP8c8u0eHe/XR7d/wp4Xdv796nD4jkD3cO9ujdewRrn5Dd3z+gwX16L90dH9z/9CENkCjz4ODBp4Tp3vhgn76isX66v3uws/PpHhB7sIfx3QeNH9x7CFJ++nDvPqEKiHuE/MGYqHH/U0Lq4UOi5EfpNfHFznjvU8KdxkJTeW/v4cOd+0B3h7B5QLS4R6gSj9zfA7r79z+lEdy/v79L/9ulCdwd7wK1hwe7NCG7n+49vI/RP3xAH9BA7z8gnqAp3BvTBIMOuwf79x4SU90b36dBP7x3/+HDvXtE/oNPMcqd/T2iGPHB7r1Pd3aZFnv7D3eJhLt79/ep+T4Qu3/vIb1CXd6jCd598Ck129+5f0B/Pjh4uLt/jyjDJCOe2acOHhDj0ov3xtT9/YeE/M79BwT8HiH1AMOiKdn5dP/eA/o/NSIOo/fv39+9v3Owf3+fAFHfu8R2NCJqu3sfs7tLhN8lPA8eHhCz3/90H6S5t3uPhku8cbBzb2eP4NNn9w/2AZqIQ6xLwwP6xPb39oiLacw0pB1mDZrSe0TFA2JDGtnBAYb08ICGuQ/WJBGhcdJnRNEDEpO9nV3izoN7O0CPWNkDR4OiP3xYIOwOgfn0gCT3IUnmfXAP8dc+sT4J/u4D0gAPaOR7+zs79zA99+gjYrF7YMS9PcgisdeDB/ukDO9abXj0eFItZ96vrB5f5efNnmrIj9KqnuU16R28iCaRhtCjtuHe5ob7t4IInXyrhtDct2oI/X4rHA+6ENFCzMnRd+Ut/WsTiIe3Qoptza1asjkKm74/XmLTbtXfwa1bipG8XVO2pbdryib3VhPGVjmE+jVIw6b9dqjt3r4pOwtDqH37lqixt3G7/tgpuVVT8V1uRWBxcW4HlT2h20FF09sxg/hVt2vK7tetmmLKb9mUiXXLpuz7fSg3gjaDfHNLIOp8vg/v8Q81B3eNZ02/9rzuu84lTx7fJWf/KPl/AFzLRNoIDAAA</t>
  </si>
  <si>
    <t>C7C13CFBF9FA66FB0D16A5A7118E202E</t>
  </si>
  <si>
    <t>JChemExcell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ud1/5Ufpu73PPtreG+88vP/gYHf/wYPd+wf39nfT3kd76fa98f7ew/1Pd+4/PHh48Om9Bw8+Tbd3xg8+3dvd2bt3//69ezv3dj7d7X92fy/dGd8nMA8+ffDpp/sPHzygz2If7Y4f3n+48+nBwR4BerBPr6f3xjsHDx5+evBg5/6nB/fvHXz6abo/vn//4f37Owd7n95/+OnO/j598nBnb4/6+nT/4ODgwacH9BpBpGf3YG/vwc7Bvfvp3vjezu6D+7uE4b1P6beH6I5G6mEAzHcfHuzv3SNY9wnipw8fHqTbu2MiwP2HD+7vHdz7dP/B3s49UOdTgHtIL+49uH/vwX1Q5wEhT3Cp04eEywETbPfTew8f7D2kLneIivcA7eH+/sHu/d0He58ePKS399EtffBw9/7ew52dB7sPCUT6kMbtD+nhR+k1zdSnY6I+wdy7R9R4wLTY9f8mJPa9v3d2I5/sjfd2wk92x/v3gk+EFDtEOCLOvV2iyENCQmb2IY37wd7uPeKJew8xs3sPDmhExBkPDsATe/zug/v7D/Y/fXDvYIfa3997gIETLGKbT4mYBIS4A2R8sLd/b+8hTfaDe59SL0xamrF9mn+aqf17+/sPmI4P9vf3HhBhd+knTWDks/6bxAfRHnqYHERQvt8fGWa5R4F71G6HhPyulfKjx5NqOfN+ZbF/lZ83eyr5H6VVPctrUk94EU0iDaEfbttw/1YNoWtu1RAa6VYNobdsw70NDaHdbgUROvBWEFlT3gqkKNRbARW9ezuorJ5vBfUgaLkRKOv72zVls3Cr/sV63A4qG5nbQWVbdDuobLJuB5Ut262gigG8HdRPg6aboD4Yask/VKrvGjtPv/Z8gLvOQUge3yXX4yj5fwBcVa78lggAAA==</t>
  </si>
  <si>
    <t>16C0F332BDD968D6BF7A8F455DCC05D2</t>
  </si>
  <si>
    <t>JChemExcelL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hP+70v9f/y/Lz9K3+2BPPfu3fv0wcPdvd2DvYOde/fup3vjTz99cO/+wd7+vU/vf7rz6cPIJ/vjnZ3dnXsP6O/9g/3dnf37RJ579/Yf7H66f/DgHkHbTz+ltw7uPaQXHu7u7+w+uJ8e0Ft7Ow/2H9zbefjpwd5u/4OHBOT+g/v3Du7vPXj46R6BpTn59NOH+/f2Hj7Ypw/2DtLdPXrr3u7uHr2zf3/vHnW1e28cjOJ+7JPIaz3Y/f4fjnd279//9OHB/sHDe58ePGSM7u0/3KO/H+w8+HT/4b3dlBiDfn76cA/DIcrQ7FCrAyIaDZto8um9ewcP0gfjg5393Yc7u/fuPdx7SET7KL2mKdj+dPzwXrr9YPzpw+BJtx+O9+75nxykaLvXadV9MdLqINrqFuDjL94OiQh4CNjOzc2IlQ46H90bHxwQs+3RdB1QT/cePMBnu7vdz/bHu/v79DFN+qef7t1/8BDQ7t/fefjg3gHx5z1iB5rUyGckpXetmB49nlTLmfcry+2r/LzZU9H9KK3qWV6TAOFFNIk0hIDftuH+rRpCWdyqIVTKrRpC8dyqIdSTbbi3ueHDW0FkVXerlqIRb9W7KM7bQWX9ejuorIZvB5W19e2g7gRNb6LV7SZUrMTtmrIxuV1Ttjm3a8qm6XZNP32/po4FvKb8Q2X1rjG/9GvPNN91djt5fJc8gqPk/wFAFvtOLQgAAA==</t>
  </si>
  <si>
    <t>60883F653F6177EB1802EE33C667DD5B</t>
  </si>
  <si>
    <t>JChemExceljQ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OP0rzM0c+b61VOaKf478v0Bf7/Ufpu77OPdsZ7Bw8Pdvd3Hhw8+HTvYOfevXR7Z7x78OnOg72dh3v3H+x/unv/XkpEuB80+7T/0V66N763c//Bzs7e/Z1d+ncP7x3sBY0epNu740/v73z68OHu3oNPP324e3/vo/SaMNnuobJPr+8+2D/Y3Xt4/9N793Yf3Nt7QH3sHOwA+P7+wad7u/u7n6b3xp/udT7qvfgw7cM/uJ92cdndJ9retcQ9ejypljPvV6b2q/y82VOCf5RW9SyviU3wIppEGmJabtUQk2cb7m1ueP9WEMEIt2q4e9uGe8xXXkO0EO48+q68pX8ZEPxDiXjXsDf92mP9u04uksd3SeKOkv8H8R3MV40DAAA=</t>
  </si>
  <si>
    <t>F2ABB6F74F47D5B46AB34E92DE271414</t>
  </si>
  <si>
    <t>JChemExcelTg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YRfepK+Tl+kJ+VH6bu9zz7a3hnfO9h/6D0HaeSj3fHDvc5H25HPPqVxUo/XBHhn/Omnnx7ce3j/052Hu/s7uw8eptu3+exgN400I+rRWO/awR49nlTLmfcrj/5Vft7sKQE+Sqt6ltc0S3gRTSINQaZbNSSI+7GGdz007pr5oV97c3fXTWzy+C6xzFHy/wB8+PVATgIAAA==</t>
  </si>
  <si>
    <t>18020367430F4DE4AFA4A84777687204</t>
  </si>
  <si>
    <t>JChemExcelWiA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zsfpXmZY4LeXK9ymu9U/vsyfRH8jH/6Jf3nvpX/8E33U/O3+SltDAz5v3kvfD/+adDbR+m7vc8+2tsZf7q38/DBw9293Yd7+w+IcvTRzsGDg4f3dvd3Htzbebif7u2O9x7s3d+/v7N/7/7DnX2atr298YPdBzu79/cO9u7v7HxKM00f3X/4cH9n94BaPNz9lCZ979744c7up58+2D24f+/THWIz+uTT/d2D/YOD/YeAfT/d2x8f7H1KMB7c39v99OAhze3e/TF1f//ew92De3ufPtwldqJW9z/99NODvf3dT3d3D4j5qNH9vZ2DTx/g04e7OzvciNrsUtf7ezv3793bZQwIyKef3icU7tFPxmB3b2+PxvuAxntPhvfw3oP7n+7sPdi/t39ADEaf3L93cLB77/6nu5/uPMB4d8YHD3YIQ8J7/+HBDnHZ7sPxvZ2D/XvUbO/+g4MDYqjdg/G9hw/2Hu482CH8iYj45D5RiYh2//49os1uuvvp+NMHRFyi1c7BDg0x3X0w3idcCMV9IvLDh8S5AERo01uE+QOiL3rbJZSILvv3dx8ePLjHnzz49AHee3B/lzA5AOz9gwcPHuxj8ui7h58C+A7IRD3t3tu5R9Kwuz9+SCB36NWd+9SIhHb3PjW6//DTXULp04f3QcqdMQGh0d97uPfp3i4pB6I3fXmPmjzc3/8UHaR7nxJfEPMQ8fcI93ug7v3xvf1Pd+8RJXcfEvX2lJj05b17hM8+YXEPrPLwwaeYkL39PZpxTNT+mGaWqE9tDx4+PBBe2cPU7T78dIeA3t9hHqNJIOR37u8+IGrt4pN7xBA0uzTwhzQWeovmcu+AcN3b38e8ADbxJf3v/v4uvXjAvX16sAs+2CHO2yVdR58Qp+7ufPrwU5piYoJPgTjhT+y7T+Jx8HBvh2lO3EZt9mga6H97mCnww/4+MQFx9H1SjyD5/Xv3ibwH9P79A2IfIvAB8fYemA7SQAqP5uoB2I7a3d+jkdznFx8+OCCp+5S4j3iaeWx/b49GdvCQ5pdY4h5m5lPICnX6AHJ6D69BwCCxNPcE+x6werhD46cRkhzuSXfE3jRSkundvXsPmFlIIu+R4N17wILOkIi3Ht6nlx4SLfmth/cggMQ6JA8PdwGZXyetQQy0uw/+fUiySWrgU3DmDg35AQAR/YmTSWg+RZf3mDd3SXYeEA89OKCpAFGIjAfEwDTje7vEnPiI5IsovvMptSRipbs0nTSUByQYNFE7TMw9ogC9BAnbvU/8RCjsgnv2SOb3oSJ2IQs70D2ksHag2naIKdOH4DqoIZq7g91PyQLR5NFgaZpIHz0gKf00JVoSysR0JI0gJ9qQtNGc7FJvpOjIBhFoMPsuTRZ1sEcMCwQ+Pdg5IByJTYgx94Dlwaf3ieMe0lSRSJKNokbEhDRrBOQe0XfnPoZ374A6O7j/8D7RmLQH5PP+pw8P7u0QX+1+SsrkHj66R0JGA4EsEhcxDlBZRPT9T2nu9zDp5InsEk32gRbRlNB6COG4j8naA7N8CqyIbR+CT3cJIjEaJoaUESkLkkTSXQdgxIfjnf2DTzHAHeLNT0W1kSwdMPFIxZIiExWxgyHv0/zsirYjqoJjD+7vPGS2gz54uEdASWQf7OxjRgnSfTAQqWoaIWmOj9JrMkX3wY6kWKhTwo1eSu+BEDR+UoKEB8kDifL4PpGKSPfwPjMmkZD0OcGhDon8ZHbuk6NCjtQDUjQk3TSpxGt4j5Q5tYdR2aPOH6QkRrsPiNl377N++5TmfntnfO9TemHv3i79JOVA/ETtyMztkdql90iDpNu744ODe8QqpAWI7e/DymzfG9NwiYQ7hNcukYTU3jbN2QPSt6TgDu6RFiHfiZqRTiS99BCQ7u2T+KTbeyQWmH4iKjXbIdeIeti/B12/S7SgKSEYhAVUysN7ZHHuEwgwP14l5oahhcoiEpCrQkOg7qDESYHsf0pE/xTwyJQDZZJggkseGL36AHMJSuwAx30ePY2XaL+zRwp8n9Qr8SIRZPc+lC1JHskXOYukzcnCk1EAj+7DABNyuwBD006ASLKICDQr+5BMAky90tRg5vaBOumOe3A3HlATmVz66z5pVxLQvfEe1BwEn3iFELvHWEE5khzsQVXu4jO8SYJHbEyMcQ+qh9AiVUADwbxAKx0oWmTq7j+ETiH9TPQh1UF4k4LZJwrt09cp2R0CQXJE7E3iSu4q2QZCkvThQ+ZhUnrktJDGILTJ9DwgBfYghczcJ7VGCoIUNhGfFAemiwQLAkkG4YAUBxlvEuBP9x58Cs9pn8SRVCjNzH2oRqLsLrXZg2ohxXIAL+hTAkx24lPCkFiCZoIsHCSdKErUIIYEiz8gOKR9SJHtkFW4DzcNkAnOPtlB6Ptd6B9iGRIHMp7EQnuE+R41IpzJQwIZ4ao9QCPSUPwK8QoJ26eEEbHKA1jzPZpMeHEwZ/BCSFYI7/twdB6QGJKjc++ADTNN+30gToJG0kd2g1QliS85aPdgju7DN9khbUSKjcj44D6pc/IGWE53iPbkKrFjsEOfENtAFsgckNrYJ7FJmckfPiQNSsjssFUCj8M3JQeJtPSnMLmkO0j5HqArTMO9e6fbEBr4XPep8114Xw8gqWDfBwc0NHDcfeLOPQgDOJxMDP0gnfAQrci60eAINXLJqCWA7cOUkKUnEpK12mVBpUkgNQympRfuEY23Wa+QQGPo+5BBVhnEnA/YphPf7RNvo1NoEBIjci93YWke4F3iWHZoaU7IGSZvDToJpIboE/+DmTB+4g0aOeHMWprcF0KYWBwq8R7ZxXswuGPYPpoSMow0C3ssu5B+UjJETJIy4lTAIsNCrA4LuQM7iTlgK0ZO0B47OdDEmCS4ljuExkM4R6TK9shjIv+BhonYIYXaIlkgFic2uH8Ah5R04AEYC248eX8kSvfhmJDZeIABkN8GTXFwH+46TRyJH7vW26yu4Vp+CrVNUwCZJ2NAHEpiCgtLc6wKkLyoh1DlpKPuQ+sSt8DZh4SD4qA+HBFy/WiWSGGQ7aA+SfFApqjHe7DG4Gii78FDTPIDKDE26SR3+/ukiXZJdSHMvmvj7KPHk2o5837lwPtVft7saez9UVrVs7ymBAFeRJNIQwTMt2qIaPlWDREq24Z7mxt+eiuICJJv1RAR8q0aIgtxKxyRh9i5FUhJadyuKWc+bteUEyS3a8p5lNs13bl9U87M3K4pJ3BuRVZuers5lXTQ7Zpy1uh2TTm5dDtc0fR2Eyupqts15YzW7Zpy4utWuHLT283W3u1bountJFXycrdvert5ZbLecl6R7LudwKLl7aZVMou3b3q7aeU05e1a7iObebumnPS8Fa9w09vNlaRQbweVM623g8oJ2VtBlbztraBKevdWUDEsr+lGqEDglvOKYd1uYiX9fLumnKW+1bAkmX07qJzzvh1UNL3dxEoG/VZQJdF+O6j3b91UUve3QgD86jXdCBW43o4HZM3gVghw09vxgKxA3K4pL1TcrimvZ9yuKS973K4pr47cjgJoeruJlbWW2zXlJZnbNeWVm1vhyk1vN1uyDnS7prxcdLumvKp0O1zR9HazJWtUt2oqS1m3a8orXrdrygtjt2rKuN6u6QNeartd032syN2Krtz0dhMr63u3a8rLgLdqCuG+ZVNZWLzdsLDGeDsekGXK2ze9HQ9ACg5uN7EQ7oPbTSxUxsHtJFZWWm/f9HYTC/16cLvZguE8uFliuemnsgrch8o/NC9w16zV06+9dfy7bpE/eXx3uiiPkv8H0Z3uI1ogAAA=</t>
  </si>
  <si>
    <t>7DBB864C352CC1CD1ED557CAF51972FA</t>
  </si>
  <si>
    <t>JChemExcelXw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j9K8zAH2zfUqJyzTk/RFin/p50fpu73PPtobf/rpg3v3D/b27316/9OdB2n3g537KeF4796nDx7u7u0e7B3s3Lufbu+P9z69t3Ow93B/b2/33s7Ovf3T7d1P0+3d8cHe7v79h5/uP3zw4P6n+w/w+YM+hD7QTw8+Sq/3QN379x56z8GDdH/88OH+w92H+zsHn+7vPNh9KH3tjB986rd8+JCQf7izf//Bg0/3dnYODj799FNBi2Du03f3dsLW98YH+8EnnxJh71rKHj2eVMuZ9yuT+lV+3uwptT9Kq3qW10RFvIgmkYaYE9twd0NDzNytIGJ+bwURXHAriLt+w00Qhan6DfmHkuquYVj6tcfMdx2nJ4/vkgwdJf8P5uoo0l8DAAA=</t>
  </si>
  <si>
    <t>A754C21F4EEA2D19312F940EB8ED9FEE</t>
  </si>
  <si>
    <t>JChemExcelm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Sfpl+oL+fcH/mv++9H7Hd1/yfy+yj4QW5ck8qy/o/Z30Nv/t0v+3d/G/3Y/Sd3uffbS9Mz74dH/n4ad7e/fv7dzfvf/gU/p2fO/ew4cHe/cefvrp/h59RJ/tjPfv7T94eG9352B3d2/30wOCsjc+eNBtd2987/79g08P7n/64CF9+fD+p2i3uxO06390/x66ePDg03s79/Ye7B/s7t+/9/B+/7MDfndnb2/34OH+/qe793eph3tA+f5+0G4P7+7sBJ/tHuzfT2kgnz68f7B38PDT+3t7Bwc7Dx7QZwcPDw4OPt3Zvfdg9/7Bg5179NHeg737u/TXvXsPHu7eO7if7o53Hzx4sLNz8GD34c7D+/sP0r3xg52He5/u339IUD799OAgpeHfI4Qe7uzt7u7e29+jJvv3dvb3Hz64t0egdnaJQe6NP93dBz5Ezh0CQGTbGz8EJjSkg4fU+6f3wcH7hM+D+w8Pdh/s7917kG7vjw/2dvZpvDv0Gr1/L304vrcXNPoovcak3h/f39tFjw/2HxC292iuPqUePr13/+GnO9TT7qeYqoPx3r29vf37Dw5oQh/u0AhjrSKw9mkAn97fv7d38OkezTPxNE37zoPgo33M070d/zOMgebz0+CzT4nSRN1PabA0qw/uEefcI0p/immjucMHe9RB95Pd/nv7B/tEx4P9h7v3H+7RJO3cJ8a+n+6PqaOd3Yd7NB0P7u/t7xNp79PfOzQBxBd7nxL73B/fIxm4t3v/PoHc2SeOuDd+SB8RM+x/+imx/ANMJM3vLmFHQB7cI/LfTz8dg9OJKQiB3QfEUOmD8cOH9z4lLgHPPaBuqA2x98H+vYODh3sH92m2QdGdffqIsLsHxtgFs+2Q5rlrVc/R40m1nHm/si56lZ83e6qOPkqrepbXpDPxIppEGkJp2YZ7mxvu3woiFOCtIEJN3gri7m0bQuveqiF0c4AjWrxu8zqvjt7IW/rXIAjo9lv1xRbgVgQRQ3EroGJPbgeVzc6toD68dUsGejt+EHN3O1TZKt4OKhvP20FlG3s7qGyKbwd1P2i6EeoDGPdbNRUf4FYIcNPbCfl9OBSxlvxDdchd4+rQrz036K7zkZLHd8n7Okr+H6XaWk2ZCQAA</t>
  </si>
  <si>
    <t>E429BD3242A73D2790C20E3A3E472CD3</t>
  </si>
  <si>
    <t>JChemExcel/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1P33In2dfkn/BZ99lL7b++yjvfGnnz64d/9gb//ep/c/3fn04CDtfvQwpeHdu/fpg4e7e7sHewc79/b30m367MHDe3t7Ozv3Du59unP/4MHpNiGDzx/uP7y3f3/3/u7uw4P7/GkPQO+T+/d6H+0dpNs7472dT+/t7Rw8ONh9sPvw0weE3cGDoNWnvReJNt0x7PeH1cNh78GDdPvT8af79x/s3f/03qf7nz7Y3T+QUe2PDw72Hx7s3ts5uHefqPQwNqy9+/c/Sq+JqNT8092H3sOAd+/7H32Kjx7u9T4KWz1A1yGsT6nZvTFhEzbbG9/bCZql2wfj/U/9j+7f6iOCBX7vAqPPHjzofkad7nbfvTfeOfA/ux9pdy8Cb58+o7EGFLlPMnLXCsnR40m1nHm/stS8ys+bPRWcj9KqnuU1sTVeRJNIQ4iXbbi7oSGE8FYQIaq3ggiBvhXEXb/hJojQD7dqSIM5uFVD6Jpb4XgAjXTrlru36lzU262Aiha8HVRWlreDyjr1dlBZ9d4O6m7QdCNUIBCdUv6h3H/XmBP6tWdq7jo7lDy+SxbuKPl/AMBEa3/9BgAA</t>
  </si>
  <si>
    <t>6EFC26177D7A3743CFB9BCB9ED78EFE5</t>
  </si>
  <si>
    <t>JChemExceleS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4htXtI7R5Su4cgM9MZhN4BpXdA6h3QegfE3gG1d0DuHdB7BwTfwRsyNXiDJ4dnh6dn9/5HaV7mYIo316uceCzt//dl+sL+7n7rfie/+X9/6f39pf7/xTf00+Hypf3b9Ohw+1J/+hjTWx+l7/Y++2h77/547+D+7sOd/YcP6P87NDnbe/fGD+/v3icSPbi/tweKbu/tjT/dfXBwb2/v/r17D+/t7OKzXXp1f/f+vd17u/c/3aep2d59SG/u7D/Y39l5+ODepw+J9bZ3D+jVTx883D84eEDwHxLht3cf0Kv3iPIPPv1052DngNhle/f++OH+w/17n366v793nyCj3T69e//BfeCxv7dPLemze/Tu3s6DA+rk/sNPHxDrxT/bJXgH9x4+3HtA8A8IHfpsh+DtP9gj/Am5HWDX++QhgSJWIpYiCux9Sly//WB88GB/lz69t3Nv/x71kG5/OiYEH+w+PHj46X0aMck2tfp0t/cRfXJw794DGtDu3kPi4u2D8e6nB3uE2f2HhOunwOrh+NMH+5/u7+1+ur97j9AQtHbv7xAV7t27v/+AKPUQzXb3dnY+Ba6fHhCR47h2P2IsaCLufbpLpCeyfkq6hdAnXAmPBw939+9/ev8h6Z7eZ0R/MMfOzg7NyUN67T4G3vuI3iR+2f/03t4+oUrf3d+LvHkQ/aj7IqnBbXDa3qf00d79hw9ozjGC7mcPIn3e63+2j06JUAcHB0QJogVTiNj2Ac3Rp/eISvv7+6QO+x/tp2RPCMwuEZOY5959mu3dlGzIAXHU7sN7JB+7pBt3xpjWHWJMEhaaTyLtzvjBw/vUIc3s3kPiXNJ+e+N793aJoMSeDx4e7JJO2xs/2L9HArHz6c79Bw8fkNa+N36w8wBNSKl9+vDePhkMMlr39h4e3CdO+nRv71NSYp+O7xFT3D/Y2YOwHpAC/XS8u79HsMCX9+4d0Jw9GD8gODSBxIr3D3ZJ0R+MHz4kZjjY23+4t7+zT2aFuIvY+eHO/YP7NBkkp5/io0/3wFsH9/d2Pt3/lBQyCRANgkhJfwHmg3spydnOp7sHJLRA6eEemR8SUeKY/XsH9AokmjQDfbTzgMhDgInRmR9IuIHxHtGEZJ5g7qW7n44f7u3dI3GB3D4glU2a4h5m61MCco8YhahJCoVY8d59Yl1C/SHNDVrdv3//UxJYUvMPiEQpaRMaOxH/gKhF4Mjw0Uf39zFpRJKHn4Lp8N5Dmk/SVTsPHtAEYtBEUNIbPMs0RNJChPpDALpHEkkKhyiGMX96QEqOetu7t0/68AE+IrjEkTR7wICmZndvTLxJFCHmo9knqSDyEbFpwg72ie+J+e6nD6EJHxKH3qMh0YA+pU/2d0jcDogOD2mCiO+IBjRdD9EZIUaqleb4IRQqlC4xIzEWccYDUrjErDv3HtwjfjigTx6SAtm/T+8SniRa++A56v8BZI1AEYMRMCLzLqFDUgga0bhIo+7RhJD6efCA/APii4c0LKIz1DoxApkDUt87xBf3Me+ko/bAYkTWT+/RFNHM3YduImoTjsTdD0ldfworS5QlXn9wn9TfHnBiCqGXewf793dAKmJ6ItHefeL3+2RY9ompyZOhj/ZJJIDXA0zTPSIREYa4Yo/01wMYCEzb/XtkNz6lJlAG5MjA8BzsEC/t0qQRyQ9Ssk6kigkZ0tw0GtKWezskCDsY6v4+sc8OwYZZI9Lvk3yQDSTTxv3vEYMTqZjjyGkhxEkgiJt3QBsAxXg/Pdi9R4JCE0KsjvGSrEPm7hEhSG/fJ7oRcR4QFxOnET0/xdTeV11E83Jvl4wU2Yf7RAGaMZqr+wSLRkvqg9CjVgR/l5jmHg12j+hKU05970I37cES3Cd1RhNL8HYJ750xvUEUuL+/TyxHuo5kh7QhaXEYtnusQu5TKxojzQlZ2X2iME0ofXQPMrN7j6h87wEBoDmg2SRNSbqUPQDSVIQEWfQdCCJRhwQL7ERCQmxAvHufRk5Gax+vkQNBOmwXAyIlTRT/FPy1cw+UJ33w4KP0mtyOvTHpZxoRiTmpMmiDvfEOD9d8Qmqk22i336jXptek24JY68Y2B4R6tw3JKoQj/OjTPo73+0je7725S28SbUg4iej7RJUdUisHbHTu7X96f5/EaIc4kKb6HtqRhSB1s0Mqks3/HuwhfK4HJBLkFh08AL+T8SPy75IK2qM5I3mCQdwnO0NMSlNPUkLacA8fkfzTDO6Rnnqo/h45bSSCuwSO/Ir77LSNaRLJ2O2SkSH2IenuDZWsKymZ/c3TuAdmvcV7CNCCT2DaPr3f+aj73r1+fz1a76FRD4Ob34vOEZlBoU0wcWi3T77jwwOyw6RkSZVFOr0NtSJv3YNCIAX8EPJHAcuncAz2aAo/hb/EzhqTj6b5/h4pdGiTB5BPCDwpI9iF+/dJlRFBCUXS72TU75NyO4Ad2SdfdQfOElkJGNdPx/ukDu+RKSQbS59D1T2EASYtQhYH/dJbxBMwNdBKe+xTkfYjo3VAZgE+Gn1In8CdJQtBPgaRiWI7cuXhKUEfEA9/CqOxS+qJrAiZQzh39A5UKGkdMCspbehHUsvUBbQkKRRyo0lBQlMS65ImI+NDSpTsI3ytPfhYPLIU/jrJwR6Z9X0i3kOMgpAld4WMA/nmZLZJGZPiJ0eaPGX4bnsY1wOoa/LEyUTcFyNKVojo8Sl8NLhzRFaaMMQhpMcfEBYHUAH0C0dP9+EbsaSQSqVuyGkhdXn/HhTMQ1hUCowe0nv34WiQLTr4dAfeFbmLe6TWwYEPiC5kxUg33zuAf7k3hgtHziS5GLAkMFDklJGHRP+DR3ZA1KFWeyA2+XdkIqEpPgXX7BMXgSwPiMZ4DWHQLsUhn5KVpPETF4szQm3uweBABOh1mk/yydh7fsASQNZ/FxEdWYuH4t6NWS5p2siLoo8JGNkVwnJvB+gTqjRZ1Ipm8ACBCHiMiA/vgqbr00+J4OQZwFLusonY4/CLCH1wQMbkALoMtptMEjkbcN4+5YgCdP4URCZept7vk4dMOo8o8fABeJ5eIMpSt+Qgk4UnZODHkTlEtwR9nyIu8uFJQomFqQMKtWj2aW7vc9QD9f4p0YVGSR+ip/tAmBwTGHWYejKzFHeQpB3AMyA//YDZDS44CSt57/BXyA0HYwMomUmaXOp6D/JJWhUEpK/JRSRv9ABOJSlp6JEdcrrhGyLWIK+J+JG8RXGzyOsgqCQ2hBFcCpoCCgnJxJIs7pLmIW+RpvThA4RUpDEewlu6T4p8FwwJZ+uAnX2KJyAv5G7DGcFHpAlofoipiT3I0wDOJCcQTRr9g13IDEkITTESAcCBpggYkRUi0dqFhYfgk7tCbE3exQ5F3YhrAZtw3oNMkX7cgwNNrEa/kYNJ8kKKhewLuVRETjJ0cHbA7nv4iIwXyR1Rg0j8kCEhVCRR3+V0AMkDsnzEaax3HsKRgoyScSR1DIWGeIlSdndtzu7o8aRazrxfOYn3Kj9v9jSP91Fa1bO8pmQjXkSTSEMk327VEJm3WzVE2u1WDZFzu1VDJNxu1RDZtls1RKrtVg05H3erlpKDs033bmp6u+mRZOvtmnJO9nZNOXV7u6ac4b3dsDgRfDuonC++XVNkOd1kbUSAs8+3gipJ6ltBlVz27aByyvtWUDEsr+lNU3Dbppxvv1VTScvfClduejtRlST/7ZryWsDtmoJYtxNYWVm43bDQ1PHATbjeux0PyHLGrRDgprebrXv7WBy5XVNeQ7ldU15quV1TXpG53bDQ9HazBVz3byexsgx0KwS46e1mSxaVbteU155u13QfS1S3a8orWbdrygtet6MAmt5OtmT57HZNeZXtVk1lMe5WuHLT283WfV7au11TXgG8XdN9LBTeDlc0vd1sybLj7Zry6uTtmh5gEfN2uB5grfNWUGVJ9HZNeeX0dk15gfVWuHLT282WLNferimv6t6uKS/+3g5XNL3dbMlSMje9sSmvON+qqSxM3wpXbnq72ZJl7ts15dXw2zXdx6L57XBF09vNlizB364pr9TfrukBFvRvh+sB1v1vBfWApuDgdrJFSd/s4HazBWN0y6YUgGYHtxND0PXgdhN7QLN1cDsxpAxAdnC7iT0AArecWAzrdhN7gNm6nRhSMi97eDv3kZvebmKhBx7ebrag3h7eTgxpkSd7eLvZegiotxNDbnq72YKJe3i72aLUYfbwdrMFI//wdrP1kMPz28mhtL3dfFE7NL7djFE7NL6dhGnj280aXLPdndsJGbVD49tNHLVD49vZO218u8mjdmh8Oy2KpVPKmdxu/nYlwXI7u4dlWvrnlhPISRYvy7IZ54Ow8WbIyMncMimDoGE3npXhH5rqu7uoyny6LnP69YuTeb4opln5uq3X0xafPK2m60W+bI+Sx3eni/Io+X8AxLYmYXkoAAA=</t>
  </si>
  <si>
    <t>D932CE4278D4C058628D3AD0BCCA043C</t>
  </si>
  <si>
    <t>JChemExcelx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fpixT/bvrvy0ibL/nfJ/VH6bu9zz7aGR8cPLj/YOfTh3t79/b27x/spds74093Dx48+PTT3b2Dhw8+3aEB0GcPHjx8cH9nf//Te3sPHxxQO2q292B35+H9+wf79x4e7D54mO6OP73vQ3v4aXpvvHvwcPfe/v4uNaW/98cP9uj7g909+uvTB/s0Yff2H+w82Lv/6c69Hfo1/XR88ODg03sE/OEugSJyPhg/OLh3sHf//qcPHuzs7hDxHox37z/Yv7+7e+/BvU/3CU0C8+nefRrL/u7B/sMHu/sPqeedvYPdT3fuYyj0+T7Q29u9t0OfYGAHO0B4n7rd+/TBvYf7n96nb/fTvTF1ukfo7e4cEEb7u4Qy9UMYPty9T29+uo9B7D3Y39knqA93dvYPaIbuje/dJ9QO9vb379/bfXDw4B5Gev/Th5/SRw/v7ezee7hLoHd39vf29nYe3Nt9uH/v04N0ew+w9/ce3v/0gEZEbdPte+P9faLrwacHDx8e3D8AEbcJ1sEOQT3Y3T3YvXfwcP9+uv0pvUrT8enDe0SC3YfENtsP6NWDXRrS/fv7nxJ996MfRV6MwT8YP9zde/Dg3s7Dnfuf4oOHY0zyp3v3HjzcebhP4+k22dlNSfgefurP1UfpNbEZjZPGRKQnih4Qte9/ep/HTjNIM7T3YIdovfNAWI8Yao9a7e5Ty/sHxGY7O0REmpE9+urg009pvtPt3TFN/ad71PHDnXsP7+3tHOBl4tZPwUzES9Tb/j18RnSlDvf293ZptvYfPCCA9x/SMD+l1+/zrN+jjx7c3wOrPCRkPj2g+cCbNG/ElsTQ93Z38O8DdEsTTnNy/wAY7x4A570xMel9ArV77/7u3r1PaWjUxX0iECFDvLWDkRG+B8xTNPaHhM8B+Izk6/7+g4d7JFNgeWIiEjwSMQL98CFx9QNq9BBgHn56fweSdf/+PWFZQughsdlDYk9iR0LhPrEeAX9IrLO/R7iCjYgChOreHs3/LlOXOIs+I3wOaCb2Pz0AoruQ6QefPtwlRgMn9ueA6RM2I9JH5urTaDsSuofBZxAxGoLfa7wRDfzevXukCnZp/NQPgX+4F7TiSb+3d3//3gHRcZ/khwgKjiHlfddq76PHk2o5835ldf4qP2/2VKN/lFb1LK/JDuFFNIk0hBq+VUNYh1s1hA25VcPd2zaESQoaooVYtaNvy1v61yAImLRb9QXDZxvubWgI83griGxEbwVSbO2tgIpJvhXUB0HLTUBh0m/HDOIJ3Kp7cRhuB5X9ittBZffjdlDZS7kd1HtB05todbv5F+/odv2j6e0YAC7W7WZVPLLbNWXH7XZN2b+71ajEDbwdVPYWbweVncrbQWXf83ZQ94OmG6E+gDd7q6bi9N6uKfvGt2oKYsWb8g81DXdNVEC/9iKGuy6cSB7fpUDlKPl/AOInSu3EDAAA</t>
  </si>
  <si>
    <t>6F53C2DBB99BB09C2F7C466976280096</t>
  </si>
  <si>
    <t>JChemExcel7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h18lOZljhG+uV7lRLBU/nuhP8P/8OmX9N8J/zSf4pPX9nPb9qP03d5nH20fjD/dub978HDv4OD+vZ393XT74fjeA/8T+ojm4+Fu2Kr/3oPxzqfhJ5+O9x6Gn+yPH9wPP7k3fniwsc3Owx6gnYNebzsPeiihVWcssVafRmHtjff3Q7R2x58GoB4e9FrtPNxPt3fGu/eCzx58mu6MP723f7C782B3d//Th/cf7uyme+PdTz+992B//97OvXufPri3c58+2j/49P79g/17+7sPPyX0d8e79/cOHjy8t7t379ODHeqLIO3sUINP9w52d+/tHdx/cP9ToHZv7/7e/t4BjYbo9OAAH+3s3N+5f3BAL967f7B3sEev3t/79P7O/sHB3s69XfzXp/7OvdisPRhTfwefHuB7Qm//U0zSw0+JI3ZoEA929mgc6fZ9gh8M/H4c/r3xXsBLJDy9diRMXXgkcz0+eNiHtv/go/QajE0giUL7+/TRw4f39h/uYbruP3h4/9P7e0TRT+/v02+Rz0C7vX2i3Ke7D3bv0cj2gHTvsweYioMHDx4SRjv7D3c+pZm93/+M5nB/j5CiF/bu7R58uk8ssscMfn939yHh9umnB/d7n/Reo69iH3Xfe3Av3ScMaNZphu8/fECt93qf9CDtHzzoY/Bp773btNmlT/b2Hx5gIh6CG0mwSF8Tl9J7+0Tee58+/PRB+ilY0fvkgNrs0yw83LlHSJFMkKKkuf7U/+RB+mD8gHC+9+DTvfsHD/bvHRzQJw/v3dshobr/8B71BC7sTtRubN7BNvfQYcAKu+ODnV6zkInAl93PwKl7JNZ792gsB8SNhCpx6v2DnU93aAiY8/uf3ut/1H9vH6L2cJcEmWR4Z//Bg093dslG3bVG6ujxpFrOvF/Zar3Kz5s9NVwfpVU9y2syt3gRTSINYW1u23D/Vg1hKm/VEAb1Vg1hdm/VEMb5Vg1hwm/VkA39rVqKP2Cb7m1qym7D7aCyd3E7qOyE3A4q+yq3g7oTNL2BqLvhhKKJOFlH35bX9K/h7th7ulV34mTdbhBoersJh7vWafr+oxCf73b9sWt4u6b3ek2/Bmrsgt6uv53bN92HU/uhqLFXfLv+2Hm+XdN7t27K3vgHDgJjuCWnsdN/K/7lprfTLdz0dvwkkcatoEpAcjuo+4hbbgeVw5vbQeUo6HZQ94KmG6ECgajF4B9qXO+a8JF+7YWWd13cmTy+SxHtUfL/AHoBDLztDgAA</t>
  </si>
  <si>
    <t>9E282F3CA4BB37DDEA7FBF177D934712</t>
  </si>
  <si>
    <t>JChemExcels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LgvzJ9QT++5D/w22v+1/w//Bf/UcuP0nd7n310MN7Z2dt5sP/g3s7DTw/2du6nn44//fTg3sP7n+483N3fIcTvj+/d23+w++n+wYN7u3u79x6k+/TS7s69B/c+vb9/sL/b/Xtnt/fOpz2wu+keffLg3v2DvX1679OdT+/t97u6H4Hdfe/TT6MI7O1/+nDv3v17NKrd+0T3/fGDBz7S98Z799zfOw8ffkqQH9y/T413H+7v7hO66Ove3v2D/YOdB58+JFAPd/boo4f39+i5v/Ng7+HOPs3g/nj/4N6Dg0/39j7dvf/g/qd7zHM7u4Tb/U/3H+7vPQSGezv7Dx8QJR48/PTewcEDDOPBvX0CvP+QSP9g/1N8tLP/YOfevb3dgwef0oj299Pd8QMM4ODepzv3P/303r0HaHXv4f79h3sP6L2dezsPqM3+wcP9nXv3d/buPdj7lPrfJonY3yME6P+EwP6Dh7v4jIZ0/97+p/s0EURd4tMdosGnNP5P93c/ffhw9+GDfTR7SNyw//D+DsHbPzg4uJdu7433Hxw83L23t3fv4OHezt5D+uze+B5IvXd/d29/j+biAFO8v/uAfn1ApNql2fkovSYWo5Y7Bzves38fEIn4/mdpv1m/1X3G78GD4LMH6fb++OHDBw/uHRD37BGeB7un2yR5vab7n0Z6uY/XP93rfkas+DD4rN+MiPDp+OG9zkcPxgf37u8SmQ6I2Dv7pAm2H473Hj482P30HlF7j+bjYfSjyIuk2e7v33+wwy0+paYH9NkuGPA+3npIUvKQZGR7d48YDrx+7969XUwmfXRvfH9v595D8MxD+v+nNIBdkgFijwPiXWKf3d0D+YxY697OwacP7h/Q7D484Hd3Hx7s79NnuzufPryH6d69Pz5gyTggAX2AiabPHoxJOmhW6JuH+8Rt9NHB+D71Csa4t3dwb39fPrsHIXhAg6OWe/eBMSj36e4OfXZ/h+hwn3uAgO2R5Nx7sA/B2t59OL5/AHJQ090DQmePP9vfe3DwgIjwgISN+iY+2YEwPSBxe0hCQRMnBCAJvvcAuoZk/OF9Uuh3rUY/ejypljPvV1bxr/LzZk+1/EdpVc/ymkwRXkSTSEOoZttwb0NDWIxbQYRduRVEWJ9bQYSNuhXEPb/hDTge3KohjfrhrRqy+bxVS7GytxoPN73dPIrNvh1UNu23g8oewO2gsqNwO6h7t28KqLebU/FQbteUHZnbDYv9nVtBFbfoVlDFe7odVHaybgUVw/Ka3gj1djwg3t3tmrITeLum7Cverim7lLdryp7n7Zru377pA/iyt2oqLu/tmrJnfKum4Kx70YnlH2oE7poQgH7thQd3XeyQPL5LUclR8v8AVSOQXrEMAAA=</t>
  </si>
  <si>
    <t>18EB6D41C5CBB0D6F99857995072DC23</t>
  </si>
  <si>
    <t>JChemExcelA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8d+X9P8X3v+/1H+//Ch9t/fZR3vj+w8e3v/0/t7De7uf3t+/v/tpukdDv/fpg4e7e7sHewc79/bSnfH9T/1Pdh/SRzsHDx483Ht4f2f/4c6nu/cIJSLIveDFT3sf3buXbh+Md+4d7Ow+/JQ+Odjd39k/3aZet3fHu/v3H9zf+fT+w4MHe58eHNynz+/3IOzvE4Kffvrg3v2Dvf17n97/dOfTh71PDg7S/fHODo3jAX2wf7C/u7Pfg3T/frq9M763v3t/d2eX3t/Zu/fg008/paHtHewffLq/R2O+t0/NDu6n9wjawcGnAETd7O9/lF4T8bbvjffo7YOHNJD793b2dw7S7f0xdXGw++m9vXuf7u0/JHR7H92jjrtvPiAK7I3v7Tz0noMHQPDBp/5nD3fR7uGne/TOvXv39+7t3Ht4wATcHd+/F7Q8SLsAH0Za7YPyNCEP7z3YeXB//9ODnfs7uzIj1PeDHe/ZBR0O9jsQt++PH+7dJ+rRyAgvGmK6/YBIvXcfg334gLjl0wf9VvvE+Hct5x89nlTLmfcri8Kr/LzZU2n4KK3qWV6TDONFNIk0hMzcqiEk61YNIX+3arh724YQ56AhWohGOPquvKV/DYKAOrhVX1AatuHehoZQLbeCyAroViBFT90K6Ke3bimK71b9A9NbM8NuyA3vPyWihW/V3Z7o6nh33452xz9UOu4ao0K/9gzOXWeNksd3yc4dJf8PDJk3nwMHAAA=</t>
  </si>
  <si>
    <t>935494DA71099AE5FEC882B227E8E122</t>
  </si>
  <si>
    <t>JChemExceld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cp/L/Sn+e9L+qT/2Zf8L/3+Ufpu77OPth+MHx4c7O/sfrrz6cGDe7sPH5xuE0bbu+P7e/sHe7sP792/d3Dv0917+/T5/ZRIde/epw8e7u7tHuwd7NzbO+h/9Gm6N77/4OH9T+/vPby3++n9/fu79Mnujt/oXnpvvLNzcPDpwT59cf9gf5+GuTe+d7C3//Dew4Odnb3dB7s7n1KrvYMHnx4Q0IP79/d2dx9+mu6PD3Yf7u1/+vDgwT798inN4P7+/U/3dvd3Hzy4f//hwz1qcn9/Z//e3u7ew729+/cP9jDLn356sPMpfU9N7xH9d8b3Pw3Qfkgf7Rw8ePBw7+H9nf2HOzTme/fT7Z3xvf3d+7tEoE8f7Ozde3Cfmu0d7B98ur9H79/bv3f/wQO0+nSPYNzfIaI9/JRef5hu05jv7x4cEJr3HnxKlN3FRw8eHNB7uw/2dx4SpvcegNJE950H9w5ohJ8+vL97nzol4tx/sPMAaBENaUz0GQ2K6EWDvL9Lk0VjB7h9epMIu7NLwyJiEgkJTaLn3v69T+9jSg+IGDs7ROMH9ME+qL1/v9vqQW8O73+UXu9ByoiO3kMse2987z6R5uDew3sH+w9pzMwWNP4Hnz70noN9YHdvx31Cnz3AwPZAlId7NNp7O/uEIAZGPR/sfnpv796nNP37oPr98cM9ogD+fEjz9SkN9gHhuHcfLR6CTz+lVgfEZ8Q6B5+CVwgh/ogotP9g/wA0f0DsjBdp/J/u0kd71PI+5uE+obv/gP78dJfQoBeABc0kkZAI8uDTnfsxxPb7+D/4tI/rvT6un/ZxfdDFda+P6ad9TOm1hzR7NFu7JD8PH+x/uodPiPEIJPHGfRIkkq5tUmrEGXt7xLj3HpB0kQa5Pz64d2+HUD548PDBHk2mSHp36h6CHe7fCz6CAN+Dyrtrdd7R40m1nHm/shJ8lZ83e6oHP0qrepbXn320hxfRJNLwnt8QPaDF6zav8yqdVstL0nKs3L94+vwj74OfzMo1qb59A1ne2NjN/q3wgd4O8Blq+Gm34c8O4rAgt0IcduZWiMMa3Qoi26xbgRTTdiugYgFvBfXBrVuKSb1V/zC2jhM2AmX7fKumt2/JQD+9XVP2C241KHEfbgeVvYzbQWVn5FZQxWe5HdRPg6YbcQUCt+MAcZZuhQA3vR0LQDndbl7FQbtd/2jq5nUjVHX3bgF1N2jpAeUfqqbvGjeWfu25uHed/5s8vkue9VHy/wA26jB4dQsAAA==</t>
  </si>
  <si>
    <t>BEBF87C9749F683AF2195E3E43DFD75B</t>
  </si>
  <si>
    <t>JChemExcelrQ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z2P0rzMsdA31yvcqJbepJ+mb5I8VP+e8GfyO+3/+ZL/u8kfS2/fZS+2/vso+3dh+P9+wc79z7d3z3Y//Q+YbC9ezDe3du/d//B3sNPP7334N7Dvd5n+/TJp+MHD3c+fXCw+2D/YOfhvfsH9Nl9Avbpw4cPd+7vPTzYvbeHdvv05r17uw8f3tvdvX9v7wA97I0fHDz8dH8HL+7d39t/SJ/t0rv3H366++nBg/2HD/aI9tvEGrt7e3sHe/c/vf/ppw93D3bT7QN69eDTnXv7+/cO9nd39x+k2w/ozf2HhN7e3s4u9XIv+tGnBIvGcH9vZ2f34P7OAxrVPsF6QJB3HhzQ0HZoSrbv0Yv3qIOH1OXew50dmpboZ3sEbWcPL+4/2Nl5SC+n2zsEjlocPNil/+89JJqmO+P7+w927+/QUB/ev0/tPk13xwcHOwd7D+/fw9u79w4+Te+N93b37+/g5U93d3cfEC/t04sHuwcPHjyggT7c2/n0PonCAX3y6adEub1PH+zt79xPH9CL9+/vf0oj2nl4f4/mpf/JwRiU2Lu/e+/hQ5qInYP0IQGicexTZw/o4/sp0X5v99P7B/fugQ4P6d/oR3tjGsLep3v3d+7v7zzYJ6nYvUeg7j3c3/1078HevfvESSnxwN7ug0+JNPvEHvf2Dwj8p/Ti7t7DhwcPiAy7NMh09wG9SNN8QDg92CXSEPiH9CKR4IAmlYh2/+F+ukfku084E2xiuvufAtU+EtG5iLDn3qfjnQ60W370YHz/of8RYUbzs+t/9OlH6TXJ086Y/qLp39uRf0lawBdEIuKKB/rvPTDt7ph+eh9+upd2X/50N/7uz1W7Hs40kbd9N9KOoO36H91nEbrVqz9X7b5plL8uF/R72Lt//xtuFhtrhAHize7vk1J7QJJNOnd/l4zIwf7B6TY0Br5Cg52DB5+SciCTQ5rw4T368tP4K2TJ71pTfvR4Ui1n3q9s21/l582emveP0qqe5TX5IHgRTSINYZNtw73NDfdvBREOxa0awu24VUM4J7dqCBfmVg3h6NyqIbtDt2opXtPtmrJzdSuqc1M3QRuhsqt2u6bs0d2uKTt+t8MVTW83UeJG3q4pe5u3a8pO6a2aiu96u6bs4t6uKXvCt2vKDvPtmrJffasp4Ka3Eyrx0m/XlJ352zVln/92uMLtv91sSQRxu6YcaNyuKccjt2vKYcvtmu4jurldUw6CbtcUFLjdbO1ySHWrpkD1dqIlsdntmnIIdysW4Ka3Mz/cNDoD/EPt4F0T/tKvvdD4roubk8d3KSI/Sv4fkX+0RK0PAAA=</t>
  </si>
  <si>
    <t>82FE34453363421669F0EB0D3C5A9568</t>
  </si>
  <si>
    <t>JChemExcelD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Sk43/fRn89iW1/1L/Oyn5n4/Sd3uffbS9P9799MGD/Qd79+8/2N37dOfTdHtvfHBvf+fTg9179w4O9vFxur07vr+zc+/g4c7u3s79T+/fu3+/3+5ev9nDdHuHOvj0wc5D+nBv7+D+zn0izi4+e/jpw717u/cfPrx/j3rdw5uf7h/cu39vf+/B/U/376f3AP/eHiF3n7D7dGdnD9P76QG1u//wwc7BvU/v7aef0nv0GWF58HCXhtL7oP/SpzHIkf4jWEZH0/vw4NODHin2+/S6/yDtkn93537/s3T7Psa0v/fpvQcP7hOE/f3+Rw+iH31KXd4noPsPH977lNC618fi00/7uO4cxOjRp2N/OmJk3BlTb96MkLBdE+vRJDw82N2j9vLs0bTs7vmf7KbdNjsPaFbuHwSNPk13xge7wUe7vVb0YrcVdaitiDr6HJhW7qN7G1r5sIgLHuztHjzwmxFh9x8Gn+3bdj5qH9Tu3njn3sC79rMIKg8+7Tf79F5vZKSKurS8v9uHdv+gj0ikA2KHKL57Y+LzEN9Ys8hnhmfML/53ZClIjd+1evzo8aRazrxfWbG/ys+bPdXtH6VVPctrskh4EU0iDaGQb9VwvwsRLcTIHH1X3tK/NoG4f6u+YI2G+vr27fqCNbtVX7B5t2oIy3irhmw/bcu9DS3FzN4KqFjj20Flo307qGzbbwX1YdByI1B2Fm7XlH2KW/X/IGj59ZhC3JfbYcZezq0w46a3Y437t24p3tWtmooTditUxVe7FdT9W7cU5+/2/d+Oi8SVvB1UNA15YyOtbskBmIFQNXg8dkuVBwbfu+WM34OffLum7E7fqukBnO73Exv+oYblroku6Nde5HHXhSXJ47sU8Bwl/w8aaJEFDA0AAA==</t>
  </si>
  <si>
    <t>52B13378B4EAD9BA133D6A91E7BC6CBB</t>
  </si>
  <si>
    <t>JChemExcelO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hP+z/wc+K/8KH2399lH25+O7+/fu/fpzs6DvU/v7z7ce5Bu3x/v7Tz89GDn4f2dg717Bw/30u1744MH1Gb3YO/g4cP7B/c/3U+39+jNvXt7ew92Hux++uBgbzfd3qU3Dz7dv0ct7t17+ODg/sN0Z7y7d3/n3v379z7dPzjY2394cC8lOj58sL9/b2//4OE9fHqfPtq5v//g092d3Z1P9/d271OrvfHuwb1PP92hNnvU98Od++m98af37+/t39vZ3d+lbvcfPKCPHj588HDvPv23/+m9/Qf02sGnD3f2qL+HB/vU7UNqsn9v99P76IA+fHCANp9+6n/yKfW/e+/g4P4uASUMdw4OCPEHD6nRAXB4uHPvUwK0vTP+9MH9/d17ewf7e3s7e9QtxnywQ/Cph08P7h3sERb4bJ9evbfzcO/gPuGwQ6gTb+0Q6XaJxPeI0Pc/pZ7Tg/HuAx/5j9LrPfDs7v2HB0SIhw/v3d/Z29+jl2kavE92QbCv0Wg33mjv/oN7ezRpNMc0jQ9Anwf3Dx7s4vP7exgT0fBg59NdmtGDh58+vL+/z5NBX+7dv//p3u7uzh7N7j6BOiCe+fTTT4lc+3tEMpDxYOfe/s7Op3s7u0S7PZohkBFTuP/w/h5R4VMm4sNPiXj7RH7irU+pG/DX7sN79/Yf7n66v//gPuF7D3z46UOas4PdfZBxB4Td3h/v7lOfu7uE3t7Bg4fcjBhpl6i9Q7Oye//B/QfogmBgELs0nUT/A+52d5+GfY8A0Jw/ePAAVNwhib1rRfbo8aRazrxfWYZf5efNnorxR2lVz/Ka5g0vokmkIYT9Vg2hEm7VEIrjVg2hXm7VEEroVg2hqmzDvQ0NodBuBZHV3q1Aina8FVBRoreC+iBouREoa+XbNWXlfbumrONv15RNwa1GJRbjdlDZsNwOKtuf20FlM3U7qPeDpjfwabwl/1BRvWssMf3as9J3nQlPHt8l5+Ao+X8A7s5tzDgIAAA=</t>
  </si>
  <si>
    <t>B378C76CCE65067B595DB44E4A524BE8</t>
  </si>
  <si>
    <t>JChemExcel+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0O//dl95OP0nd7n330YLy3c3/n3u7ezv7+/d39B7vpwXjn04d79x/u39vfebi/d7CbPhjfe/jg/s7e7s7O7sGDh7sP76efjvd39h882EWD/YNPD+6l++MDenY/3X14sHf/gODcGx88/HTn4NMdAkPt6JP98b1P799/uPPpLkF68PDBAdH73v2De3s7DwjC/oM9Guin44MH+3sPPr2/u/fw3gPqDvg83Nl5uLdLQA52dx5+mj4kOPsP7t3beXD/072D+/f2qc3De59+enDwcOfePn23cz+leb53/8HOzr0H++ifOkhpah88eHBv9+D+wf4DwuceAdr9lMB8enB/f/cB9XCAUdy7v/Pw/i73tE/juje+t/tw9x6R49P7O4TWbro3vrdHfTzcI1J8+mDvwb10Z0zN9+/fI1TuUw9EznR7Z7x7sEcD+RT/7BJ69+5TO6Yp0WV//4Ao+em9dHd8cP/Th0RLGuSDgwefElH2xgf79BWR9dP93YOdnU/3Pkqvaar2xzRBnz54eO/h/f1P9x8Sh9wb7+3TEA/27z28t0tDesDgiHz79+4/fLBzf//evT1qRPjcf/jp3v0dIsju3t4+9fDg0537QG7n0/17Dz4FJKI2dXv//u79nYP9+/sEiZhil6bgwcMDarp7H8PcJax27+8RoQ8Odvbu04s7xAj3Dw7uHTw4IIwIlZ19jP0+MNrZf0hfHOxiFmnoe4Qz6L9H6D/kke/s7xHFaAp37326swfCPiRGIYY5eEgk4k/4A5pl+vFwbwejuUfDo/f39+nlg/vpNhClqb5Ps3Swc29nb+8ePqM5xtAOdh8QHx0IUvs7D+7RJD8kpiQIOzxJRPB7RP4D4kfC9+AAA3p4QMjvg0eJl3Z3QVXq3nuV8KI//Pc+pTY79AqxEuG+R5N9QCrgrtUBR48n1XLm/cpK4VV+3uypXvgorepZXpM2w4toEml4r9sQLUTvHH1X3tK/NoHYv1Vf0FG3aghNZhvubWj4oAvx/bGHvrwVUtCqt2p477YNWUl/IPqi5W/VnRiDWzW9d+uWYl2GBvHtWw6CzZMFcu+m/j50zmH5HIN9TZzZjN6ORmxtb9eUjfKteF9s962giom/XVP2BG7XVB2GWzR9cOuWe2CFkFY3zg3/UE1417hS9GvPzbrrfLDk8V3y7o6S/wd4ccYO+QkAAA==</t>
  </si>
  <si>
    <t>5D70F02AD10E9DF324D74F21415A0C43</t>
  </si>
  <si>
    <t>JChemExcelo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Bp/78v9f/d383f+ttH6bu9zz46GO/s3Lt3sHfw4NOdXfrnfvpgvH//072dBw/uPzh4cHBw72H66fj+/v7O7u7uvZ39gwe7BwdE0Z3de/ceHDx8sLv/YH//4NN0f3zv4f7D/Xv79x4e3Kd/H1Cbezv09c7Opw/29u/vPNwlOAf3Hjx4sLe39+ne/QcPHu6gs4cHBzs7+58+ONjbe7hzcD99OL63++Ae/UH43Nu9T1Q4QJtP7+/fOzjY29+7f/9eStNNjR4+2Pv0wc7u/v7Dh/dTmuH9Tw/2du7v7u3t7n5KxKJGB/sPH3z68P7Dnf2H9/doILt74093H3y6e7BDI91/sPNgDx893N8hTO/dP3i4e3Bvj7r79P5DGsTB7qf37tOnu4TSg4cHn6LR/sN79OJDQnv34d6nD7nZwc79ewcY26cEZ3d/997Dh7v3PwVFPj04eLCzTzA+3dvf2ad5vzfevX9AvRKQT4ma9x4+SPfGRJwDovX+w73dh58ePEh3xg9o2Pv3CO29nU8fHjzYT7d3qD8ayL2de0T+/U8/Jfql27vjB3sP7h/cp692Hz649+kBvbq/t7tPVHq4v3/vU5pV4rfdMY19d3f/U5qVfaLwvX3qk3C9t7u7R3TYp5F/eo8wo9ceEAV39/aJRDQP+yRUu7sHe/TWDrHHvb2P0mviF3oXQ//00x28/OA+UX5MDLC/S9jv0ATde0h8TmQmYj54sLOzc59Yij8hNO8/uEe4HNy/TwSiSaQOHtIIdx4Sd+3uEso8TppzoscuTfTew70DGgCJ9r2DHRrQvXvEJp8SRbghkf7hffr4/s59IrsQaY9QIvQ/vb/z6R4x6wPqA3xEfHKwj7n4lMa1N8ZcE1t8SrxM7EUiR5qGGISodUAzTo3vfQpg9+jFg/ufPtilMeyTLPCbRMJPiWBA7WCPULtPhCfQhNn+PZIhDJTYmQe4f0DtaFLugetJROgdmmOS5ntj+niPeGTvwe7eQ5oYojVJBQHaJ5I9OPj0U57c+/sg9P0Hu5/SqGl2eMJ3iTUw3SwL9x8AT/Axfb9DDEKzsPeAPwQvkkwR5iSgpFnoE5Jz8BC1IIbfBZ/tE4ke3iPpuA8u3t/DCHd9YBgOCYsHiUSWSE+ASBoIW/qbJIxa3SMhfLBDEr1LMrOLQZM+Ib3ygDj1PvV8QKrzrtWdR48n1XLm/crK9FV+3hCHQZmS6q3qWV6TFfhIWogaPvru47veX/JHHMS9AMRQQ2jtWzWEbr9VQ1iAWzWEnbhVw73bNoTZ+UDCwWzdqi82brdquXfrlmItb9eUjertmrLtvVXTh72WHs2+fTsKcne34yluejuuYtKEfPX+kytehwWyt6k/NA2ZabAp+zC3agpvJmSF96evuEq36k48qts1ZcfrVqQR/+x2UNmNux1UNL2d4hCn8HZQ2Xe8FdT7vZbvz2BMxdt1Jx7tB/a3Lx7x+8DgH2p57hqXn37thQN3XayQPL5LUchR8v8AukWkDKEMAAA=</t>
  </si>
  <si>
    <t>F2DF3F551AFB7F01AFC79EF595303E52</t>
  </si>
  <si>
    <t>JChemExcelf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af+/Lwc+k/8/S08+St/tffbRvfHB/Z2HDw92Hty7v7e3t0P43B/vPXx47+Dg/v39e7v39vYfpp+O7z/Y39l7eH93Z//TnU8PPr2fPhg/OHh4sH9/d/fBzs7+/Yf304fjezv3D3Z2Dj7dvf9w//6n+/TJwd7Dnb1P9/cPqOXew09TUH1//+HB3u7De/vU4acH6e7e+N69Bw929+7d33nwYP/+DrUCUvc+/fRg5yH92N9/QB/tjw/2P71Hb97fe7Bz7wGRa/fT8b1P6a17Dx8+2Ht479ODA7S6t3dv98Hep5/eR4cH9wGexra3++nDPcLs3g7RmpA42CWcPn3wKaFAfe+nxC1ofW93Z/fg4b17Bzv3CPkHD+7TiIgGnx7c23mwmx6M9+4T2g8/PXiw8/DeLpGA+vl09yF1RC1p2ES5B3sP9u/tEQL3d+7fI8D7RKa9vXsH9Nrezt7Bpw+pDWF9n0B+urdL/6f5vEdwP32we+/h/YOHnxI1P32QEk12d+8T6IPdTz8lmuxhCh4Synv4bP8BIcFIPyAa3btP7+1QJzsHGNrew929T2lWPt17cG9n/x4IsLe/RyN5eO/+A5qZnXsfpdc08dt7YyLt/d2DHZq8nR0CfpBu3xvvfkr0IKJ/+uA+jft+Ss3uURe79/d3H+zuHBxQj2i2tw8iPHi4v7+7e+9gF80ePnjw6f7u3g5RlhDeS7d3x0SZPZrVvXufPrz3kKhBH+3RkGj6acqJ/MRs9CIxwv0dYi+aXxrEvU/x2S7hdo9ov/+A0NvfR5f3CIP7D+7t3b//YOfTe/fw0Q79RijdI2bbp+HSm0Tvh8TDDw6oyac0ABKZ7fvjnU93iQPuPfx07+BgZ38Prx4c3DsgLqX53btHXPAAr9IgHxKLENPtPySG5Fc/3aGviXKE6w79g48OHlBvBI8k4cEuySq9+Sm139nZe3CfJplojk8I80+JFvs7uyAwv0fdP/h0h/ok5iQO2yYGIm7bJxb6dIe4e5/7gxTS1O8Si+yBZJ/Sewfg+N2DXRrFATEwfbZzQMwECoGTpRnG/OD+PjgIzM9d3ru3t3dA8kZ8Q5js8UdEZZozEktizE9Jf921Cuzo8aRazrxfWaO9ys8b4hdoNNJ/VT3La1LFH0kL0YVH33581/tL/oiDuBeAGGq4323oQf/u7fqC6r1VX1DQHzguKPhb9QUzcKuGMBa24d6GhmxSbgVSLM+tgHLTvdtBZTt2O6hs7m4F9eDWLcV+3qrp/Vu3FIN8u6Zst2/XlM37rZru37ql+Au3arp365bigHygAIoHcyvO4Ka34zfxh27VFKTZC7no/UeB+d0LueZrAGHH7QOVDDh9L+S0GzHhH6rQ7xp3ln7tubp3nR+cPL5LHvZR8v8Av0QIJ30LAAA=</t>
  </si>
  <si>
    <t>EB19B2EC5C54404C34F78E9EF020B772</t>
  </si>
  <si>
    <t>JChemExcelU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b5IT3r/fRn960v+Df9++VH6bu+zj7bvje/t7D/49MHOw529nXv7hMX27vjhg92dgwcPPz249+D+vYN7e+n2zvjTew/2dw4O9j+9v//g3v6D+/12hGm0XeQz+ujhp3sPdvYe3N872Pn04NP93kcP7vXfPNiPY3cLjO/v7PW6ONhLd8fU+e6n93Yf7u8+fPDw/oP03niPGnz6YPcewfn0wf2De/TRg72H+w8Odu/v379/sIf39sYP7j28f3B/7979T/d3d3YfPCBQe3t7Dw929x5+urOzt7d7wEjsPbz36d7ep/v3Pr33Kb17LyV223+wc3/3/v29nZ39vXsP91Pi0N17hPqn9x4e7O1S0/RgfLBzb/f+A0Lk3sGn94iyD8b7nwY43O81otHs0Uc0kH3C6eDBzv693XR3n2A/IGpSo08fghixViQiH6XXxA/3xp/uPSTEduid++jxPg314L7/0f202+g+DWFMJPTf+5Rg3t8PWu2CHg8f7jx4+JCmYXf//r2d+59i8h586n+2TywIrgw+o4nfH+88CN6NN+uBIz66P/501//s0xi+e+P9hwcPdw72D3b27j+gLx/QR3v3dvdJMg4+/fQ+ffOQBvXgQOZy59P9nfv3d5i/iRXu7e8/eLj74NM9YpmH+Gx3j2B8ep8Y4v79T6mbGHx68+D+jvfsMdP3P8Rn+w+95yDSDiz4cC9oti/Ngs/uY2p6r2733qWpOSCBCehGWu+uVXtHjyfVcub9ynrwVX7e7Kkq/Cit6llek77Gi2gSaQiFeduG+7dqCOV7q4ZQ0bdqCEVuG+5taAh1fyuIMAq3gsim41YgxcLcCuinQctNQNH97eYRtux2Eynm73ZN2Urerikb09s1ZZt7u6Zsmm/X9N77NXXzv5Hr2R+4XVN2G27XlL2LW/EKN73dbDGut5stcWluhwCaRmeLf6gCumt8NPq157/ddc5d8vguuY1Hyf8D1tNKMFIKAAA=</t>
  </si>
  <si>
    <t>6A9FE948EC59EF9749579740934FFC9F</t>
  </si>
  <si>
    <t>JChemExcelV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Yv0JPZf6f1hmnxJ//G/H6Xv9j77aPv++P7+/b2HD/Z3dvcO9h8ePEy398d7u7uf7h7sPXi4f//Th/fv9T+6n27vjQ8ePHh47+Hu/Qef7h083D3YT7d3Cdj+3qc7O/fuH+zsHBzc2023d+jVHfrz4e69hw+oC2qd7o539+7tPDzY23lwcP/+7sGDh+nemAA/ePDg3t7DTw/u7dHA740fPNyhD/fv797f3d27Tx1EPuq996APfR8zvre/e+/+/Qf37t17uPfwXh+vg51P+wPYiw3q08jLewf9bmOI7O6NH+yGmBAv7j7wP6JWO+P9nfCjg/HBpze/d2+8f9BpdX+8Eww9hsNH6TV4YYfwpek8eLj/4N6nB/t7xBIY6gHm2H34KeZ+/173s97L9z+Nv/y1G+7u7N4enXtjQt/77HatdmnO9ne5r/t7n6L5w/vEYrsH/kcPHoAR9zof7Y9JeryPDnqNDj7tgXpI/dEcfPrgIQ2VmIh47EHsI1Jn/P/tge9ocHt7O/v7n+7sP9y7v3Nv997p9i7zc9h8/4BU1l2rs44eT6rlzPuVldir/LzZUz32UVrVs7wm7YsX0STSENrutg33b9UQmvNWDaFfb9UQWvhWDaGrbcO9DQ2h0W8FkfX+rUCKebgVULEit4L6IGi5ESj6v91UwmCFc4kmYhyPvi2v6V/D3bH1u9UYxEjeCjOxpbeDyib3dlDZMt8O6n7QdKNAsJ0PoHqEO7kdGcVRuF1/7E/cahTc9HbSyqO4nbyKE3M7BO6Lr9OHyj9Ua901bhr92nPh7jr/Lnl8lzzHo+T/AQnF0fRVCgAA</t>
  </si>
  <si>
    <t>E06727872F37D7459E6003A3D4033327</t>
  </si>
  <si>
    <t>JChemExceli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Y/+90P+flB+l7/Y++2h7d3x/d/f+zr2dnf0H9w729/fS3ke76fbOePfBg4O9ewcHew93d/Z3Pt096H+4v997995Dgrc3Pti/v3uwt7v36f1PP91/cL//0afp7nj3/v2D+/cJ3MPdB5/eow72xvsHD+/f27/36c6DfWr26VCrnd0H+7v7uzt79+/v3N95QK0e7vmt9h6kO+N7B8FHe8B/5+EOofrw3t7+7sMHBw/2drsd7B18mn46/vRTH40HH6XXRLl9gvjw3r39nYPdT/d2HuymGJP/AT7ZeeB/co/QuH/P/0TQ2Lu38+mn9x/uHtx78HDv4MF+r9nOfhfWzsP7/Tfvf9rv4f4DTMqDB347IiTNwKcPeKA7nz7cefjpQ5q7/fEuTeLB3t7+Hk3f3r3d/kd7/Rc/7Q18HwPYIc6+a1n76PGkWs68X5nXX+XnzZ6y+0dpVc/ymoQUL6JJpCGEwjbc29AQonMriBCwW0GEGN4KIoT1VhD3/IY34Hhwq4bQEEFDtBBtc/RteUv/2gRid+dWnYkiutVIRV/dDiqrtdtBZe13O6g7t24KoI4jvJb8Qzn4rtHs9GtP6991JiF5fJeMzVHy/wD9KwX/iAYAAA==</t>
  </si>
  <si>
    <t>B29136793BF295557794EDB7245B2595</t>
  </si>
  <si>
    <t>JChemExcel0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894L//ZJ/ftn/+6P03d5nH23vjx8e3H+wv/dgb3f//t7Bzt7pNsGn0d679+mDh7t7uwf04b10b/zppw/u3T/Y27/36f1Pdz79tP/Jp+n+eGdnd+feA/pg/2B/d2e398k9IuW9e/sPdj/dP3hwj6DfO+gBOuj1vreXbt8b3/v0YP/e/s7OvYf7D/YPDqJ49j/ae5hu3x9Tj7sPHu58ev/e/b0HD3b53e1Pxwf3Dh4+uHdwb/fThzsPP92XjzsA9vc+7cE82Othvd8da7/FvY/Sa5D83njnYMd7aE6398b3dv3Pdu5jyDsPHvpPSrP16W7nIyLogf/JAwzs4V7nowfjT4P3Pu1/9OB+/82DfrODfpeExc74wYMAfxnTpw93ib0w1ffvER10zu7f819+AF66txN8tN/76OBe78WHu71WTCLq/cHOg3s0WzufPnhwD71+SoJ310re0eNJtZx5v7IovsrPG5oeiCIJblXP8pp0yEfSQoT46NuP73p/yR9xEPcCEEMNIfO3agjNcKuG0B+3aggtYxvubW54cCuI0Fi3ash67VZ9o2U4GRsIdMuWmN+9W7UUpXu7pqybb9eUVfiths9NbzedYhBu15Ttxu0QQNPbTSoTK9qUf6i03TVGkn7tGdC7zromj++S3T5K/h/ojMWs0wcAAA==</t>
  </si>
  <si>
    <t>E34D0E345E33C414DD025D085F841166</t>
  </si>
  <si>
    <t>JChemExcelZ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fpl+mLFD/Nf2f82Zf08wX/Jp+Ebb40/32Uvtv77KPt3fHuvXuf7j3Yu3/v/v17B/cIwf5ne+n23nj/0wf3dj6994A+2T349NN76c54b2dn5z79cbD3YH9vZ//hp73P7u+nu+P79+7Rqw8f7uzu7O31P9jtg/p050EPjb2H+5HPHvRRux/5iF69Nz7Y2Xl4cH//4YM99L3zaWRUD/ojOLif7o0PPn2wv7uzu7v78N7O3oNPP419tE9v7u4cPNyj0d1nqvVG2nvtfnowpp6Dtx6OH+zuP/j0gEZ4/+DTe/sPUuLonf2D/f0H+w/o5X2aknR3j97b29379P7Dh3v7BPphunuPXrx/sHP/wd7uzoOd/fvU6j69+JBePdjfO3hIPw7S3U/HmNJP7z38dP8BvY4JeUAvfnqwf2+HKHV///6n6e7D8c79nft7e3s7B9TNfZrZ2HsR6BEcupg++Ci9Jta7P6Ye9h+6J703fvip/8nBHn20+9D/6MG93kc08DHQ9j/ZGR8c3L+/Y5/ddHuHGu37jXbBTYSP/9kDbee9urMn0Pxm+9LlfYVwPwKdRYZIdV9/dnrp9RxptgeefXCv06z70YFBxhstBIrlY//TXfl3j3Ek3jEf0L8Pdu732t3b77f7dBdyHbbbv/f1293vo3cfsnLwsPvm7phm2n/zoNfsHiuFsNmnn5LuvmuV99HjSbWceb+yNn+Vnzd7qtA/Sqt6ltdkhvAimkQaQgvbhnubG+7fCiJMyK0awtDcqmuYo1tBhNG6FUSYtltBZAN4K5D3g5abYIpFvVVTdH+7eRTzfCtMuent5hK2/XaTCU/AzeZGTNlxuF1T9i9uNyg0vd2cwiG53UyJP3O7puz23K4pe0e3a8pO1O2asq91u6bskt2uKXtut2vKDt7tmj6AHxg0RZvXLfzUo2/Le/rXxlHcC8XIe+27twRyH57ohwLZF1f2fYDwD9Xed43fTr/2fPq7zuFPHt+lUOIo+X8A5YdOJWYMAAA=</t>
  </si>
  <si>
    <t>3BF82DBBB9F67DB8CBA66B8F5AF621F6</t>
  </si>
  <si>
    <t>JChemExcelm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PKfy/SL/U3/a/k/9GnL/T7E23xWlt8yf+9yD4ScpYn86y+IIg76df9b3uX/iHivdv77KPtnfG9hw93dvZ29z69/+mDew/v79L34wcPdnfv7+0+uHew+2D/gCi0vTfe2d3b+XR3b//hwwcP9+/tp9v3xvfv3duljx/u7z+8/3D//oN0e3+8d29vb//TTz/d33m4f3B/D8129+/d29nb29vd+fTB/U8/7Tfbv59u36dOd3bvfbq7/+DT3U8PDg7S7U/H+58+3DvYvb/7YG/3/oODB2j16b2d+/ce7O/c23u49+n+HmDt4LcHD3cfEoT7Dx+gy3sP793f2bt/f2f3we6nD/Hm7vjg/v1Pd+/toNOHn96/fx8dfLpDPe3sfbp7f39n5969lOjxcO/eLiGw8+lDosD9HX713h6gEHb7u9xsZ3z/0/39nQPAobHtEh6740/p1/v36NP7n+7sPXywl9LIHwYf3et/1H+vB5z626dGDx4e7Ozv3/v0/v4BUf8+NbpHSD0g1IjM+8SN/Uafjh/u0C80v7s0Ufein5Dw3bt3QETZpZnd26MZ2ydxJXTuY+IfPvx0l16iadrbvfdwjyabqLOfkrzuHIRwSMI/Sq/BUvtEroNdIuqnDx7sHTw8+BQT8in9dv/BHoi4s3NAckMctbtDk/Zg7z5N+r37n2LiaJI+fUDf7z54sH9/l1DCq3v3Hu7ePyB2If6gWbiHKQ974HnbB78BPGFJBHnIn9HMfLrz4P6D+wfE2zvEZzS/xEkHxFYPP/10j8Cle2NqvL+/+5C4iZAlIPQROHB///5D+kmIkMCMH1B74vF9ou7+/t69T/HR7qc7Dx8Qhx3s7ewd3DtgydkBDvvE3XtEFdIj9NnO7gGxAyF8/4DIcP8hvbr/KXHjHhGXsD8geUKz/d0H9+8Txjs0g7ufPtjHAGic1AfRZgcY3XsY+QwstLdLs7NDQydaEPPu9j+6R4O6B97df7D/6Q5NGc0seO/gwd4DEh5CmMTqPjibOvdf3EOXYKqHhP3Bvfv7+IbR2AWg/QdE2/29nZ0HAEcieI+IQc3u75DQfwp+v79L0O6TmEOYwF007Hv7xKE7n0JEH1Kb/Qf0zoP7u/f2HhBtSekSM6XbD8YkBD4fkXq/a/X70eNJtZx5v7LCf5WfN3uq8z9Kq3qW12Sp8CKaRBrCMtiGexsawn7cCiKszK0gwhbdCuLebRtS1w9u1RAG8FY4wkzeCiIb01uBFJt7K6C7bJpvBfVB0HIjULb1t2oK63+7SYfv4GZ9Y/fsXtxqTNz0dhPKjkrYFG3EOTr6trynf20GcrvpFqfoA/sTr+p2/R3cuqn4abciMCNwO1YQr+92Tdk5vFVTJuPtmjLU26kBbno7vuFhOVXQmcfv3nIe2fu9HcUP4CTHUOMfqs7vGl+ffu3FAXddkJA8vkvhx1Hy/wDNDvuZmgwAAA==</t>
  </si>
  <si>
    <t>68CF43E02FCA72027D5F24CF4D0D7DAF</t>
  </si>
  <si>
    <t>JChemExcelw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QvUvyL/77U/w/8V36Uvtv77KPtB+P9T+/tPNj99P7De7sPHx7sp9ufjnf3Ht57uHf/3oP9h7sP9x+m2/vjBw/vP9i9t797/9NP7z0kFHsf0Yv3CNbezr19evvg3v2DBwexz9LtPYJPv9/ffbC3s0ON9tLtHQK2/+mDT3fu7+w+eHiw8+mDdGd8/97DnR3Gbf9gb+/gYf+jB+nu+ODB3qcHe7sP7+0/+HTv0/0H6b3xvYOHewef7t67t7t7f+fTe/jo4e79hw8f7N4nJGik9/fTvfHDvU93d/b37mGM9/Y+JVD7Ow/v7+zsPby/d7Bzf+/+p9ThwcHeA4L2YP/+/YOHIMXe+N5DIs69vd393YcPHjy813uP5mZ3/PDep3u7u/d2P6XPd+4TAvv05S4Bvf/p/s7B/sNP0/3x/v7eg52DXYa9S7PaxXLvQXow/nTPb7T3UXqNWdshxiR67RA1Htzboe93mIgHB8GH99N+w30eKM3t3sOdh0SChw93Dz6lUe0+7Hx0a3C3a/iw3+1u/NXdMdFp54Da7d+79wA0A8sQYfZ271Mjmuf9+7tgrAeYmX3iogc0yw8ePMBn9zHl9x8+IH689+nOp3hz59P9ezRP+/eIIe7tHICLPt0jcj64h/naI9HaHT/Y3yOW2n3w4NODe/v7u5iLXQL+kDC69+lDkgMChTkMUd0b7z14sLOzQ3N68PDBfTDowd7DgwckOwcHxJcPd8FCO6QN7lp1cPR4Ui1n3q+sH17l582eqoiP0qqe5TXpMbyIJpGGUCS3agh1c6uGUEq3akgQP71VQyi4WzWEGrxVQyjLWzVklWpb7t3QcvdWMEU/364pq/HbNWVtf7umbBRu15Rtx+2a7r5f09tNqRit2zVl23a7pmwCb9VULOXtmrJBvVVTDCvelH+oWN81HgH92vMW7jpXInl8l5yUo+T/AR21vqDACAAA</t>
  </si>
  <si>
    <t>4A1A0DB45FC59014144341A9DB27A8FE</t>
  </si>
  <si>
    <t>JChemExcelz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12//uy94n89yL98qP03d5nH+2N7z+8d7C3f3Bv596n9+49vH8/vTfe+/T+/YO93U/39z59+OD+g3R/vHf/4N7u3j36bOfg4cNPiVAPHtC3Bzuffrr78ODhpwfpp+O9hw/2H9779P69/f2HD9IH44Nd/Hbv4cHOvYefPthND8bUfPcBdXH/3oODhzsHKU3Gvb293Xv39x4S0IMD/uRg//496uXgwd7uw0+JFLt743v0c/fTT+/tHuw8vH9wP304Pri/9+m9nQd7Dw8I+oN9gn3v3qefUv/0xcOd/Z196v/e/r2H+/sHe9Tj7u6n9wln/I6Oqe3u7sN9+uTezv6DT+/tU0e7O/uf7tLYHxAaOw8e3N+9v7ezf0ADIQpRPw/3djGsT+8f7OyluzTWg3sEldruPdwlQtBHDwijh4T67s7e7t6DvZTGtkPj2CE4RJSHOw8P0u2d8cPdh/c//XTv4b0HO/cOHtx7mG7vjXf37xMRdqnXB9TyAYDtP3xIf+0TrAdEj4c00dc0Wdv3xtT0wcEDQhqE3N25l27vjw/uHdwnfO/ff/AQ/6bUjKZlb+/hp5/uP6RJ+vRTfPSQSP3wYO/+/sF9+m2fPqPh04wQpe/d/3R/f4/ISB99en+XpvzeHkHb+fTeHuDvP9jfv3d//97+g537D/f5owf79+8TmQkMoNIoPh3vEh893L+/c39/7969/QN8tE/90zQRVYh0Ow/SbZqUB7vERMQQe5i5A3y0u7Ozu/+AMCHaESNtH4z3aOifPiTe2yOaPsAnOzuf7u/QHD24t0OtdwGcWHRnd+dT4lViyU/v4aO9g08JP5D7YO9T0ObBGDx779P93XsHB0Su+2h179MHxAO7B/t7+4T7faYgffuQ2nxK00rTgo9oiu4RMXcI/M79A6bW3h5NDs0d9XbwgKYJg75/sPvgwc5DwpgQfgA6QwLu0zQCWQJJ2uTxXasLjh5PquXM+5WVw6v8vKHphXIgVVLVs7wmrfaRtBC1cvTtx3e9v+SPOIh7AYihhtBCt2oIXXWrhtBotuHehobQe7eCCO14q4bQobdqyJr2VkiiZTgZQy1Fbd8K6KdBy41A2Q7crimbi9s1Zatyu6b3u/Pusd93b8eMYsBu1d3erVuKRfxAMRGTerv+2PLequnerVuKKf9A8oovcKv+xGWwTe/dhFrIeTfSl3+oVrtr3CP6tec63XV+VfL4LnlsR8n/A9Ukef/NCQAA</t>
  </si>
  <si>
    <t>AB7E8AFF4EF9AB6BCE4DE9B066F9D61A</t>
  </si>
  <si>
    <t>JChemExcelk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lf++pP/M77H/3LfP6L8v7Wf6/4/Sd3s0E7vj3ft7n+7s7u/fv3fvwf6nD1L6aO/Tew/29u9/enCws7fzYC99OH548HDn4N6nu3uf3t//lFCjWdndoS8/fUAf7j7cu3eA9/YP7j98sHOwe//Bvd29g3vpwfhg7/79T+8/ePDw4QMiyMH44b1PCerDnXv79z7d33lAkOnng3v3dh7c/3Tv4P69T6nNzsOdnYd7BHX/YHfn4cP00/HBg/29B5/e3917eI/APEwfjO89fHB/Z49Q2D148HCPmuzv7D94QK/sHewffHqwm+6PD+jZ/XT3IaFw8AAf3Pv0/v2HO4Tuzs6Dhw8OiHfu3T+4RwP89ODe/oM9mjR66d79nYf3d9Hxp/s0gnvje7sPd+89JHTv7xAGu+ne+N4eof5w78HD3U8f7D24l+6MqTmR7/69fRrpvR2axW0iz8Ee4fwp/tmlUdNUbu+OPyVs7u3dI6rd3yWC7tG79wjW/gH1tn9AQ/n0Xro7Prj/6UMaDtHhwcGDTwnTvfHBPn1FI/t0f/dgZ+fTPSD2YO/gU/RLFH2wT20ePLxPqFJLovmDB/TR/njv/j5N6f7Bg/v7NLsYDvW0g9d2HhKxiCxE7k/pBRog8MCk0dTuE0vQi/s0/cQJzBI0UpofenH3wb2DXf4ILEOwdwiD+5/io53xw729Xeqf6LdLw9lHq4f02wOat/v79/d3ifl374337xEv0Wzu7OxTp5+i1T0iJkE7ONjbuXfv4UfpNfHmwXh3f4e4gyiAUdx7QNNMCBBNAZ0Y4NN9msMHNPP37h0c3Kex0kcYNIGluaMJ3bl//wCkuk9T9nDn4QH4cI9pt7+ztwcuI1KCUkTznf09mj8a4+49Egeemb39h7sPwMrE8w+J6WlW7997eI8m++EB9bi7++BTara/c/+A/nxwQCMF9XkCiV/370EYiPD71CExxf2Hn+7d37n/gIDfw2x9unMfDEIjvPeA/k+vUU+7xOAPHtJgHuzeB2ft0qSTgJLIQBYx4m20u3f/ATEQscI9Gsc9fHb/YB+AaGpISGgwQJYEjKgAyf2UBrDDbEnEvEfMdUAiQOM4OMAASLjv7e5DLEgYaVT0GbHtAQnkHikGmvd7OyAR8YsHjoZAf/iwaCLHxB87nx7cPyA6E8uDc2mm9knsHuzQwCDx2yAGCcn+HpGDpmoPkEhod/dAsn0SaELqHikKmvWH9+/v3t85IM6hT/b2d3aIvpiAB/ssFKQ0IG27+JDYaI9eenj/HkhGovWAeoRoPiRyAjZRjJjgIU/iffD/HnHFLlQTyEfsTRNNWnCHaPcpf0T6j1jtPnEt/Y9kA5jTjNMcfbpHLL1LWoKMxl1rNY4eT6rlzPuVzcir/LzZU0vyUVrVs7wmrYsX0STSEOr/Vg1hlW7VELbLNtzb3PDTW0F80G2IFmJNj74tb+lfm0Ac3KovWNtbNYRBDlt6eHz3dliJUb9Vdw9u3VK8hNs1ZWfidk3Z57hdU3ZNbtd05/ZN2dn5QDYQb+l2/bFTdbum7HvdiufFRbsVVPHkbgWVm95uysUvvB1Udh9vBRUUuG3T/Vs3Fd/1Q2UMTu8H8w0wCfnmawABPUOO+hrDgWb/UL3zAP7/B8KQAOJWjMRNb8eeEo7crilHLbdruo/g5na4omnULPEPtbd3TYhHv/bCv7suNkwe36Wo8yj5fwCm7G0tkQ4AAA==</t>
  </si>
  <si>
    <t>E049742CFAA301B9E44B6ED8DD9EAF12</t>
  </si>
  <si>
    <t>JChemExcel3x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jC/Y/SvMxBpTfXq5yInrr/vqT/5Ofmv2/zn7Q1/9dPPkrf7X320YPxpzu7nx7s7R0c7Hz68P6D++nBeHdv/+HOg4MH9+/t7dzbuZ8+GO/e29t98ODB7oOHB7s7n+7TJ5/ev7+/c4++3btHn+6nD8e7D3bv3X+4s//wgNp+ej8lTtn9dH/n4OHezoPdT3d3CNDDMT749N6nuw8f7u7sPfg0JXb59GBnZ3//4f3dB/d3Hj54kO7ujT99sPfgwf3dnYf0HwFLd/fHuwcHD+7tHNy/R813D+gjYrWD3X2Cu0v/e0ikp0af3j/Yu3d/f+/eg08PPn14kO7eG+/u7+09ePjpg4e7NCCaXIK+S53R//Z2D+493D84AKKf3iPU79EI94DIp4D+KWFDgzwg8Bgf+iOk7j18+PDewf0Hezv03qf00c7+g53d+7u7Dz/d32es7j8kIPv3PyXY9x8QBxJaOwe7RN6D3Yf37t9/QMxBaO0cHBDsTz/dI+Lf3+GPPt0lFPcJgT0aPrEZ6LD7cIfI/HD3IY1BxkNv7Xx6b4/mY+c+DR2tdvbpjwf7NF+793f2QdL7u9zdzs7ep/v3gCkJ7c4eAd69f//TB/v3CPrD8Q7odp/A0th3CPjD8f179wjUfWB2/4CYnyDRdBJZaJ5pdg527hFzED6fPiSqHuztf3r/4S6xws7e/oN79z89uPfpfRpQ+un4PiiyQ+Tb37lP00ZN9h/SwHb27t+j4RMZqc3DB9T9/qeffkpf3Xt4jzTH/n0iBHEL4b1Pk5buj/c/pXEePPiUqEkjukefPCTc7u/fo792qe/7n6b3xg8+ffjg3gHB3aNJ2XmQ7lFnzEgHD4mPgRZ99JC4dJ/maPfe7qfUPt2l/mlWaUz7O/hiH6/tEDFomDQnIDC1odZEGmJPDIMmnT6iqbxHfPnpwcGnD3buk0LYJtIe7O9/uk/Tsn9wfwe8l+6M9wmlT0mGdkgSHlADGh8xJk0QDYn4h4QIqNPsPtilGSK+PdgjLqAB3qOB0kO0JU5/SPTeJ05+sLNPbHiwf49Eb5dkj37uEanuPzj4dF/E4wFx4H1iwZ2H93YeYg5oJj59QIMmMuzdvw/6frr76R4RlyaTZO/hvY/SaxL/gzHhu/Ppwf09Yh30QGxwAP59iEETMg+ZoXZo/g9IlIl4kDFw3T7NMkn8AzDep/fwyYO93T2SD2KwXfpxjxmR5naXiUB8ROwDRnx4n6bqPlTNwd59hk5y/JBkgXiBqC+a41NCi/6kvwnXB/zRwx3SAMS6NBr6+YAQxfh2aYj7JDCfQnHtHdzb2duBhII/DuiTHdCFWO8eemUtRfR4sL9Hgk86aA9NCEGiPZH44CG4GNpu5/6nUFDE9cTqIN196B4i3x6R/dNdsCbkEQS+B7G9R5O5c4+6/JTISKCIDsRQRFga6adE3v17INE9ml2ScMKE5PSAGPZTcAWB3d/Zube395DYlqXnU0JjFxxLk0tzSQZ1d48IDeVL8Og38OH+LmbtgMZAzYmMxIf7Ow9ILRwQnT7d/5S07qf48NMHpOVobKTEaFi7YM2HNFAiHAnLPdJS6IAkwb158OAhIc/a0bxHoknYkzhhJAe7D/agFKgRqWOaxl1MMdHqIUEiIdo92H8AnbwLtqX+SP/SGInGNFN7B0SedHuXPvRp82Afn+0/9ClIZCb0CVGaLlLOJG3E/tCUJJY0658STcgcfCqkJixJLGlkmHkoXcKfaLy39yk0wz0hBSnDvXtEdhI/gkT6DX2SdBMj30OnpJmoHSkLMgXE6Pd4Bsh4pdv3xrArsAzQmKSU0m2auU9pYKRT7lMTmhy8eUDTS2Q9IOkllnwoo7pHwkPkoYkm7tqBpvkUqpiEhBQB/SYEeUBa5t4BVOEuSRSJChC55zMZ65qHpC5JNh+QSX2wD61Nok/ahGSChA8WmyWRZoXoQmiQ+rwHC0fWhchIQyJ1eB/4kzwRS6PVzqcPHuzs7ZHDddd6XEePJ9Vy5v3KLtir/LwhlQEXjBy2qp7lNfmOH0kLcd6Ovv34rveX/BEHcS8AMdQQHtWtGsKdulVD+I23agjv8lYN927bkCAefCDhHn4jIHZ3boWv+NS3a8qu9+2asod+u6bsyN+q6cNbt5TI4AOJyIMI+ch77bu3BPJgE5DbYsLBze1GzjHQ7ZpyqHSrphJR3a4pB163aoph3bKphHIfSEYeRchA7z+hHEh+I0Bup6IkaL1dU45tb9eUQ+DbNeVI+XZN79++KaB+qImR4P1W/XF8Hzb9Gv1xkuBW/YHAt2x6bx9phw/kKMlb3K4/Tm/crilnQW7X9N7tm3Je5XZNOf1yq6aSpblVUwzrlk0l7/OBkyOJIwtkb1N/nF+6HWr7SEPdDiqa3o47JKl1u6Z7t26KKd8f9GpuSUaetpBvvgaQT5Go+0AgkO77g9rrlkBgqu9/KGvBf7s/aBhvCWQfucoPhIF853sqMf6hEchdkzCmX3vJ5Lsu05w8vks57KPk/wEahYcD3xYAAA==</t>
  </si>
  <si>
    <t>10F1C2FD8E0B2BBDF47BAF767F4CB448</t>
  </si>
  <si>
    <t>JChemExcelb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IX6Qn/9yX/9mUqn9D/S/31RD8e+O+j9N3eZx/tjD+9/4CeT/f2Pn2wv7e7s5v2PjpIt+mzB/cf7uzuP3y4e//ewR7h1f+s9yaNqPvRvYfp7phe2L9Pf+7f39nb239wr/fRp/vpvfG9vfu79+4ffPrpvXs7ewdE1e5H++n23nh3f+f+3sH9e/t7+wf37j+8n27fG+/s33+w++Bgb+/Bg4MHnz7sNfs03d4f3z/wGx3cTx+M7+/44O+lB+ODewcHNED65/7BPZq8/ifEfLsP9vYf7u/uPHx48Om9+/dT4rf7O5/uPrhHZKK2GPIevffw4P7evfv3PiUUaMp39+k9+nN3/8H9/Qc7+5+mu/fptQdE7/sPH+w9PNh/SB99Oj7Y3zk4ePhg9yFR8z5R6oBeI0od0OcP74Nk0Y+6792LQu+j0MUz8tFtUe999FF6TQyH6Xnw0HsOHqTbRLB73c92xjR1/vMg7X0EZroPXiEe7X15n2E82PGfXe5rP/joIO11D47c279/cECzuHvv3oP93Yf76afjTz+lP2hGHzy4v/Pw3sPTbRLt7V5LMMkBcRb9Sp3v7t3fsw137z84eEgM/+kB5IoRJI4PPyPN95B/2/v0Hre/3391N/rmbXv42u0gSA/uh5/cG9/f8z7ZoWnqt4qMaXd88Kn/0YMDmsb9Hf+jgxSMFn7Sa/OgB+khKfvHd63uPno8qZYz71dW5q/y82ZP9flHaVXP8pqMDl5Ek0hDKOFbNYRtsA33NjSEBbkVRNiZW0Gkhg9uBRE261YN927bECbwVjjCEO7cCiTM5+6tWorVvV1TNs63wvRe0PJGoG7SNzZlh+B2TdlvuH3T202UeCG3a8rOyq2aik9zu6bs+tyuKXtIt5oscaRuB5X9rdtBZbfsdlDZe7sd1L2g6Y3Eut3Eitt4OwTYu7wVVHFCbwVVfNXbQVWX9hZQMSyvqQeVf6hev2v8d/q159vfdY5/8vguhRRHyf8DImH67m4MAAA=</t>
  </si>
  <si>
    <t>0FE57FEDC51846A30C70D5306979765D</t>
  </si>
  <si>
    <t>JChemExcelj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uK/16k8jP+H7790rT5KH2399lH2/vj/d17nz54uLu3e7B3sLOfdj+5d3A/3b4/frD/4N79g739e5/e/3TnATW7N9452PGevQeRz+6l27v06qf39nYOHhzsPth9+Omnu/3P7j+IfEbd7hAqe5/u7z64/+m9/XsP7+0Smbof7j08iLzcx2Un8tkuPto76KKyP96573+2DwLcf9j56NPxvU+Dj+73m93vA+Nh7e2EQ32Q7oyplUf1/f3+R/f7Az2IEAmz02t38FF6TfP96fjhPeLwew/T/fGnuw/9B5/shdSJ0HBvfG83bLQzfvAg+GQfOD341Id9wHN0/57/mfDLg95HB/vBm/1WEVjEoz00gEVIwHv7/c/27/Xe3HlIo9zd8Vt9Gvmk1+FBpMcHvRcf3Gf6+2/u9Ui/n2KigjakXu5a/XL0eFItZ96vrHBe5efNnuqcj9KqnuU1KUa8iCaRhtBMt224f6uG0HK3aghdeKuG0Ji3agi9equG0L624d6GhqyjbwVSVPmtgIrGvx1UNgy3gnoQtLyBTLu3m0uxR7fqXszW7aCydbsdVDaCt4PKtvJ2UPeDpjfQau92DCA2+lb9c9PbMQAM/e1mVfyC2zeNCin/UKVy1zg49GvP+bnrPKPk8V3yuY6S/wdo8yBTjwkAAA==</t>
  </si>
  <si>
    <t>1344496B1F624D6FCA4AA9CF4DB49583</t>
  </si>
  <si>
    <t>JChemExcelv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G/71Iv6T/TsqP0nd7GOnB7sGn9+/d23/wcP/Bvb20+8HOfroz3j/Yf/hgf2/v093dh3sH+wcP0u2dMX7u7B88vP9g5+DB/Z1PI5/t9d69f6/30aef7vde3T/og9t/sJtu7413D/buHezv7D64f+/TB4RJD7s9IvrDh/4Ydj9Kr2msNFGfPvSeg/sEcHe8H3z48ACd7O3zN4AevvPwAPQ4uBd8lu6N7z0IPtlP74137+94z266P/70YfgJOgoh3Uu3740fHPjNmIg7xA93LUMcPZ5Uy5n3K3PIq/y82VMm+Sit6llef/bRHl5Ek0hDsJJtuLuhIRjuVhDBlreCCOa9FcRdv+EmiJCFWzWExNyqIeTqVg33IX23ankPMhpryT90Qu8abUC/9jTFXadGksd3SUEdJf8P/UDHzLwEAAA=</t>
  </si>
  <si>
    <t>E96631B4C35D11ECB9C36879489F778D</t>
  </si>
  <si>
    <t>JChemExcel8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qfnvy/QF/3ytf7/Qf1/TN/IdfnLLj9J3e6Dpw/2d+7v39nY+3b+3+/D+/n66O97/dP/TvQc79+7vPNy/f+/T9OH43v69g52HD/b27u3vHzzYO90mXLd3x/f3zb9740/3Dh7u03NvZ+/B3gF91H3rHr/Vg34/3Rvf+/Thwe6n9/bufbq3Tx+m98YPd4JP9tL98acP/I/200/He7u71MHOPv29t3Nwnz65f2/3/qf7O/uf3ru/u3/vPib64YODA/qeYNy79/Ahwdm5T+jsHjy8t3dwQBDSB+OH9w4IBpFhd293Zz89GO88fHiP37t//97e3gMiwP2dT/fu0yf01t7Bvb2U+Ovh7r3d3Qc06B2Cfu8BPiI6AsHdh5/ef0h4EKQDQvrg3v79g4cHn+6mXWrff5ACzs7O/b2dB/Tqw3u79zD6/f1PDz4FPvc/3duhMffpS3xAn+3d27n3KWFx7/6nD4ni+8TWn+4/2NnbvX9/d49o/lF6TXO83e2W3t0Z7z+4f0A4Pdi9d+/B/u7DHZnm+wc03r1PD/bu7+wfyDTj490HDz99QIOlqXv4QOeRpj2ClX6+sxtA36dxPvj0YfD0P3oAvO5/eo9mmmbiYO+ARsefPdjb//T+HtFr79OdvT1mN6Lyzs4O/X3v4c4ezf32vfHOTvARc+jDBzTdBI0m5MGn+3t4k74hnD59SBR/sLP7gOl2DzN7QDN5/+E+YZ5u38cI7u3SXBMr7Bw8xCef7u9+eoCX9j598CkJJ3X56Q7xCDW6v/vpLjP9p+P9vb1dCADNw87+w08xmwch8YmViWNpau89+JSoun+P2hAbE2WJ/faIrWguCPWdA5+093jU9x8E87sP4tBIHBMQ1qST7lqldPR4Ui1n3q+spV7l5w0xBrQU6bSqnuU1qYKPpIXot6NvP77r/SV/xEHcC0AMNYQ6vFVDKM1bNYRqtQ33Njd8cCuI97oN358e0PS36gv24FbY7/kNN0Fk83KrlmyBwqbe2L57u5GKGbtdf2ztbteUjeLtmrLtvF3T3ds3BQKOr74mbdic364/tvq3a8rOwa2YBk333Azf2DRUAxt4du92My5+y63656a3m3F2gj5wasSLulV33HRQIcT74x+qb+8aD5J+7XmXd53rmTy+S07tUfL/AA/KfLPwCgAA</t>
  </si>
  <si>
    <t>F2CA8EB188A7BDEE568737DF39416192</t>
  </si>
  <si>
    <t>JChemExcelO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CR9keJf/Pel/S32n7T70vxbfpS+2/vso73xg539Bw/3Ht7/dOfh/b2H9+6n98b37u3ufvrg3sGn+/f2dvbu30v3xvt79x8+ONh5+ODhzu6nhPvO+OAg+GSPPtrf3dl5uPtw79P7n+7vPvz0Ybo7/vS+3+r+QwJFvxHkvU8f7t17uHOPoO+P73366f7D3Xs7+/fu3bvPoO7v7d2jHg7uPbj3YG9v/9N0e2f8cP/B7v4ufbP74MHBvYcP0+298c7BzoN7uzv3Pr23T2/spdu74wf7NKCd/f39+w93799/wK/uPbi/9+nOPRrSA/T0EPgT8L2Huw/u7x88OHj4cA+D3AXW9Of+pwcP790D+nsHO/tEmYO93Xv3Pt1Do3sH+zv3Hhzgv51PHzwEvTCS+/f27z2kLu5/erBHI3qwQw0e7O0+JCrt3nuIRvd3aUDUiDo92GNMd+7v3793f3fn4P49wu3hAQZEbxDB6JUHRDpigO17408/vffpzv3dB/sHn+7sfHov3d4fH9C49w/2dnjS9unFT2mIe5/SKGkMALCPj+4/3KPu9/bv74C69++n2/fH+/sH+7uf0nDQB94kzIjKB0SJgwe7D/d3ifkOaHJ99A+IXMR618QvBIHIvbdz8PDTewf3Dqg9QyD09w8e3n+48ynR7VOM49P7D/Y/3QOUe7sEO/LRA5CAuOWAppxGSjN9QAKCyTqgScJ/uwTuwd7OvX7Dnfto+GD304f7D+8f7O49fEidA02azgfEq3sP94iZSIYI2sN9GscDYkxqdZ9EkWSf+G3n4MHO3j6G++l9mlXip/t7ROT7B8SYJJckBDs7wo/Er3vMHnvETDSBBJ745eGn+ynP4M4e8ch94uld6hL8QTzBU/fpDgnBHkEiOu7dI54kzsYgHuAjGsSnu8Qye58e3NvZZQmjiSPB2NslBiKQnwL6g53dfRLJPWLj3XsP+mP+9B7T5gGNeXfnwe79HZK9nU/x0R79RRO/T28R3zH5qR+azk8fgEQHe/hsd0yj3SGq7FC3OyA3eqDJITLv7RBf7tzbp05AVgJPc36PwO4R/94DXWnG9/Ye0CiIMR/sMY+k2wdjEmqPPUhn3rVK8+jxpFrOvF9Zi77Kz5s9VaQfpVU9y2vS9ngRTSINoW5v1RBK+VYNobpv1RAK/lYNYQZu1fDebRvCqtiGe5u7fngriGyhbgVSDNmtgIq9ux1UNou3g8rW81ZQHwYtb5ij3dtNuxjtW3Uvtv12UNkFuB1U9hRuB5UdittBvR80vYHx927HAOLI3K4p+zu3a8pu0e2asvd0u6bsZN2uKftit2vKLtvtmt4baso/VFXeNb4o/drzU+86JzZ5fJfc46Pk/wFf/nCkOgsAAA==</t>
  </si>
  <si>
    <t>E9A37C704D617C8C9D28EA2A401774FD</t>
  </si>
  <si>
    <t>JChemExcel1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Gfjvy/Dv8qP03d5nH23vjXce3n9wsLv/4MHu/YN7+7tp76O9dPveeH/v4f6nO/cfHjw8+PTegwefpts74wef7u3u7N27f//evZ17O5/u9j+7v5fujO8TmAefPvj00/2HDx7QZ7GPdscP7z/c+fTgYI8APdin19N7452DBw8/PXiwc//Tg/v3Dj79NN0f37//8P79nYO9T+8//HRnf58+ebizt0d9fbp/cHDw4NMDeo0g0rN7sLf3YOfg3v10b3xvZ/fB/V3C8N6n9NtDdEcj9TAA5rsPD/b37hGs+wTx04cPD9Lt3TER4P7DB/f3Du59uv9gb+ceqPMpwD2kF/ce3L/34D6o84CQJ7jU6UPC5YAJtvvpvYcP9h5SlztExXuA9nB//2D3/u6DvU8PHtLb++iWPni4e3/v4c7Og92HBCJ9SOP2h/Two/SaZurTMVGfYO7dI2o8YFrs+n8TEvve3zu7kU/2xns74Se74/17wSdCih0iHBHn3i5R5CEhITP7kMb9YG/3HvHEvYeY2b0HBzQi4owHB+CJPX73wf39B/ufPrh3sEPt7+89wMAJFrHNp0RMAkLcATI+2Nu/t/eQJvvBvU+pFyYtzdg+zT/N1P69/f0HTMcH+/t7D4iwu/STJjDyWf9N4oNoDz1MDiIo3++PDLPco8A9ardDQn7XSvnR40m1nHm/sti/ys+bPZX8j9KqnuU1qSe8iCaRhtAPt224f6uG0DW3avhptyFavG7zOq/SabW8JFXDmvSLp88/8j74yaxck/7ZN5DljY3dPLDd7G3AB7rxVohDg94KIuvZW4EUdXwroKK1bweVlfutoB4ELTcCZWtxu6ZsVG7XlG3P7ZqyibrVqMSS3Q4qG7zbQWW7eCuoYj5vB/XToOkmqA+GWvIP1Ql3jZdAv/Y8iLvOvUge3yXH5Sj5fwCL1rJ61AgAAA==</t>
  </si>
  <si>
    <t>7118FAC62CCA24EA1B96B160F6F3E66A</t>
  </si>
  <si>
    <t>JChemExcel9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Z6kL1L86366v760f7nf8N+zj9J3e599tDPe3b9378HDvYOH9/b29/Z3HqTbO+N79/bu73x6cLC3s3tv98HDdGf86cMHD+/v793fffDg4f6nhPveeG9n/97O7v37nz7ceXifsN0bf3qws3vw4MHewd7+pw8JWLo7/nT/4YO9T+8/3N+/j9a71Gp37/6nu3sPPr3/4OHug92Hn6b3xvcf7uzde3iws3Nw8Cl9m+6PH9LfuwcP9/Ye7O4Tbumn4737D+5TEwDaI/R6n/TeergbgdzrnnDco5Hs3dsnxD+l4e7cZwrsPrxPbQjSvYNPDx7ev0c02KOGNET0iDd29tJtevlgf4/IRyM+oNE/vI/PHny6s/vp/XsPP93Zo1EfpNv3xnuffnqfeiUK3L+///Bhur0/3ntIRL13cG//4f4BEZQaPdgHrgcP9vYfEvYPPk2374/39g8eEMEfPPh0b+8hYYTPqMGn9wjjA+rhHrrcp/nZp9Hs7d7f/fTBA8KWoNFUHIAeOzv3HnxK4NLtvfGD3d2H9x5Qrw92dvYe3N8HtF36/T6GeX+Hpnf3o/R6DwL2YO/BAUF8uE8Tfo/gEjF3HxJmB/f2CMeDg/2HoPi9e+j53qe7u8Q7NNT9MQ39AYG7T9QkLiCC37+/t3tv597eHnW0e//eHlGc2OxTGiYxDo3+00/vgeI7xEj3Hj7Y39+9T6TfeXCAD6n5wd79h7tEs08f0lRiFu492H2wv3Owf3/n3s7Ow0i7g4f7GOvOg+CzPXxGk+V/9qDX7uHOp/js/j7GvkNTf29/f0dm9d6O3673CTEJKRPigfv00sNP93YPiD2JS2lSHtwn4uzskOjs3bufPhjfP/j0HqhK5KaZpA+o1/uf3tu/93Dn3u7BDridppv638c7n9LMpw/H9zB3O/sP9nf3qOmn9AlN6j2iFzU5INrdT0mRUec7hAHR+4D4nki9R0gSv5KIYBL399CIxGHv0537+zv71JqmiBTkfXrx3j1iAJrJ+/fupbvEjMQPD3ZJSmj8NCGk7+5ahXf0eFItZ96vrAFf5efNnirBj9KqnuU1MRJeRJNIQ6jKWzWEQr1VQ6jdWzWEcrYN9zY03PUbboIIXX+rhrAIt2oIu3ErHNm63AqkGKFbARVbdTuobNJuBfUgaLkRKNvI2zVlU3qrpg9u3VJs860GBUxvN/di6G/XlP2B2zVlt+FWTcW7uNWouOntGEB8ldtBZZfmdlDZ87kdVHaQbgeV/ajbQd0Lmm6ECgSiE8s/VFXeNX4k/drzMe86BzR5fJdc26Pk/wGnjH3g9goAAA==</t>
  </si>
  <si>
    <t>BF4CBC9EA81AB04F86C02841164FE0E6</t>
  </si>
  <si>
    <t>JChemExcelF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qfnvS/vbpv++RLuP0nd7RNOd8cHOvU/v7Tx4sPPw/v17hAeR5tP7Dx7sf7rzcG/n/v2Dh/fS3b3xvf2d/f0H9+/d273/6c5euntvfPDgwd6n+3sP79+7/yn9lu7ujx/c27334OGnu5/u339wb+d+uvvpeO/Tg92Hn957cPDp/YOdXTTa2T/49MHBLsG6/2D3wQGA39/dPfh0d38XwPcf7AGFg72Hu/cfPnxAKHx6b38fH+3uE9yD+/cI0U/3iGiE+97DvXv79/Z2Hh7cp2afpg/H+/cO9vYeHBwcPLh/f+f+ARrt0vd7D+/todHuwQNqtPcpYbW/s0ON9j/dTR+MH+w9RF/7nxIJHu7co092CI+HhPL9/fv3iBj0ycMdwnB3d4/a7N+7v5t+On64/+mne/eJAA/26deHxFYPaBQH9x/s7x0Q3Q726JP7O3v71P8+gd0lwPTBp/uf3ju4d+/ewcNPH/AnnxKN7t9/sEef7N178Gm6P949oF52HhCK9N69g/TeGGNCx7t7BOg+6DH+9ODh7t7ewYN7B58+fPgpzRKRlmh9sHPw6d69e0RzoLj/4GDvwe4uAT4gJO9/lF7TpO+Ndx4QRQ4e0EweUKcE7t743qc7BIpa0uAeEil3xwTqHlFtd+f+HqDgo4OD3XuENTX9lOb84D69t/vp3sHOp/sEj+YegHZoePv0CU0m8Qcx9f6YCLa3u0tkPNjbpZf2x8Q39OenezSfew/3HxCiO3t7+B2QqMP7RO/9HULxYPfg4N7Dh7uffkptdmnW92nOiOj4jeBQR7s7NLX79M7u/j3qff/+wwc7RLe9XfpJVE73xsRkhMinuzs793fQDX20R7x7b4faHtCMUkt6kXj+U+JIQphosPeQgD8kUj+4vwsCE6bof//BvQc0fpKNvR2a3QfjXRKc+58+/HSHCLqze+8+ZnN3jzp+cPCQme4As/KAZoMYZxdTfB8YEesTIfbBR/sPPj2gT3YIOeKcTwkjMDdGQl0c7BOtiQuJ8/dA2l0wHLENfXSfeiDY+w9pColXCDY15qERcxP/EOK7JBP7pKHuWhV19HhSLWfer6yzXuXnDXEFdBZpuKqe5TUpho+khWi7o+8+vuv9JX/EQdwLQAw1hHK8VUOo0Fs1hKK1Dfc2N3xwK4hQ2reCuOc33AQRNuBWDdlSfOBcsJn5UCBAJGSKjd3t3a4pG79bNb19S7GmHzhcMce364+t9u2asnG/XdO9XlMP72/fchTsSHwoKdgT+UAgcGM+GAgw2QsZeVN/e7fk109v3VQcsds1ZX/tdk3Zrbtd0314f7fTRWh6O7bkYYVNv8bkqEP6PkD4h1qhu8bLpl97Hvhd554nj++S43+U/D/ewBXdFAwAAA==</t>
  </si>
  <si>
    <t>1844E1535024D2BB13428928F6639A33</t>
  </si>
  <si>
    <t>JChemExcell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I9Cf57nX7Z+UT/Kz9K3+199tH2p+OHB/cf3jvYu/9g9+H+/qf76fb98af39/buP9y9d//ep5/u30u398f3dg/uH+zs4KODew+p0R69t/9wZ+fg4e6D3Z17n+5Qs116cXdvb/fBpw8PDvbu7e1/2v/sU3734CG99ODh/u7e7sMHaLY33t/zmz14kG7vjA8O/M8OPsVn+zv37927f5+w3qf+P33IDe/tPri/T7APdujHwcHDlGZ/99Pde5/uP7j3gP63fz/yyd743v7Dg12Cdf/Tnd0HDx6m98afHtBn+w92H+zv0Vef3o99dJ8g0Z8gBFHtIPJB5KVOZ0TvSP8Px0QOD9BH6TXmiMZ3cH/v3sGnew8f7D3cIXigK73of3aQ9tsRKr2Ge5F2oM7u/f0HRJ8HO3sPdh7uHjwg9HbuP3x4f+fT+wcHNPF7n9Kw7u/t339A83Hv4OH9g0/v3et9tN977eAgguy9PhI7B30sHtAnD/cCvO7FUO0D+/Rer9cHB8x6nz4MPiMK3Rvvf+q/3Gt1sLPXH8POpylpDZLxu1bIjx5PquXM+5Wl/lV+3uyp4H+UVvUsr0k74UU0iTSEerhVQyiRWzWEqrlVQyikWzWE2rIN9zY0hHK7FUSowFtBZEV5K5Cf3rollOzurVqKfr5dU1bjtxqTaPvbQWWjcDuobDtuB5VNzO2gsiW6HVQ2WLeDynbtVlDF/N0O6qdB05tmK96Uf6hU3zVmnn7tuQB3nX+QPL5LnsdR8v8AIS9ugJUIAAA=</t>
  </si>
  <si>
    <t>3C71801A7DEFC2C817942DBAFB2C46DC</t>
  </si>
  <si>
    <t>JChemExcel9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sf++TF90PnnG/7mfvdYfpe/2PvvoYLzz6cO9+w/37+3vPNzfO7iXPhjfe/jg/s7e7s7O7sGDh3vpp+P9nf0HD3bx9f7Bp9Rkf3xAz+6nuw8P9u4fPCBa7I/vfXr//sOdT3fptQcPHxzQ9Ny7f3Bvb+cBvbD/YI/o8un44MH+3oNP7+/uPbz3YPfgIKXOH+7sPNzbJdgHuzsPH6QPCc7+g3v3dh7c/3Tv4D5R4GD88N6nnx4cPNy5t0/f7aAN9X1AsA92Htw7eLiLl3Z279+/t/fpg4Od+/f3H6bEGdSS/vfpA4JKyO+lu3uE0N6nO3s7+wd79MGD++nuPcLoYHfv0/17B/d37+0SzXdpaHv3CO2D3fv0v08JAfpob3/v4cOdg529g4M9ehewHuw+2P/00328TP/eR48EdO/B3s69+4ToQ+IJarVL47z36b2HD+nHzv09tLp//9ODnU/vHXz64MHDTx8CB/Sy8+n9/ft7+/dAFWL7B7s7n3766d79/d2DvYfEToTD/v2D/fuf7t/f3acOHxJa98c79wh99H/vwcOD+w/x0cHB/sO9T+8T5Aeffkr8ROB37tE0fUrdP9yljvYweffu7zy8vwuKf7pPf6T3xtRm9x4xwaf3CZNdmiyiFg2N5uYBvUbUIlh7YwL+6T1iARrxwc7Op0SI8cH9Tx8Sd9A8Pjggah+kO2PmpAMCvX9A/HOfZnV7Z7wLytGQ6J9dmtCD++n27vhT4p97e/c+fXDv/i7R9yG9TEjt3wcJ7z94cG9nD6g92Dv4FB8SFzwg1vwovSa+pbcf7OwQBYjW92guaB7Rzb1d4rD9e9Tpzv39e/ceopf9h7tEkL37O/cf7Ozu3eOe9/ZoOgifHRDv0/ufUs+E2gHx3N7OLrErcReRmJiIyLRPDL5DLPoA/EFTur9LnE/iQUPf3b9PZCGGv0doPzy4R4y5C6rs7d7foQETwoQ39QHUiJx7NKw9sBqxIWNGVLy/Q3xHqJFUpNt7YxKh+3vEaDskVyQJB4zspw/vPSTp+nTnwS69fh/t9g/uk9hQy093iXaf4iMaODHXp5jkAxD9Ho185x6YcmeXRkSg9sc0mQf7e8SwD3ZIZug10qL0HvHL/f1PDx6ShqLXHtIAD2icBzQ8EkXq71Ni23sPPyW2JL1AwksfPRg/PNgh4u3RTO0TN+3iI3ppj3idZImoe+8BwBPZPr33YOeAZ3GXKUFaZOeA2Oxg5yGJ8f19Iv79B0Q8QpzmjrTDQ54jqJvdT+8Tae9Rpw+Ehg9IMRC56HNSEwfgSeIWIh5JCY0IauYejYhl4oBG/ZDa7I4fUtu9XVIhkBbQZodIc0CTtg9tRVpll9QugSf+vUfcTHrl4S7UBD4jJeLefbizS+B26DXi4IOHJGqk5MAVhDVkHXK4R6qN8KJ3fFifAtbD/Yf7pCQf7EB7kHIiy3PXmp6jx5NqOfN+ZVv0Kj9viN1hi8hyVfUsr8mIfiQtxIodffvxXe8v+SMO4l4AYqghjN6tGt7vNnx/pGBab9UXDPCtGu7dtiHs+QdiD3/gVn2x13Crlnu3biluyAeOQPwYC2RvU39oejsOEq/odk3ZebodAuxj3Q4qu2K3g8oe2+2gsmN3O6j7QdOboO7dbsrFo7x9UzexNza95cTCfb3dxIq3e/umt5tYbno7+YaXPSjg372deIiLfqvuxJO/VVNx+G/V9P6tW0oEcbumHGjcio8lHrkd1H2ELbeDiqa3m3CmVdjUm7hbajmmTcg1NwLhH2qO75owkn7thZh3XfyZPL5Lke1R8v8Aa/JgB/UOAAA=</t>
  </si>
  <si>
    <t>698B747AC23B80C10F14A2E744E68BCF</t>
  </si>
  <si>
    <t>JChemExcelJ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X6Qn/N+X/NuXqXziPv3yo/TdHohx7969Tx883N3bPdg72KE/0u5H+ykRgT7debh38OD+g4OHB5/ev3dwcP90m7rvNr7/oPfRg3Rv/OmnD+7dP9jbv/fp/U93Huzc73706cMH6f54Z2eXmtMH+wf7uzv793sfPUi3d8f7n+5/uveAutp5uH+fvkm398b3Pn14sPvpvb17n+7t06exdvzZw/2d+7v39nY+3b+3+/D+/qfp9r3x/v6nB5/Sx7v3P93bIarSRw/39h7sf/opof/w4T6RZPv+eH/v4c7Dew8PDnb2HlIX6fb+eP/Bg3t7u58ScIJ0/8FH6TURFMjsPPSfdHtn/ODT4KNdJen9e8HHn6a9lz9N740P9jsf9V7cZaTpKyL5LmH6cGfvU54edP1gx3v2el0c0Cc07IODT3cf7N6792B/92HafWtnH5D2HwSt9gi1/QOfnkR3wnYHs7m3S3TavbdDH90f7xHD7O3vEaEO7h/s36NP7h/cv79Dk/+QPtx9eA/sQNS/v7/74OHO/U93dx+SiNy1MnL0eFItZ96vLDSv8vNmT+Xmo7SqZ3lN/IwX0STSENJ1q4aQQdtwb0NDSOqtIEKebwWRGj64FUTohls13LttQ6iaW+EIhbNzK5BQU7u3aina7XZNWQneCtN7Qcsb+3eTvrEpK9/bNWUdfbumrMpv1xRQo3PKP1RO7hq7Q7/2bNJdZ7CSx3fJFB4l/w/5qAZaJgcAAA==</t>
  </si>
  <si>
    <t>AEFF09062F24644BE46E80F744FC0C0B</t>
  </si>
  <si>
    <t>JChemExcelA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fr/fcn/vvD+9f4r9X8vqBn995FQqTyZZ/UFQdpJ3++/Xf53e/ej9N3eZx9t747v7+zcO3i4s7u3c//T+/s7B+n23vjg3v7Opwe79+4dHOzff3A/3d4f73764MH+g7379x/s7n1KNIl91H3x0zQKf4fe/PTBzkP6dG/v4P7OfSJt/8OdvXQXnz389OHevd37Dx/ev7fzaboHeJ/uH9y7f29/78H9Tz+9F/vo3vjB/qf05/29/Qef7j88uI+P9h4ErQ4I/IN7wUcP6KO9+/TK3u7B3g7hvP/gXg+J3T6uNNzIhwcH/Xfv97E9iA2g+yIxVJeU9w6IvPfps939vU/vPXhAtP10/9P04XgvGPqnKWRpN6BG7KMHYyKP/95H6TUY5N74052HhMwuDezgwQ5Rkmb+3gP/o7001mpvvPOp/xGPYO9h0Or+bZvt0Kh2DojOO7s0/Ic0QiIR/e5/FGs00OXezv69+/f3Dx7c3yVGEfw/pQZ79/fAyQ8fHtyLf9Z/lSbvfojGvfG9Pf+T++n++OBT/5N90mCf3rupTQ/OHk3S7oPwtW73+wf9+WGS7u4SW97bIebYu79L7HO6TUqMtOi9e59SYzD8wc69+w/QtPPZvaHXSZ3etfr06PGkWs68X1nBvsrPmz3VsR+lVT3L688+2sOLaBJpCE1sG+5uaAh9fSuI0Oq3ggjdfyuIu37DTRBhSm7VEAbnVg1hlm7VkI3XrVqKjbtdUzaFt2vKFvN25GTDejuobH9vB3U3aHoTrW43oWL3b9c/uwe3g8pexO2gsrNxK6jik9wO6qdB0424AoFbsgAcn1sL897tOEC8qluNipveTv64aXSy+IdqtbvGo6Rfe97mXeeKJo/vkpN7lPw/QMFvvwALAAA=</t>
  </si>
  <si>
    <t>E3BB7352E2AD2A1F1F595ED7C94B7B16</t>
  </si>
  <si>
    <t>JChemExcelC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y3zP67yT9kv57QT/p/+VH6bu9zz7a3hvv7Ow+uH9vd/feg4c79/b39tPtnfH+p8Fn9/bTnfG9nYO9/U8PDj7d23n46f0He/dSItYD/7NPD9K98ae7QbOBFz/d33249+nOzsHOvQefPrxH7z18cP/Tnfu7ew8P0ObgQb/RQbpNPe7d37+3t3fvPvVz78HB/ZRG8OBBgG26vT+mv4KPHox37wfwP0qvafg744e7BwcPqZeD3Yc7O3sPH6a9jz5lguzuP3jw8OD+vU/vHezs3Ee/u+MH+wf79w8I8f1PP93Z3/00/tm9MY1/l157+GDv4f7Ogwf3QJP79/f2dnb3P7336e7Dh/ce3u938ukDEOrgod9wH13sHgS4PCTi7d3fu//g4B7hu3uwQxMR+4i4lXjrrmWuo8eTajnzfmVue5WfN3vKcB+lVT3La5IKvIgmkYZgy1s1BPPeqiFY/LYNP71VQ+r6wa0aQqhsw73NDR/eCuI9COitWkKEd2/XkqU91pR/6JTeNbqFfu3pnbtOKSWP75K6O0r+HwqEhDwKBQAA</t>
  </si>
  <si>
    <t>B3D01651637C877B2FF5A161D33796C5</t>
  </si>
  <si>
    <t>JChemExcelF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vd9N8L/j/9W36UvtsDZe4dHNzf33/w6e7u/sNP9x7cS3fGD3f3Pr1/cP/g4cHu3t7Og/vp7vjgwd7Bvb2Dg/1PH+x/ev9Bem98b39/f/f+zs59anlvd28/3R/vP7h3b3f/4OBgb+fe3v59+mT33s6n9/Y+3X/4cHfn/t5uujf+9P7Dnfv0+8HDhw8PPv2UQN+/t0NwPt3/9N7B7kPqgxDY3Q8QeLibbu+O9/b3D+7d2//00wf3H9zffXCQbu+N7z2g/+jDh/ce0CDoo3vjg31C5/7+g529g0+p0/10m9A4ePDw4YMHOwf3Hxwc3EOrHULj4YODvfsPP905ePhgHx3cPyC49x8AvZ29/b10e2cMguzv7u/uEARC4wGa7dLg9h7cP9i9v0dDojmJ4rs3vv/pA6Lsp7uffrpLHRykBzR2nz6ffpRe0wwQSQ7o0/u7RN+H93b2qRMa6+4BfUBtdx8eEG0wKTu7+/sPH3z66X2C9uAeEW+fPtz/9GB/j76/94CoSnS4D6Tv0x9EhIO9e9T8AEjvjXcOdvbv7d/79MHuvU8/fbhzjxGkD+4T+e4/2HsI0mJw+wefHjzcvbf78P6ne3ufHuyh3e79+zsPaMgPDnbu3SMaRtrtR+BF+t3ro3fvYW8Yu58+6I+XJrJLlvv30y7x9j4lzrx/AD7Zf7BLXdBX9Mkuzfa93Xs0G9SGZgTgSSLvWpE8ejypljPvV5bRV/l5s6di+lFa1bO8JonBi2gSaQhhvlVDiLxtuLehIRTDrSBCfdwKIpTMrSBCFd0K4j2/4SaI0Gy3asj671YtRU3eCk3RpreDykr3dlBZN98OKqvw20HdCZpuhMpG4VZN927dUqzM7ZqyMbrdqIKWNwKN8gr/UEG9a+ws/dqzwXedgU4e3yXTf5T8P12aTmcWCAAA</t>
  </si>
  <si>
    <t>465DE91D565F995964D9662946257197</t>
  </si>
  <si>
    <t>JChemExcelAQ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n/nozQvcwzszfUqJzql7r8v6T//b/f5if3GtTCfyv+/TF/gt/Kj9N3eZx/tj3fvf3r/wf0Hezv7B7sHBw/T7icHROv9hzt79/cP9vfu7Tx8SCPsftJ7aS/dGx/s7R08/PT+w4NP79872D+41/3ofro73j94uLf7YP/Bpwd79w92iVaRj7qQPo1+1H1x5yDdIaTu09f37u8/fPjgwYP7NH/bu+PdBwe7+zsPPv304B6Ngca3vTe+v7t7sPuQBvvp/YO9h/v3459F3u328enDfrNPd9Pte+ODfTTZ2SUCfXqPPu5/Rs2IrR88xNv39u7t7t+jcfU+ut97kZDrf/aAXv2UxrB3QJNyf393f29/hzp4QM2IZJ/ee3D/4YMdARf7LPJq+NG9hw/7uO31B//wATHHvU93H94/2H+wt0eY3d8n/tk52H+4v//pg4OH9+/dJzkBpIOde/u79x7uHhBwemn//v2d/QcP7+3t07zS++m98af3Dh4CyH3C4iH1mn46RuN79x5+Sm8+eEigu588TElR7OwEH32UXhPrf0poHTwkxjzY2XtIQ0efB3vuk0/p75373t874Or7u36L3fGDfb/Fzv1uk509EKALp/seSf/OeG8n+IhIvjMm5tm5v0vke7BDw6LxEWPu7viffYqPDh4EzT7tN7vfb7Z/r98Mn3V7pc+6yN0n9dXHrk+P+wexcfVGHxkqBOk2Q023iVN2bxjp/Sg9ItTtIUtc0cV2PzrHcTR27xMHf3pAnL5HUnTAsnt/d5+EjTjx071PHz6EiO+QAB4QKFIf9/fvkTyAG+7v7jwkUdz9dP/+Q4J2D6+SWFH3nx48eHBAUr/XpTepwwcdJqaPCNYOmb271u4dPZ5Uy5n3KxvCV/l5s6e28KO0qmd5TQYbL6JJpCEM2K0awq7eqiGs760awkbfqiEs+a0a7t22IUE8uFVDuA+3ashOxq1aii9yu6bsstyuKXs2t2vKDpBturepKftJt4PK7tTtoLLXdTuo7JzdCurDoOWNBLhlU/R/Ow7AqPZuxwLiZt5qVNz0diwgTuvtoLJveyuomNdbNhVv+fYI3E76xfe+HVR20W8HlT3520HdC5puhMqxwa2aSghxq6aQwnu34wFojHu3UwMSt9yKAtz0dmpAoqBbNWVcb6cGQIDbzSswjc4V/1BzedeElPRrL9y862LR5PFdinKPkv8H0ii8cgEPAAA=</t>
  </si>
  <si>
    <t>EF6BDB3361413508B69C9325DF5DDCC9</t>
  </si>
  <si>
    <t>JChemExcel7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Cp+e9L+1v8b/nsS/fzo/Td3mcfbe+Odx/uPbh/cPBgd//+7s69+wcpPru3c39/d/+APrt/79P7u/jsYPfe3v7ew729+/fv7z+kj+6N793f2bn/8NOD/Qf3P919SG/uj/d29ncf4OOD+58+ePAg3b4/frC/8/Dh7oNPD3buP9g/2MeL9/d29x/cu/8pXvx0/+EDwH94sP/pfWoE+A/37/Fn93Z2HwID4EHIHKQ74717+wf0987Og/39g4e7BI845eDg4YNPH+zRX/f3P32IZvs7n9Kw9g6o2f17+zQJu+O9T3fuPdz5dAetHu6l2wTrwaf7e5/u0uf39x8cfPppujd+8PDB3s6De5/u7+x/ShDSe+P9Bw8fUgc793f3P31A4KnRp3v3HzwkPNCIBoZW9zG6AwyAqHj/ITHdzh7BvPcpPQ8f7hNO++OH9B6Afvpg594BzS19srNDYA4O6JOD3fv76afje/sg+cHDT+/f/xRYPhjvPXx4D3g/BBke3L+fHowP7h1Qe8LyAc3Tp/QWvbS3d4+oS2OkdwnyDhHnHg38YI/m8t59oghNwf1P9w72Mfwd4jaSmU+pNyISSLlPU3uPhkYEvPfg4ac7NLT7D4iCNLTde8CO/qZZoFn99KP0GpyzQ2K3Q71SF/ce7u3s7j5gNvmUkT+gSf10d4d4g+mM9wjTBwf39x4eHBBr4+37D2meH+we7NAs0od4eX+fWHB/l/C7R1P6kD+7t7+38+nBvZ2d/QcPDnaoj70xDWr/HvEIuGhn5+ABPiMU9ndowncfAlnmRXqHfr1PGO1+ukcyh48ePnxAk7577/6DB/dIFIkXd3cP7t0jpiGQO/QfunxAJLi3S/NGVN19eI/HsE/cSsxPJH9wn4b8kMdAYO7vEbgH4EgaHD6DeBCzEjnuEbmZJg9JrD6lSXy4s09473C3ezR/O3sH93Z3H9K7gt0+8cfOLk3bg4MHe/ssKQcPdwiV/X3q5IDHfo9kh6T1AcF6uEMsiS5JNKnF7u7up8SrPAbwNjX6lObn3u4O0f1TJu/BA5rrB3ufEjsRHzJu+3v7B/cfgAI0XYQ6+ngALqZpIFTvfXrvIcO7TxxFckM6YH/nAfE/SzbNB9H24X0CQXDS7QfEU6D1LjE5tbz3KVodPHgIxiUWJQHfw+iJqWnyabIIB5Io0s2P71rNevR4Ui1n3q+sal/l5w1xHVQtKeaqnuU12YiPpIUo6aPvPr7r/SV/xEHcC0AMNYROv1VDaP5bNYR9sA33Njd8cCuIsDW3grjnN9wEEabrVg3ZwN2qpdjB2zVlc3mrpnu3bin293ZN2UwPcdi3b8dh3N8HAwEmt2Mr8Slu15Rdj9s13e01/RqjYDfnAyVW/KTbIc3u1O2afnrrpuKg3a4p+3G3a8ru3u2asld4O0FH09vxDQ8rbPo1JgdkDJnvawABJh/Ka+Iq345IaHo7jjKOd78p/1BDddfED/RrL7a46wKP5PFdCmmOkv8HqQYuPu4MAAA=</t>
  </si>
  <si>
    <t>178B60D626341BA6A3711732F73CEB79</t>
  </si>
  <si>
    <t>JChemExcelyB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P/gozcscxHlzvcqJ1qn892X6gn++pv/CT276if/cbw7el8G3L/hfeuej9N3eZx9t74zv3ft0d3f/YO/hzr39hw+IMNu744NPH3z64OD+/oP7Dx/cpy/T7b3x7sGDg0/37u8ffLrz6f09Isj2vfGnB3v393bvHzy4/+DTTz/FJ/sP9h/Q9w/39nbuf/opvUjscHBA7+zfv7d7sLdPxKWPHt7vfLQ/frh3cO/AgLr/EB8d3L9PYB48PNh5uPPpPUBHZ/u7nz54uEuNaN7dRwd7aETT6DD99B632vU/+pRbHfgvErCDTz+lySZa0JB3D+7t7z/gN3fueZ/d3+FXH+ylOzTIh/sPMbyDvXv3Hu54Hz3Y2TvYuffw4EFKRNwlBOhzIsfu/h5xgPvo3v1P7+8T/9wb7+5/enD/3sNd+v+9/QcP0v3x/sHO/Xv3du59uv/wHvXptTm4t/OAOvHgPNS3zCcHO3vchtjRvra3v3uPCPnwU4flwT1+79M9/7NP5c09b8z39niuickdCenZe3CPZMw1o7Ht7RKYXYJGbLR3/+GnRINP7x3sPySZ3B0/PLh/sL/3kP649+A+MVC6N97/dPfB3sNdoif1+QCN7hNJQLj9vf19Im2kzT3ikU+JcrsPCZGH93d3HpCuIQx37hEfPfyUOJUk8dPx/Yf3Huzu7+/v3idkD/ofdN/5NAbYUW93j/iEWM1OzD797yGJRu8TgD6gmd7d2/10/+DBg/sHPt0e7DKfEcn7n3nsSLjufwq8+p9BwIxQkKTcJwYgddX7KN3+lEXu4UO8t7P34NP9CDBq9mC8/3Bnf2/vwcH+PrEo0Dgg3Q3B3wFn79Cs4qN7xB17ewe7uw8PaObvfZReQ3E8GD/4lN65TzO98ylN2qcASIQlSHvU6b39HYjPp+Odh0SeewdEa5Ljg/uQ/nsk5vs7D6mrnf3dhzz6B4Tu3oNdIv3eQxKPfTT79N6nO/d39kioaQb3WCPcI/6mVvu7xO17D1kl7N4n/iUNsUeKiXp6APVFSuge8HpAH9+/R/JBvPpghz+jybn38MGnpIeJfWnOiVUPaGwkaQfgQuoRHz14QE0ekOZhRpCPCD0i9D3mw13/o/vuE6jN3Xt7YMz9+/IJ4U/G4tPx3h7/fR/67YC0COjnf7Lr3rGfOLiAsvPwgUNHP/nUa3Pv4OD+w5370A86DEVnH4Kpg1Wcdz2S7O3tkQwTXTzSmc/2vc926U2axX0m+86uT84HMoce1fd3PvWa7RyQDtjbf8jKnxBijnhIHPnpQ7DEp+N7JFCfEi/RD9IBrJ/vkR6Gcr5PjEyscg/z/wC/7kNEH94jdcH8Bc28S1K6fw/cAy4kHXRAJCZO/5RUEBqRbHiNdtHo/kHnvW4rxnXvQeej/fH9nRtbkX/0aUDtg4fdGdh/CDVI+tBrtnPQe3OHFIHlHeUlyzny985uejC+fy/8BC7aA/8l+uDA4xz6gHo/8F8i+wRp8j/a73/EJCABJOW+y599ClOwNyaBp2GS+du/T5pCxJzmgN4hB+IhccbD++Tg3bUe3tHjSbWceb+yy/cqP2/21Ov7KK3qWV6Ta4oX0STSEK7arRrCT7tVQzhptuHe5oaf3goifNZbNYRne6uG8H9v1ZC95Fu1FGf6dk3Z575dU3bNb9eUPfhbUZ6buknaCJXjgds15bDhdk05urgdrmh6u8mSWOVWTSWkuV1TjnxuhSs3vd1sSRx1u6Ycbt2uKUdlt8MVTW83WxLj3a4ph4K3a8oR4+1wRdPbzda927fkSPVWTW/fEuO/dzsOkAj5dk33EUjfilQSb98OKoflt2vK0fvtEOAg/3ZQORdwK6iSMrgVVMks3AoqhuU1vWkKbtkU8rp/Ox6Q7MftmgLq7XiAm96OB3Y55XKrppKZuV1TTuDcrinneW7VVNJBt2vKWaNbEUuSS7eDiqa3m60HyFTdqqUktG6HKppGJ4t/qC9412QG6dde1vCuSykmj+9SsvIo+X8AkGsLI8gUAAA=</t>
  </si>
  <si>
    <t>B739CB1046FD02882DC37E1E60B0CFA2</t>
  </si>
  <si>
    <t>JChemExcelzB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NMy9zUOXN9SonIqf+f18Gf8knX/K/YRv3WfebF0Eb/e2j9N0e5vjevXufPni4u3N/58He/t7BQbq9O/50Z+/B7s7evb0Hnx482H3w4HSbP96//2Bn5+Hepw/uP/h09575VAHcu7d/sL+7u/Mg3d4bf/rpg3v3D/bu37+3u7dLY/Y+Otjb+3T3U6Kf9+pDbnafP3sAMDsPH957sL/z8MGDvbCX/T1+naaGQN7j1/b3P915sPPpfUHTtNx5eHB/9/7Bw52D1Pa9+2B/7yF9k+6Pd3Z2d+49uHfv4d79Bw9pYuwn+9Rq9+Gnu+4tIgPa0Ey7jz7VRu61Bw/xfGr7J0Lwa3v+R7vc/wHJA1Hrwe6n+5/e49cepJ8S6IN7D+/fPyDwBzv3iKe6H+2nB9Tb3s6D/Qc7Dz69T4PeTR8SoPsP7t872HvIZLsf+aTz1qcPUhLWTz+lEe09vL/LJOx/spc+GO8RFQ8O7tOUf3r/gMDQgHY+3aE5uEd4E83opb1P93f39h4cPCA0qVNvYDuExf6D+x7xDw4OPn1I8uZoRnNHcB4G1H+4s7P/6UMP0H1wHYmwI8en9+/Tp/4n94lf7u/5b+3dJ1AHD73Bf7pLpL//wGtD2OzvkMC73u8fEEoP9zzID+nN+5/6U797QAS5B0YjmHv3Dg52idB7Dx88PEh3xsQTu7v0LUH7dO9TUiiO8T/d3yGkiaPTbdshgcJnB95HD4iiu5+iFU3J7s6nD/ce7h1Qw32aPEAjbD799P49NKKpJM1xTVK8Ter1/j6z0sGnu3s7u8R12zQ9D4QrD/aJhSBxD8d797xPSPGhFY2HmfDhAYnvw12vmX6Ubj8Yf8ofmBcJ40/HhBp/BLrSLH3qN5PP6CMi94F8tk9TRPKMsWIuvIdbPeQv9nb4uU/j3SOdy190PqKO7+14z67Xr3ZC0uONVXB54I81+pmhkh2ZgYYOHvhd7uz10djzkZVn3x+SPPf6re73YUV63O9/dP9+Hz59dI+kcmePdSLN4B6PsvuZfERKc/c+Me/Og/ukawNs7z04IAnaRbOdAwXNE8Dq/d6ufPTpvZ2HOyA2WM3/6OA+0CXBPdi/v7NHCmWX7cVDv+UBEZvk2IcnH93nQZhuHzAUsq/uM2r9kLQ+KbLxfZnjh2S6Hu7eh7q5J7P58N6npOk/pffcRxCse8KUGMs9UnP7JN8Ei1G7Nz54SEoLWuDhp/QfaVz/M5LgB3vCpbs+e/gco+IR8hVMwQGEHE7Qpw8fkNF5cO9TqMfgI2JuMhfk4dy1Ls7R40m1nHm/ss/zKj9v9tTt+Sit6llekyHHi2gSaXiv2xAtxK06+q68pX9tArF/q77ggt2qIRy1WzWEO3erhnD6bMO9zQ0f3goiO5C3ail+5u2asjt6u6bstd6uKTu3t2vKPvDtmrKrfLum7FHfiv7c1E3VDax7y5aMajitaKOM/e3bsTlIsxfO+PsD4ThiEMgtBU6CkVuNXGKW2zXl0OZ2TTkCul1TDpRu13T39k0BNZT8rzEXGEXIQF9jLkC1D2UtALn3oVwh4eetyAeFcO9D1f4uh7kfOPJ7+5uA3BITBnI7dpR4/HZNOWy/XVOO7m/XlJMAt2u6f/umSBl8MAMh/xAy0PsDkcTGrZDmprfTTZi2/VA3vT+vwbjuh2zyNYGEDPT+REIS6EO1FybrQ5UXqPqhumsfiapvAMZ7Mh7/UO/3rskO0q+9zOFdl1ZMHt+lhOVR8v8A5fuuyMwUAAA=</t>
  </si>
  <si>
    <t>ED572528DC59E692D9B86EB44CAAF599</t>
  </si>
  <si>
    <t>JChemExcel3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2v/vy/Ql/R//9b/B/1/IX6X58SKj/30kFC5P5ll9QYB30qH/tnfxv+Hv3X+7KZH13d5nH23T/D7Y3dnfPXhw7+DhvYc7O/fTnfHug/2D/f29hw/29+/d36XPCe549/7Bwb39g739ewf793c/Peh/dvBp79379x6ku+P7Owf39+7t7z7ce7B7//5u7xMi6t74U/rx6af793fu73z6YJ/w2Bvv7H16/+Hezt7O7oOdnZ2DBwR+/+H9nb2Dezu79+jHpwf7n6bbO+P79+7v36NP9/YPHj54QNNCn+3cf3h//9NPP93dpY7uU1d4effTe/ce3t/d2T2gTj7dv0eYUE87Bzv3Htx7uL+3e3CPh3V/b3/3wb1PH366t//pAT2EysH+HiFyf3935+HD+wf3I590BrX/oE/Je5/2iLa3h0nrfLbfe3P3YO82HaBZD9r9B+n2HhFujxB4uP/p3u7e/U+JvJFeo806n91/SIO4Nz7Y+3T34b2dTw92iIBEqCgqtxzFA5rokJY0fR+l1+DP++P9Bzu7NJEP6S2aIep8f3z/U2ID4pG9e3v3DnYYnwcP/Y8eMt4EsPMZTfeB/9nBbr/dgz64B+j0APgd3L9HHPXp/j7xyadj+nbvAaG1c3BApLqHj0ia7u0Qyg/27987+JQGt/1gvLdLoIgviV8f7tynjw7Gn4Ll8NmDg3vE4oQZ0Yp4nziTgD042CVdQ832dqgngr23v/8paarthzRln+59uvOQpG2P2HivPyQm3v37O/t79x8++PQBzdL+fQgOoe99RuC7zYjIvWY7u8To9z71P0rvjXfvBe/1mhAn7Y9p7P5HpP7398PXum1200/HDw/CTx6MH4RIpg/Hew8DfGB1Qgy/1kv0ARHz3nhvL5gFMjZ3rbU5ejypljPvVzY/r/LzhlgV5oe0alXP8prs5kfSQgzX0bcf3/X+kj/iIO4FIIYaws7dqiGs4a0awmbeqiEs660a7t22IQz1BxIOhv5WfbE7cKuWe7duKf7FB45glx2U2/XHfoxtundT09txCje9Ha/AbwqZxRvhd285Xna+btWd+Gi3a8qu3K1Icz9o+TUnjb3GW2EmzuWtMBMf9HZQ2VW9FVSQxmt6I9TbcY34yLdryq70rXDlprdjDnHMb9eU/ffbNWU3/3ZNHyAauFVTCRpu15Rji1hT/qE26K4Jl+jXXih118VZyeO7FMEdJf8PdCGvBd0NAAA=</t>
  </si>
  <si>
    <t>713BF7DE091AC4094661E8B42F0BBAFA</t>
  </si>
  <si>
    <t>JChemExcelJ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Bp/78vI5+8pv9/qd+8kH8/St/tffbR/vjTewefPnz44GB35+HOwf303vjhp58+3N/b33+we7C/f/Dpg3Rv/PDB/t7u3t7Bw4P9+3v7D9Pd8f79g737n96nP+/f33vwYD/dGT+8d3/n3s7D+wc7O/v39++h1UP66tPd3d379/bvPTi4t0fQ9+m33U8P7j98eO/eg/v7KSFw/+H9e3v7n366T40/3afpenhvf/fBvf29vU/37u/u7NEn93c+3d17uHd/Z//e3sMH9+6nnxIGu/f27n1KPdy7v//gU+BE/d4jdA52Ht7b2X94kG7v0Mzv7u/t7O1+uv/w04d79Fu6vUvssr9LuD64d3Dv091Pd/bRkNB+uLf/4ODT+wf394nm1Oz+g3s0woc0FGB3/2G6fW+8c/Dw092dTw8O7u/uf3rvwQN8RqgdAJH7Dz69f+/BDn22N/50b4ea7RIJ9z4lPNNtYsK9gwcPCYMdwpHokW5/Sh/t3t/b26VxPwRB0+0HY+B7f+8eaHnvYI8/2nt4QDNBnd6/TwSlj/bHD/dpVDt7B58e0JcP76XE4A8/vU+fPNh/eP/Te/eJ4Xbv4cVPD3YPHuzee7h7f//T/kcH0Rd3iCc6tO199FF6TdxDA6UBfErkeHD/3u5D+u0BaEnT+HBn/8HD+0SMvT1iaCImMEbLT+8/2H1IdMFnnz64twu606zfv3+fp2GP5uBT4hnMwv2d+7vgK/AYTcl9oujuwf09+oiGsH9wnwiyc0BE+pRwJoIT8J2dT/eIne8RpVOgsUdMQmz3YJ8GdrDLqBHvgRfoi/v3HmLqCbV7e/Qq4bVznxiHWGSPWGmHEH5wn7DbpcmgTz59QDN6797+/QeEycNd5reH+58+3CVeP/h07yF9SV3uEFPQqw/2dx4A1YefMrvdIybeoXdo+olRmEQQAJpm6hh8T3IHDjzYv3cAtAjtBzsYFDHUg09JnKgFEXcHPdCLJAw0Ihr8Q+5gZ3xvl8SXGPIBIfEAzbaBHMnHA2LygwcktKAZzfAuaHhv7z7mBo0IMSIzCcu9+8RDY+raf0D8Bw92/OehTG+n2XbvVUar8+4eT0nQbJ806l2rUo8eT6rlzPuVdeyr/LwhVoOOJY1c1bO8JuPwkbQQ7Xz07cd3vb/kjziIewGIoYZQ5rdqCJV/q4YwDLdqCPNxq4Z7t20Ia/SBhIM1u1VfbPNu1XLv1i3FiNqme5uJt7s3NNbv3m6sYqtvhxmb9Ns1Zct/q0HcD1p+vQkTJ+N2mLEvcivMxGW5HVT2bG4HdT9oehPUvdtxjbhUt2vKntetcOWmjjlubHo75hBX73ZN2SO8XVN2HG/XlP3L2zVVN/Q2Te8PNeUfqujvGsebfu055Xedx548vkuxwFHy/wDo+iYFJwwAAA==</t>
  </si>
  <si>
    <t>C7774B6C13426476D65FA1F31F2A82B6</t>
  </si>
  <si>
    <t>JChemExcel1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Yv0JDX/nqRf0n/u7xf62Qv7O/9XfpS+2/vso53xgweffrp/b2d/7+Dhg70H1PnueO8+/fdwb3d/797+pw939tO98YP7BwcPPr2/+/Dep/sP9h8epPfG9OWDT/fo+wc7e7ufHtyjVns7BGn3/n368OH9vU8/TXfGnz588PD+/t793QcPHu5/ev+APtrb29v59GDnYGd/n17gF+nP3YMHD/YO9qjD/f10f7x78On9e/d37t279+DBzs59wurTfULw0/v09X308im9trt3/9PdPcLrwcNdQv1Twur+w529ew8PdnYODj6lbwnSQ/p79+DhHg0Og0w/pfE9uP8Q3RNi94is3U96bz3cjUDudd/DkdGmwYKONLhPd+/t0kfbO+N7uw/v02sE/N7BpwcP799Lt4m7D/wPCdFtoste0HA/3b43vvcwaNdv9uDTPrgH1C8N6l7w6v2P0mvigYPx/u7Op/cO9mlY+wd7D0EimqudXRr5g/3792iWQSP694D+3ruH4RHzkhTR6Hd27h0c7D98SLNHVKNpeXD/wb37NFiaSPrg3j2az917n+7u7u0TI90f00TfJ2Z5+One7sF9emdvfP/+3u69nXt7e7sP6Ls95iMi0P6n93YPiGAHO8T8u+P9nQc0ij1irHv7Dz/99B7IuEOMdu/hA8LmPo1r58EBPrx/j7jo/sPd+9TsIU0ZGO7eg90H+zsH+8RPOzsPI+2YtHvjnQfBZ3v47GA/+OxBr93DnU/xGZHuAZGD6Hpvf5/YH/Te2SX+fbi7t/uQGG+fp+Xejv9q75MDvEgTeu/T+zuE7QNiT+K6T/uf7T3ov/sAg6UhHtDYaEKJePskfL3PPiUm77/8KSmzu1abHT2eVMuZ9yurt1f5ebOnGu6jtKpneU16GS+iSaQh9OCtGkJb3qohdOqtGkLz3qoh9POtGu7dtiF1fXCrhjAKtuHe5oa7O7cCydYlbIo2YrWOvivv6V+bgdxuhsWS3WoQYvBuB5Xt4u2gsvm8HVS2sreDuhc03QiV7fbtmrJ5vx0CB/ACbgd199ZNxa+4XVN2P26Fq3gpt4PKzsztoLLPczuo7BrdDupu0HQjVCAQ5QH+ocrxrvET6deeD3nXOZjJ47vkuh4l/w88IGSM1goAAA==</t>
  </si>
  <si>
    <t>0C8F94AC5A7C5136F1442D8DD1EADAD5</t>
  </si>
  <si>
    <t>JChemExcelF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5b8v0xf884X+jU9OSvrfR+m7vc8+2r4/fvDw04f3D/bu7+/uPty99yDd3h/vHew/2DnYe7D/4ODeA+pu+95478Gn1OLTvd2Dh/f29+7jowcHO5/u7T/cP7h37+D+pwcpwdp7uHfwYP8hNX5w7+HDT9Pt3fGDT/f3Hu7SP/fvP3j4kFrtjB/c/3SXXjx4+OmnDx7s3jtIIx/1X+zisP8g7WKa9kfTRfNB2sXyfvpw/PCB/xYQ2vkovd4Dz3y6s/Ppg4f39+/tPtzfefDgAWF28HD3wS5h8YCa7x7sfQr89x7cP9j9dHfn/j6B3ZNh9j4jDtw9+HSXhrT/4P7Dg0/v76bdjx7wq7v79+/vfnpvb2935+D+fcI37X22c68P7+DBUL89lLe7IzvoD2P3YQ+9Tx+CNuCRhw98iCQMj+9aVj56PKmWM+9X5u1X+Xmzp+z9UVrVs7wmAuNFNIk0hBDcqiFE5VYNIVC3akgQPw0aooVI7tG35S39axAExPZWfUG4b9UQKuBWDaElwpbvj75omtt1xwrpdk0B9XaTKuot1pR/KHfdNVqWfu1p4LtOPSeP75LiP0r+H/3ynb0UBgAA</t>
  </si>
  <si>
    <t>EAD0D0F936DB5FF12932512D4E835AA8</t>
  </si>
  <si>
    <t>JChemExcelm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Aa/+/L/icfpe/2PvvoYLzz6cO9+w/37+3vPNzfO7iXPhjfe/jg/s7e7s7O7sGDh3vpp+P9nf0HD3bx9f7Bp9Rkf3xAz+6nuw8P9u4fPCCM98f3Pr1//+HOp7v02oOHDw6IiPfuH9zb23lAL+w/2CPsPx0fPNjfe/Dp/d29h/ce7B4cpNT5w52dh3u7BPtgd+fhg/Qhwdl/cO/ezoP7n+4d3L/3KbV5eO/TTw8OHu7c26fvdh6kNHn37j/Y2bn3YJ9w3qUOUpqvBw8e3Ns9uH+w/2D/AZHu4Xj3UwLz6cH9/V0aBBGOkL53f+fh/V309Ok+/ZHeG9/bfbh7jwb/6f0dwouQ3Bvf26NeHu49eLj76YO9B/f26KOD/Yef3qOhf7q/e7Cz8ymhMD64/+lDogrh/+Dgwac0XkIKFDwg0PsHRLf7NJrtnfHuwR4N+VP8s0sDObhPDQmB/fv37t/bv0847+yl27vjT4mS9/buffrg3v3dhzsHDz9Kr2ly6Asa5869g/17D+/t0sAOdgHz3i6Rcf8e9bBzf//evYcAsP9w9/7DT/fu7xBldvdobPTZ3t7OfXS+8+n+PSL7p9Q14XFAhN3b2aU5oen5lIayv0M0IaLt7tA8EAL00e69/V2aXuIBGufu/n2iAc3qPcL74cE9mvldkGBv9/4Oje5TmtX7ROl9oEa026Nx0dTt3vsUQ6PREnM92NmnQRFpiK0Y2/v0EeFB3zzc27mHj4iM+58+vLe/TwAO7tNnRHYi0gOiBxGdyER93hvv7u1jMAe7D4iHaN7HBOEezS7R7NP9Tw+I5jtEigNCdR+MSAyze+8esKApukcTdkDDoFEcMGbETO7dhzu7BG6HXqNJIlz3PiX+xcCphf8mKHaPKEMc/ODhAdF394DE/K6V86PHk2o5835lwX+Vnzc0oRB8UhNVPctr0lgfSQtRGUfffnzX+0v+iIO4F4AYaggNc6uG0EO3aghtdauG0Gm3arh324ZQkR9IOKjYW/XFivhWLfdu3VI0+9AIvnu7EYhpsEDu3dRfyCfvTzFYnZCFvgbObMJuRyO2dLdrygbRNt3bzLRey69HCLG9t8OMTfStMBNLfiuoYvBvB/XToOmNUB0/eU35hyqxu8bToV97XtBd5yIlj++S83WU/D+RkysxmAkAAA==</t>
  </si>
  <si>
    <t>72C5BB44C9FE0A1447AB7E922DC53C8E</t>
  </si>
  <si>
    <t>JChemExcelk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OK/16k8hP/vU5ffJS+2/vso73xp58+uHf/YG//3qf3P915kBKa9+59+uDh7t7uwd7Bzr39T3sf3U87b3368EH3owe7/dfQ6OHOw4cPDz69t/Pw/u7Ow/3T7d1PU6Jcuh1p3fvs0/10u9fPR+k1jWN//OnuQ/9J740P9sNP9sb30Lv3ye74/v6O9+ymB+ODg90HB/u7Dx/Qn3v39xjD7Z3xg0+DVx8IJjuf3tvbvbe79+Dh/t4BNyWQ94KW+/w2t78H+AR2f3dv597ew/17O3v38BLN8l07zUePJ9Vy5v3K8/4qP2/2dOo/Sqt6ltfEn3gRTSINwSC3agg2sg33NjQEs90KIljyVhDBuLeCCPa+FcR7fsMbID68VUOWqVv1/VAkrw+Tf+iE3jUyTr/25P+uUw7J47ukdo6S/wcAPgl0kgQAAA==</t>
  </si>
  <si>
    <t>3D32B23592A60D25422415EFF5E01385</t>
  </si>
  <si>
    <t>JChemExcelX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U/Pdl+oL/Pfkofbf32Uc74/s79/fuPdzd/fTezoP7Dw4+TWkIew/v3d97uL//8MHO7qc7ewf7KRHh/sOD3f2dBwcPPt072LmX7o3v7dx/sLOzd39nl/7d26M2B3t+m300enDv/s7OvXufPiCYe7v7BH3vIGiUbu+Mdw8+3Xmwt/Nw7/6D/U937z/8NN3eHX96f+fThw939x58+unD3ft7DwjYzsOdvQf393b37t+/v7+//1F6TUPYH3968JBev7e7u/uQIN1P74339uhreufTnYcP7u0d4NWDHWC5v3/wKaGxS8juPtg/2N17eP/Te/d2H9y7dx+IhLjd22dE7t/zx7n7oN9w/34PHsgRjoBo1kXs4R5N7V07t0ePJ9Vy5v3Kk/0qP2/2dL4/Sqt6ltfElHgRTSINwRW3agjeuVVDcNitGoIPbcO9zQ0f3AoiePpWDe/dtiFE5FY43hNB6oPkHzpNd4240q89Ub7r5Dx5fJc0yFHy/wCcIASoXQQAAA==</t>
  </si>
  <si>
    <t>EDB90540597A229E7CF968E7CAAA8E5A</t>
  </si>
  <si>
    <t>JChemExcelZ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hfy/sb196n36ZfvlR+m7vs48Oxvf29/cf3rv34OHBw3s79/fST8cH9w529z/debD/4NO9hw/xyb1P9/buP3y4c29/7/79B/vpg/G9h3sP9nZ37tE/B3uE1Kfjh7ufHtzbP/j0/sHBzgERa393Z//gwX2Cc3/nwb2H6f743sHOzt6n+3ufPrx/sPPwU/rk4P79h7sE+WDv4f37u/v303vjT3f9RvfTPep8f3d/hzr+dG/n0wef0icH+yGg3TGafnp/7+G93U/v79+/d5DujO/t3CPEHhI29+7foy/S7Z3x7oO9Tz892D24d29njyDuU7OD+w8ePKTud/Yf7ny6++k9NNvbfyiD3bm383CH0Eu3d8cPCCA99+89eEBIP7hHvRLqe7u7u/v7Ow8ffPoQb+7cJ2I+2Ht4QKS8f+/+gz28eX9n99M9QmH/3u59ItFD6nVvd+/h3s7Bw/v3dnYJ4sOP0muajP3xzu7DfSLTg32i3f7ePuhBM3B/f+fBzu7BQ/qcRr93b//TvQc0qp2HNNQHhAchuQua3Du4//De/b0HwOTeA5pXQnl37959+vJTfPbpQ//N+58SIoTuwS5N7adE4k/v79wnaA93/TcfgN67Dz+9t3dvl0ZJE3b/Qa8Rka0Dilgq0uNBH7NP793vjoDg9IZJPdyjKSVS7xA9Pt3ZJQYEZg8ePtx9eI8Q26fZBr0e3Ce4NB/7DzBbnx4Qlz3Y36XPiL1pgJ/u4BNqur+7d0ATtUdEPSDu3SM22HtAjLF38HB/54Bk9q4V2qPHk2o5835lKX6Vnzd7KsgfpVU9y2vSNngRTSINIe63agilYBvubWgI1XEriFAwt4IINXQriFBWt4J4z2+4CSJ0360asoa8VUtRpLdC80HQciNQ1sy3a8oK/HZNWc/frimbg9s13bl9UzYwt2vKduh2TQH1dvMvVu12Tdn43WpeuWl0YvmHCvVdY7Xp155Fv+vMffL4LjkSR8n/A3N+mCdkCAAA</t>
  </si>
  <si>
    <t>6ADE009ABD6D3DA32D1A3D84F5DBDCF0</t>
  </si>
  <si>
    <t>JChemExcelP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v9f8n6Qv9f/DfR+m7vc8+ujc+2Nk9uH9v/9NPH+zt3tu79wCjunf//r29+wcH9/cf3vu098Fu2n3r/v10b7z/6cHug/17+/sHD+/tPdzZ67X6lBrdv3//If318P69g3sPdx7sU6Ode0Gj/XR/fP9B+N798c7+gwf3Hn5672Dn/sGD/fvpp+P7u3v3PqUW93YJtYM9fHQATHY+ffBgZ3fv03t76YPxp/c/Pdh5+GBn/97BAeGXPhzv7u3u36O3Hu4f3NvZ2U9phvc+JZgP6S3qdffhLjV6uH//04f3H3z66QGNeT89GO8f7O58ekB9Pfh0/97OPYJ8jzrfu/9gZ+f+3sNd0P+aqLk33n14f2dnd3dvb//eLsG7n+6O9/f8j/Z20+0d4pv9hw8PDh48IPwe7j0gOtCH1JX34UGs4cOH6TZRei9omG7fI3SI1Ae7n3668/DhPZrE7f3xAxri7v096vrhvQP0EPko8uLemGaZPnz4cP/Bp0QOAk9Mvv/g4X0iIM0AzcyD+3iT0H1Af+4d3L9P5Np5gM/2dwgtkG5v98Hu/h7jsX+PANMs7O7QTBzQq/eZvjTBDz/dvffwYJ+4Z/tTGtQuTfv9Tx/QTNPsodk9ouwuzd29T2ny9iA2d63cHD2eVMuZ9ysL0qv8vNlTWfoorepZXpPA40U0iTSExN2qIeTyVg0hvbbh3uaGn94KIjTBrSBCX9wKIrTKrSCy7rkVyE9v3VKU2e2ass67fdPbTaVo0FuNXxTt7aCyPr4dVFbbt4Oq2v02UO8FTT2o/ENF5a4xR/Rrz1TddXYseXyXLORR8v8AiPeB8T0HAAA=</t>
  </si>
  <si>
    <t>E2B5C3764D08A98185D972750DE5A4E9</t>
  </si>
  <si>
    <t>JChemExcelU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nwf1/2f/8ofbf32UcPxns793fu7e7t7O/f391/sJsejHc+fbh3/+H+vf2dh/t7B7vpg/G9hw/u7+zt7uzsHjx4uPvwfvrpeH9n/8GDXTTYP/j04F66Pz6gZ/fT3YcHe/cPCM698cHDT3cOPt0hMNSOPtkf3/v0/v2HO5/uEqQHDx8cENXv3T+4t7fzgCDsP9ij4X46Pniwv/fg0/u7ew/vPaDugM/DnZ2He7sE5GB35+Gn6UOCs//g3r2dB/c/3Tu4f2+f2jy89+mnBwcPd+7t03c791Oa7Xv3H+zs3Huwj/6pg5Qm+MGDB/d2D+4f7D8gfO4RoN1PCcynB/f3dx9QDwcYxb37Ow/v73JP+zSue+N7uw937xE5Pr2/Q2jtpnvje3vUx8M9IsWnD/Ye3Et3xtR8//49QuU+9UDkTLd3xrsHezSQT/HPLqF37366vTv+lMhzb+/epw/u3d99uHOwR+8ynYlW+/sHRN1P76W744P7nz4k+tLAHxw8+JQItTc+2KeviNSf7u8e7Ox8uvdRek3Ttz+mSfv0wcN7D+/vf7r/kHjn3nhvn4Z9sH/v4b1dGuYDBkck3b93/+GDnfv79+7tUSPC8f7DT/fu7xCRdvf29qmHB5/u3AfCO5/u33vwKSDRDFC39+/v3t852L+/T5CIUXZpWh48PKCmu/cx9F3Cavf+HhH/4GBn7z69uEPMcf/g4N7BgwPCiFDZ2Qc97gOjnf2H9MXBLmaWhr5HOGNO9gj9hzzynf09oiJN6+69T3f2QOyHxDzERAcPiUT8CX9AM08/Hu7tYDT3aHj0/v4+vXzAdL63S9NPJCZi3dvZI3mhz2jeMbSD3QfEWweC1P7Og3s08TQVnxKEHZ44Ivg9Iv8B8Sjhe3CAAT08IOT3wbfEX7u7QJ4m9oCw2Nshsdk7uLcD+hBKHjjClf7wYX1KbXYIDLEcjWePmOKAFMZdqzGOHk+q5cz7lVXIq/y82VMt8lFa1bO8Jt2HF9Ek0vBetyFaiJY6+q68pX9tArF/q76g0W7VEHrPNtzb0PBBF+L7Yw/teiukoINv1fDebRuySv9A9MUm3Ko7MR23anrv1i3FFg0N4tu3HAQbMwvk3k39feicw046BvuaOLPRvR2N2Dbfrimb8Fvxvlj6W0EVh+BWULnp7aZe3IvbNVUv5BZNH9y65R7cn5CsN04j/1Cledf4aPRrz3+765y75PFdchuPkv8HH02JtVIKAAA=</t>
  </si>
  <si>
    <t>F7FDD28F93104C7A68E58EA8DCCB53C9</t>
  </si>
  <si>
    <t>JChemExcelbx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168FGalzko++Z6ldNEpTf992Xkry/tb/LfC++zLztvuPfcu2Er+u2j9N0ecdLe+MH9BwcHu/cO7u0+vPfpwV4Khtg9eLC7s7ezs7d/sE+DJR7a3dvff/Dg0/uf7t7f23nwID0Yf3pw/97Op/sP7u3t0K979Mn+/s69Tx/QGwfU7uFB+mC8s7O7+/DTTz89+PTBPgEldjvY+fThp/u793bu3dt9cHA/3R/TKw8e7j28f293f4f+u5/eG+8+uHf/05393f0HDx8cPCCUxg/u7d87eLh378Gn1OVDmktC8uH+PYK6//Dhg/t792jaCMmH9BeBQSf3DnYe0EfUYudTeuXhAcHbpQncG+8d0C8PD2hoNMR799Hhp/f2Hj54QNjfp/cIV0J058He7v7B3u49wnKPGOPT8d6nnwLo/b3dvQcPDugD4Pvg4f7epwdEg10a7oOd+/fv79JgiJbUBZHkgLA72N//9MGnn+4STqDkPRrI/fuf7u+Dfg/ugd73iRg0B5gCGvf9lGbl4YO9e4TMpzuEz0Oi0+7+ePdTQm/34CFR5CHRe/fe+OHe7qf37+3RYGjEAHV/TK8/+JTg3n+4t0NN8dG9vd3dnd293QcPqbtP091Px0TFPYL/8P4OAdtPdzFR99HqHhH1wX10d0AY3Ht4sPdgd3/vwT3A/nR8b5+A04j29jGd9/HefSI8UfPeAaaeRIA+2hMMiXdohvcZqYP7Ow92dh/sUSc0qH0Mhjhk/9OH1OD+ASF1gI8e7tDUPTjYJSI+3Ds4wAAf7DzYJYI/INLdo3d5zED0Hr35cH9nBz3ShH56sENTQaTepzm7h4929mja7+9/SjSgqf0URKbBP3iwSwx87+FDEtiHNOn0PdF3nyi1x2/d392j6XxAU/PpvXsPeIA7+8Ru+0TiBwfEkZ+CMMQ4hOP+/h4YgdQMCPqQnvuf7hGD3v+UNAO9+JAgEafRtDzcBQLEHfs0LEKfeHH3PshONCYy7pE8gYkPHnya7hF7HOzRaPeowd7+fVIo9NGnRABikIf7B8TtmPmH4/17NFWEGIEiYUv3aMQkZTs08Q/2iNP28cm9XSLvLk3gp0R5Upt7xGhEyb37B/QXCQneIzEipiNp//Q+vUxCRO/d3/t0b/chKQAa7wP+hMZB/yOJ+PTep/cwmHtjYicSGRo1zegB8zX9IBT3Du7RVBObQkPch/o4oLmk1/ehD4jgRH9ijn0SNtL6n9JE7RIldyFW93cOHpDgEdcQbiR0ND87JDKkocBNpHtIrvcPHpKBIFkg2t4nBtvfI0G7T1NFkEjy0Iz63iFyUaMDGu6DnT0Aphncuf9Rek0qb5u+oBnFXO3dp0FSU/po7+BTUjd7JN+EycMH6fb9MRFqH0qOBIHm7AFaEVHuEdVJL5FoEPNtk64igXj4YOfh/X3qnwzX9t6Y9NvDPWhPkrg9YhE0I+gkEHvEkHs7JNv4aAc64QD/A78TB1IHYEdQ8VMaC71/H+32H0IV3oMEHBBbptu7NICHRO1PoRQPoKXT7Z0xydHBwR6IuUscxMqPeJGI/4Dmmhjq3n18tM9/E/N8uguxJh4n+PdJER4QTKIcUYVaPSTZJMX/cHePWPAetyIu3iNqgodJKmmmSBSJmUglPvyUBIKE/h6U8gNS+NBin1KHBwdQt4TkfZpzYkPI3j6UORHrHvHELsnIPhQJTTEZAeheGsx9ggUtvQu4e9AOYPN7MAuk00g57NOUEDH3U8zH3v4OtSeyfvrpA7z26T5NEFkRIvvefdKr1N194jmSAuIT6GWy6TQ+koGHpPShqe/TmEA/Et97OyA6aUcCwXQm2SfNSXz2KYnIHqYNhCC+Obj/kPmAuBTvPoSWIF2wR0qNuA+2iJhy/z5NIum+h8TeDwmRXZKVe6Q7SCFBscFgkcaBbHxKM0YsTS9SB/fAwvcIrYMDjGkbJASWD8jY7rJZI6Y4AIfskurduQ8+wHsPoKgeQtihIoHszpjIQJNN1Ce9S4z28D7AkSg9uI8xEjMegItBbZoBkmBoUHqV+ZMElJicWGOfKEecR9QlNj8gqtKfhBmxM6hLbgGxDZGflCtZD1jTXZp9IjmNGtBonu4TK5AUfwqsofNIXHdJNX/KE7JPhvlTOAvEEg/JwhBfkiHfozb3gTmUCEnCfcKdrDIU0cNd8CQJ1B6Bhs8A5XmfbQt0wz7RaR+2mRhgByy+h/m5R/QjY3Bv5yF1RVS7T34HFA9UARkDasxf3oPUUVcPxxBx4lNSHsRye+wX3YeyZVNGLPwQgvLpQ8gD2elPabgkKilITnNFLcjHIXZlxqUZekik+xTWkjwjQojUGNEE9p+8IMgciTnJ5KfQ6jR998mGgCWJpYAqkexTMuEPmNWIW6hzYpg98tuYS4nRqLsD0vZkA/ZZd5GgQVMTf9Bv4BgQ/FPICYkwyejOATnsd63HfvR4Ui1n3q/swr/KzxtSmHDhyeGv6llek8f4kbQQ5//o24/ven/JH3EQ9wIQQw3hkd+qIdzxWzWEL36rhohObtUQMcytGiLSsQ33QsK9uR3hOFK6VWcSUH1gdxKR3a4/DtyG+ju5ZX8c+d2uPw4Qb9eU48jbNeVw83ZNOSoNBryxqZv6jVA5xr1VUwmFb9eUI+YPZAYJuW/XH0fmt2vKAfytyMhNbzePkg64XVPOGtyuKScXbteUcxC3Gxaa3m4eJaNxu6ac+LhdU86P3K7pPtIot2vK2ZbbNd3tNfUY8pY2RTI7t+uPE0C3mhxuerspl3TS7aCi6e2mfO/WLSWNdaum93stPQp/93b05u5CBnv/SYPw7Yes9/5AJGf3ocMBkNuxK+cFP5RdJbl4u/44B3m7ppyqvFVTyWjeriknPm/VFMO6ZVOG+qEMJLnY2/WHAX8om0jO93b9cWr4dk05g3yrpjCt90NmeH+qwR/49HZsAi/j0w/19+HVfPqhCkdS6rdCGm7cpx+qVuBhfjrIL7cEcoDU/61wxuJAyC3v35tZYeh3xz80ortrFnDo197izl238pM8vktrSkfJ/wPMhV/qbxoAAA==</t>
  </si>
  <si>
    <t>3E565C445F66651E7624917BF216DF17</t>
  </si>
  <si>
    <t>JChemExcelA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Bp978v0xfB3896LfDZl+mXH6Xv9j776N74092d/d3dBw/3P917cP/hXtr9hPDeHz/c3995uPNw99P9+/c/Jaw+He89oGdn597B3sG9Tz/d633Sf+ug98kDemvn3r2de/fv3X+4f7D3cDfSpP/JvfHB/fu7+5/uP7i3T33t3/s03Rvf2/U/2k93x/f3g0YHKTHJTvDRPZqb7Z3xg0/3DwiDvU/vP9j99P79B72G9+/t7/YA3r+fblO3O/67n6YPxvcfBAM6GFNH/gcPxwcHwQfEvJ/eDz/ZG+8+9D7ZOcBHDz/1P3oQbdUBRR91utt5GAXVQ6E35R+l18QuNGJqcx9TfbB/8Om9+w/2QMGHD/3PHt7DZ3t7QTuQq9vwwX7aB/gg3b5HZA0+I4D744N9/7ODdPv++CHN9IO9vT2a+3uf7hMqD8Y7ezRZn35KWBP6JEPbB+P7n/offdp/cTf60YPx3qcH+IsYhd4HspGPOi8SLxKqn+7sPKCpefjw04P7n+7s9T+KvNj/KIbEp/fjnx1QB7s00fuf3t/99OEDUjixjx5SB/fv7zy8f/Dpw4cPHuwTEUk17n36cPfg4MHOwcHefaJu5LPIqzROYiQa3MGnD6gTYh+06o+ANO9uMEkHpEXvWjV69HhSLWfer6xXX+XnzZ6q1o/Sqp7l9Wcf7eFFNIk0hAK2DXc3NISavhVEKPNbQYTKvxXEXb/hJogPug3RQuzQ0bflLf1rE4iDW/UFO3WrhmzNbjVOtNy9FcwHt24pRvR2TdnW3gpTMcm3g8qW+3ZQ2cDfDir7AbeDuhc03QgVCNx6+nfD+fe467u34zVxYG7Vnfg5t2vK7tDtmrLXdCsqinN1O6jsg90OKrtqt4PKHt3toO4FTTdCBQK3m3Gm6+CU31K93BNXtN8d/1Btftd41PRrz9u+61zx5PFdcvKPkv8H4/0ntQAMAAA=</t>
  </si>
  <si>
    <t>CE70FBF8BC4D69EF90F3EBB8E4DD8D6D</t>
  </si>
  <si>
    <t>JChemExcelo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v9e0/9fpPK7/Pel9/sL/vvLj9J3eyDSvXv3Pn3wcHdv92DvYOfe3kHa++jTdG98/8HD+5/e33t4b/fT+/v3d+mT3R2/0b10Z3z/0+C1h/TRzsGDBw/3Ht7f2X+48+nuvXv30+2d8b393fu7O7uffvpgZ+/eg/vUbO9g/+DT/T16/97+vfsPHqDVp3sE4/7O3v7Bw0/p9YfpNvV5f/fg4ODB/r0Hn97bfbiLjx48OKD3dh/s7zx8+JDApdu744MH93Ye3Ds4uH//04f3d+9Tp/fGO/cf7DwAWjSG+w8f0mf74/sH1Ovug/u7u5/uPNgncPfH+w/vHdyjoT389OHu7j51+mC8s3f/3sP9B/cJ3AENit47+PTB/v1PP90hSPv0Psa5Axz3d+jvnU8JoZ1P6cNP7+3t7xE4GtADDDndH+9Qe8Jy72CPcDh4QJ/c+5RHc29vd/chkR28Rljdu09I7hPyD+5/lF7TPBFBHnz60HsO9jH6ezvuEwZII90DlR7u0fDv7QAbYEzzcrBL+Nz7dI/QvMejDz/b77/64FNQ5OEeUQ4tHn5KTe+BIoTtfbz08AHNwqfU6oD442Cf5vDB7s6nRMEH+Igos/9g/wCje7DHhKQvd+mDPWp3/yEDf/Dp/gP689Nd6nAX8/5w/CkR49PdnZ2Dhw/2P93DJ8QEBJJIcX9/b584bZuklQDvPbh3b//TAxrF/T3+7P7Bgz2a2d17+/sPPv2UxrgLjqG/ie92P6UR3OcOHmJ0QOHg3gGxDDUjjn+4t/vpwacHNI0H9x8+YMa69/Dezr3d3Qc0YUzZ3TFN3ENigt29nU/3Hu6BFvcwKzQIYlQC+ykNhWT+rhX6o8eTajnzfmUt8Co/b/ZUEXyUVvUsr0kQ8SKaRBpCXdiGexsaQqncCiJUz60aQkHdqus9v+ENEB/cqiG04q26hu68FUTWsLcCKYr4VkBFX98K6oOg5Uag6N/N+cambCdu15TNye2astW5fdPbTSkmwM3pRqBs6WzTe5uZfs/N6kY5YrN5q6niptG54h8q0neNzadfe/7AXecsJI/vkhtylPw/+V6/76IIAAA=</t>
  </si>
  <si>
    <t>32C73C5A63BF9732DAFF3203E67EDC60</t>
  </si>
  <si>
    <t>JChemExcelNA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4dfJTmZY4Bvble5USfdOi/F4Pf+P99Sf/pv+VH6bu9zz7aG396b2939979B/s7u5/ee7Cb0rw89D759OHDdHtnvL//4ODg0/29+w8P7n2695BGEWm3N6YGDx7uffrw/sH+/v7Ofu+T+58OwN/b373/6f371Mvu7qefUuP4hx/08vbu+P6D+3v7+59++vDTew8f7BDNo591X34YAfgwAu9+ur03frhz8HDv3oOHu/ufPniwv9v76N7D/oufRj47eNDr9MH+g72BDztv7xLte7h82v9on0e2c8/vmD5Od8YP7u0/uH//3r2de5/u7D0kzt4b7z0IPkrvjXf2/U92Po006kLaIYrcI4ENhvohfBJ59cF4b8/v86P0mlj94ZhGvLNn/3c/vc0nB+Pde/4n+wT93qf+J5+SAjpwf+J/9MnO/c1t7vfg7BNB7+8GbT6l0RE9A0C7472d8BOSzgDFT/fvgyF2aeQP7P9Ip9BnB+4D+t8+pmJ/N2iWbu+Pdw86H3Vb7TLzh8BI0W3fHz/YCz5Lt2kuPu1AOyCG67R6SOzb+Yh0/r39zpuRZl1gfST2MaR7xPUP7x3c393d338Y/aT72v37QJ7Y6dP7ezsP9w92dndI93c/2nkYG3V31vZJXdK8BZO7j48eHtz4EYknGaq71lIdPZ5Uy5n3K5uuV/l5s6fW66O0qmd5TSYWL6JJpCFMzm0b7t+qIeylbbi3oSGs6q0gwvbeCiIs9K0gwo7fCuK+33ATRJj9nVu1FO/hdk3ZybhdU/ZFbteUXZbbNWXP5nZN2QG6XVP2k27XlN2p2zVlr+t2Tfdv3xR+2u0mVty92zVlr/BWHCjO4+2gso95O6jsit4OKnust4O6GzS9kVi34wFxlW+HAHvUt4PKjvetoIp/fiuo4sbfCiqG5TW9iVj3bscD0C73bifcUP23YwEJRm41Km4anVf+ofbqronC6NdehHbXhW/J47sUGB4l/w84C12WNA4AAA==</t>
  </si>
  <si>
    <t>5E24E1554FAEF51E8E5A0B32D04619EB</t>
  </si>
  <si>
    <t>JChemExcelQ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vN/X/L/X3yUvtv77KP98c7O7s69B/c+vb9/sL+7c58Ge+/e/oPdT/cPHtzb3dvd300/HX/66cG9h/c/3Xm4u7+z++BBekBv7e082H9wb+fhpweEyUN66f6D+/cO7u89ePjp3v6nKVH0008f7t/be/hgnz7YO9hLd/fotXu7u3v00v79vXs0mt179OKnDx5SRwd7Bzv37lOr/fGnD3b2H+zco752Du4dUKtP6cX93f2H+5/uPrz36T41ekDvPaBX7h/ce/Dp/v79+9GP+u9FgB/QR7v3dx482Ll//+He/sN76R5xw8793QMa2oP9vR0aU7pHDECtP73/cJ/aHNz/NN3bo/f27u/Tm7s7Dz6lD0DLT/f29ncf7j3c2f/03h4A3f80fCsGhzDxPtn/KL2mmdkGT+6m2w/He/cees9Byt/sdD772W324HbNBqCR9Nzf9z8DuL3xvd3uZ7dp9zDS7qG026Mf98Y7wV+f3vf5a58+2x8/JNa+f7C3T0z/6Y4M7eEBzdfOwYOD3Qe7Dz+9T5J714ru0eNJtZx5v7Isv8rPmz0V54/Sqp7lNekcvIgmkYYQ+ls1hGq4VUMokFs1hJq5VUMoo1s1hMq6VUMotls1ZPVnW+5taCla8lZARZneDirr3NtBZdV8K6gPg5YbgaL/202nmITbNWXLcbumbGBu15Tt0O2aPoC5ulVTsWq3aspQo2LHP1RW7xqTTL/2zPVdZ8uTx3fJSzhK/h9Zt61ZQQgAAA==</t>
  </si>
  <si>
    <t>4604CBBFFDCFA7EF428A67F4917B82BE</t>
  </si>
  <si>
    <t>JChemExcelc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FP99mYY/5Xf564X3WfBf+VH6bu+zj7bvjR/uPNy5/3D/4f2d3Xt7O/c/Tbf3xvcf3L93sHPvwb3dg/uEaeST3fHe/u6Dnd29+7v37j/Yvbe/lxLRH+4+fPDg4MHO/gMCunPwsP8ZjbH37v37/c8e3E93x/t79z+9/+nDh3t7Dw8e0sfp3vjB/Yf37n26u7u/u/fpwwe7kU8ir3U/2t/vIHbw8ODTPvSde92PPj34NN2nN+/t7N7fu3f/4f37Ozv7vU9o7u5Tj59++nCfen9wcG/n3qe9T+6Hr+0/fPiw19v93iefHqTRKet+di/dvk8U3Xtw7+DT3U8P6OV79OanNI2fEpnx6acP9x7s9z+633txfzd9OP50JxjNR+k1Mc/++P7+DhHzgF47+HRv59P03vjBg+CTfRrB3j3/o4eYjU+DTyKN9nugmPJhfwfpp+Odg/CTfpseoF5vBLqHU7pNHPKApoC4nUhw78FDklz67GA/+Gy3/xlJK8nLvQP/s3uYod37/kckMNv7Y2JJ/1Wm/v6nQbt0+8F4Z6cD7QENqvdR2Gq3D2uvN84Hn/YHuvPpwKi6Dfd3+4S735/MT+9B2kh73rXq8+jxpFrOvF9Zn77Kz5s9VakfpVU9y2vS+3gRTSINoXhtw70NDaGebwURSvxWDaHqb9U1DMKtIO7dtiHsy227fngriGyrbgVSTNqtgIrluxXU+0HLjUDZlN6uKVvcW/XPTW8372K/b9eUzfztmrI3cLum7DTcrin7FrdqKi7I7Zqyp3K7puzQ3KophnXLpuwh3aqlOFK3YgHxt24Hld2y20Fl7+12UNnJux3U/aCpB5V/qFq9azxY+rXn3d51rm/y+C451UfJ/wMyja6ScAsAAA==</t>
  </si>
  <si>
    <t>3A8E3E9F0F9BACCBDBB3ECDF0067138B</t>
  </si>
  <si>
    <t>JChemExcel+w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Yv0pP0S/73JH2Wvvgofbf32Ud7408/fXDv/sHe/r1P73+68yDtfrBzPyVs79379MHD3b3dg72DnXv9T/b30+398d6n93YO9h7u7+3t3tuhD0+3dz9Nt3fHB3u7+/cffrr/8MGD+5/uP8DnD/pA+1A/PcDbnWb3Pkqv9zAd9+899J6DB+n++OHD/Ye7D/d3Dj7d33mw+1D63xk/+NRv+fBhur03vrdLI324s3//wYNP93Z2Dg4+/fRTQZgg79N393bCd+6ND/aDTz5Fo90d79ndpym6a+fo6PGkWs68X3nSXuXnzZ7O20dpVc/ymmYBL6JJpCFm1zbc3dAQPHAriNTw/q0ggp9u1RBcd6uud/2GmyCCiW/V8FNm9X5D/qHEv2uEiX7tCdpdJ4XJ47sk30fJ/wPjBejG+wMAAA==</t>
  </si>
  <si>
    <t>7E4A27060D04E5A31AA011FF21FCFACF</t>
  </si>
  <si>
    <t>JChemExcel8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mL9CQ1/+K/L/n/L+n/5r8X+v2L9NlH6bu9zz7a3h3vPri38+nDB3v37u09vL/3IN3eGe99+uDgYGf/3v6Dhw93dw8IFWr28NMH+59+urNDrfZ3D/Z7Hz2IvPqQXqUPH+zfe/ApNfx0996n9+89TLf3xns7B/ce3vt0f3fv3u7Og/v7/c8e9N7cJ9rsjHc/3d3f2/v0YI/aHnx68Oler9u9fQxjd7z38ODe/u79Tw/uP9x98OmDh2h4sLe3f59weLB3f//e/R3u5N7+p/c/fbi3R80+fXhPUDl4sHOwt39v797+wcHBg0+p30/393Yf7H5678HB/s7uwac0sHvj/fvU1cOD3T3qZP/hQf+je+ne+P69nf29+w/29mhc+6DwvfEBDXJn/2D/3sP7u9RB/5P7vfcikMC1Dx88IKJ9ev/BA5o8YolrmdR7O3sHGM/9/YefPjx4+ABjur9/8GCXaPwpUWV/58EBPtt54LejWSVy3L8XfIaPdog+RLN9oubD+w92dnYw/QTj04MHew93iGYPP/30Pn10cHDv/gMi594e8RPhRQPb3ws+4tE/fLh//+Gn9+59uvPwYAdDJa7wGn16QCMjPiBUP6UeMK176afj+zsH9/cIpYeEyv29g/TB+OGDezS9D2ge7+3vEAIPx8QuRI8HD3Z29w4+3dlLD8b7+w+JaA93aOKIsLv01j5N/gMa0b1PCev9h+n+mAb84NO9B9TBDs0dzfVDAnJALH3vwT5RmJAmDqP3HxBK+9TZzi5h3aPUw70+RZnXD/a7RKYuD8JmvQ7ufUqq5K7VJUePJ9Vy5v3KyuVVft7sqX75KK3qWV5/9tEeXkSTSENoIdtwd0ND6KpbQYRGuxXE3ds2/LTbEC1Exx59V97SvzaBeHCrvqCGb9UQyvpWDVml36rlp7duCZi7H0gSsTG36k5M0e2assW6FaNw09txADf99FZNYR3DqfaI8e3bkYat7AeSF1b7dgwixvxWJBObfyuo4hrcCuq9oOVGoOxr3K7pjrgk/ab8QxXXXeNB0a897+quc72Sx3fJqTtK/h/id0GG8AkAAA==</t>
  </si>
  <si>
    <t>D44FEBCAA9D5EC47D9233C528A9B9528</t>
  </si>
  <si>
    <t>JChemExcel2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ol/Sc/Tzb85759xr9/+VH6bo+ofH+8/2BnZ/fT/fu7Bwf7B+nuvfHD+/s7n+482Hmw93D/gLqnj/bv7Rzcu7+7t7Ozv7/z8NN0d2/88NPde/d27u8/fHj//v2DhynReH///r0H+wc79+99ev9TGh9Ny/79vU/39z+lD/c+vfeAP3r44P7Bg529e/f3Hjwg4hyMH9779NODg4c79/bvfbq/8yB9OKafDwj4g/uf7h0QMGqz83Bn5+He7i5htLvz8GH66fjgwf7eg08Jp4f3HuxS/w/G9wjyzt4ujebgwcM9arK/s09dPNzfo4F9erCb7o8P6Nn9dPfhwR7hgA8I0/sPdz7dpbcePHxwQLxy7/7Bvb2dB58e3Nt/sEeDoJfu3d95SOShjmkg99J743u7D3fvPSR07+8QBrvp3vgeDZMQfPBw99MHew/upTtjak7kuH9v//6DB/d27u2m2zvj3YM9wvlT/LNLo753P93eHX9K2Nzbu/fpAyLww52DPXr3HsHaP6De9g9oKJ/eS3fHB/c/fUjDITo8OHjwKWG6Nz7Yp69oZJ/u7x7s7Hy6B8Qe7B18in6Jog/2Cfe9+0R9mpMH9/fv3XsA3AnsDtrsPCTKPAD9dz59uHefRoNO92h8B2Miz/1PCe+HD4m0H6XXxCg7471PaXg0XJrbe3sPH+7cx4h2COEHRK57NBpimvt7GNH+/U9pkPfv7+/S/3ZpRnfHu8D+4cEuzdDup3sP74NADx/QB0SL+w+ISWhO98Y04yDV7sH+vYfEZffG94kuD+/df/hw7x7N0MGnIMTO/h4RlRhj996nO7tMrr39h7tE5V0aLTXfB2L37z2kV6jLezTjuw8+pWb7O/cP6M8HBw939+8R8ZiqxET71MED4mR68d6Yur//kJDfuf+AgN8jpB5gWDRrO5/u33tA/6fXqKdd4jrCn77ZvY/p3qWZ2CWsDh4eEK/f/3QfhLi3e48GR8xysHNvZ4+g0Wf3D/YBiEhBnEuDAbLE9ff2iIlphDSAHeYVmuN7RLMD4ksax8EBBvDwgAa1D14lCaFR0WdEvwOSkr2dXWLXg3sEb3dM8+qBoyHQHz4skHGHwHx6QIL7kATzPtiJGG6fZIHkfvcBxBAMxvMDziDlcEDUIVkjwt2/v3t/52D/Pui1t7+zcw/zdY/eeoA21HpvD9JKLPngwT4pzbtWax49nlTLmfcrq9FX+Xmzp5r0o7SqZ3lNmgkvokmkIfStbbi3ueH+rSBCd9+qITT8rRrCDtwKx4MuRLQQs3P0XXlL/9oE4uGtkGKbdKuWYrpu15Qt3K2aHty6pZjM2zVly3q7pmyAb9eU7fTtmu7evilb/ts1ZQfhdk3Zj7hdU3Y3bsWY4pXcCqo4L7eDiqa3m1hxhW7XlD2mWzVlCtyy6f1bNxV37VZNGeoteQDDuiUPwHe8HQ8ciCcZVznfjqoc/qF6+65xlenXnht91/nYyeO75L0fJf8Peq4xcdkLAAA=</t>
  </si>
  <si>
    <t>BB5A82E8332B0A3D98F473CC1C10BA83</t>
  </si>
  <si>
    <t>JChemExcelE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vb/+1L/3/3d/C3/PUu//Ch9t/fZRwfjnZ179w72Dh58urNL/9xPH4z373+6t/Pgwf0HBw8ODu49TD8d39/f39nd3b23s3/wYPfggOi6s3vv3oODhw929x/s7x98mu6P7z3cf7h/b//ew4P79O8DanNvh77e2fn0wd7+/Z2HuwTn4N6DBw/29vY+3bv/4MHDHXT28OBgZ2f/0wcHe3sPdw7upw/H93Yf3KM/CJ97u/eJFgdo8+n9/XsHB3v7e/fv30tp0qnRwwd7nz7Y2d3ff/jwfkrzvP/pwd7O/d29vd3dT4lk1Ohg/+GDTx/ef7iz//D+Hg1kd2/86e6DT3cPdmik+w92Huzho4f7O4TpvfsHD3cP7u1Rd5/ef0iDONj99N59+nSXUHrw8OBTNNp/eI9efEho7z7c+/QhNzvYuX/vAGP7lODs7u/ee/hw9/6noMinBwcPdvYJxqd7+zv7NPv3xrv3D6hXAvIpUfPewwfp3piIc0C03n+4t/vw04MH6c74AQ17/x6hvbfz6cODB/vp9g71RwO5t3OPyL//6adEv3R7d/xg78H9g/v01e7DB/c+PaBX9/d294lKD/f3731Ks0pctzumse/u7n9Ks7JPFL63T30Srvd2d/eIDvs08k/vEWb02gOi4O7ePpGI5mFvfP/ew08JKui7Q3OzTyPaJS442CNAO8Qx9/Y+Sq+JhQgcqPHppzuA9+A+TcaYeGJ/lwa0Q3N27yEJAFGe6Pvgwc7Ozn3iMv6EML//4B6hd3D/PtGM5pU6eEiD3nlIDLe7S6PgoRMbEIl2ae73Hu4d0JhI5u8d7NAY790jzvmUiMQNaTYe3qeP7+/cp5kQuu0RSjSiT+/vfLpH/PuA+gBrEesc7GN6PuWhYvqJUz4l9iaOI1kkFUQ8QwQ8ICagxvc+BbB79OLB/U8f7NIY9kk8+E2iz6dEQ6B2sEeo3ae5INCE2f49EisMlDicB7h/QO1onu5BEEhq6B2adhLze2P6eI/YZu/B7t5DmiuiNQkKAdonkj04+PRTnu/7+yD0/Qe7n9KoacKYB3aJW8ABLB73HwBPsDZ9v0M8Q7Ow94A/BHuSmBHmJLOkcugTEn2wFbUgGdgF6+0TiR7eo8m+D8be38MId31gGA7JjweJpJhIT4BIQAhb+puEjlrdI755sENCvktiROpum7if6Pnwwf6DTw+IoYhhaNykdkj9PCCGvk/YHJCevWsV7dHjSbWceb+y5n2VnzfEddC8pA+repbXZDI+khais4+++/iu95f8EQdxLwAx1BAq/lYNYQhu1RDm4lYNYVRu1XDvtg1hoz6QcLBxt+qLLeGtWu7duqWY1ts1ZQt8u6ZsqG/V9GGvpUezb9+Ogtzd7XiKm96Oq5g0IV+9/+SKi2KB7G3qD01DZhpsyg7PrZrC9QlZ4f3pK37VrboT9+t2TdlLuxVpxJm7HVT2+W4HFU1vpzjEg7wdVHY0bwX1fq/l+zMYU/F23Yn7+6H97cJ//kCG2hf/+30Q4R9qvu6aIIN+7QUgd110kjy+S3HPUfL/AHL4ZhMTDQAA</t>
  </si>
  <si>
    <t>AFFD72489C6B0128ECB452BE0229585C</t>
  </si>
  <si>
    <t>JChemExcelc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epJ+Sf/Jz5MN/7lvn9F/X+on/OlH6bs9moOd8d6DhwcH93YPHj7Yv/fg04cpffTpzsH9+7sPPt399N4efZru7o13Htw/uPfg/sO93Z37Dw4epA/H+58+fHhv//7OvZ39g08f4BMC9Cn9+WD/IQG6nx6MDx7c3zvYffjpzs6ne7v3H6YPxrsP9+i1hwf3Dw527t97SG2o80/v7987ONjb37t//z6Bubf74N7eHr21e2/3/h7eojY7O/ufPjigj3cODtJPx4TLgwd7e3uf7t1/8ODhHrXZv//p3s6DB0Du4GB/l9rc39/f2d3dBX4Pdgnl+2OCeO8BDXR3/8H+/sH9dH987+H+w/17+/cII/oXbQj/3X1C+MEeje3hLrX59ODgwc7+/XvUwf7OPs3uvfHu/YOdB3s0yk8J/r2HD9K9MTWn4dLY92jA1NvO+AFhv3/v/sOdvZ1PHx482E+3d2j8nz68f2/nHiG0/+mnhH26vTt+sEfEvU9f7T58cO/TA3p1f293nwjycH//3qf3DuiPdHf88P7e7u7+p4TnPhGBGGNvfPDp/r3d3b2DnYP9HXrzHmF2/4Co9mDvU3R+n7hrb0xk/pSg0luEycOdfWpEsB/sf3qwu7f/6e6Dg30a4y5R6mCPQO8c7B0Q8x2M93ZpVh/uEEp7D2iawRYH+w+JQWhA+4TL/l5KQkdQ9nbu7+4Rap/uMe9Q7w/R/84uerwP3nm4D664d//g4S5g0yefgrkI7Qef7j8gQn6UXhMvPhgTH+7TTN3HZH/64B7NIU3XAfHLzs4OsSd9cn/8kAb8AOQ/2Nnfo/nGlO3v7RAS+3v7+zSzO5gg4g/iyr2HRMO9vQe7RIYHxKP39h/sfvrpzqc7JIr3xnuE+y5N6oPdvYegK9EYXEfIH+xjyonfMGV7RF2i06f3wcREbnxG7PLw/s4+cQjxP31FU7ZzjxDav3fvHvEpjf4+poyYbH+X+IF4du8ecSkNnGjw4AEN5z5JyC5PIk38/Qf3iKIkcw93GY3dnYfEMzsPiYN3dx8SpcE5JAzEYTRKkgmSqn1wzv19CNR9jIpIebDH3LQLqSFeYpm6/wAvg8r0/Q5xHyFEZMOHn9K00BiJZ4lqRBHI/c49MCi1oDnbBRPv08w9vEdTfh8iu48x7Oz6wO7RJzSVHqQdkIPegS7Yf4C/iW2oFXEDke3evU/3PiUlQtpymwRpjxXPg08PiDdJIKjZPWKbBzsP0eI+MdMDmqkHBOoeMQspCMLwALNJrE8scUATATHFcO7R1B3cJ8Yn2u7f33/4KRESnHoATr53n6b1U8gpGJG4mAZAyolmaWdM6N3bB+uRNBFpeYikHx4SB4KDDg7u75FduGsNw9HjSbWceb+ypXiVnzd7aiw+Sqt6ltekXvEimkQaQsPbhnubG+7fCiLM060awojdqiFM3a1wPOhCRAuxrEfflbf0r00gHt4KKTa7t2rJljls+v54iXm/VX8Ht24p/sLtmrJbcbum7H3crik7Kbdrunv7puz2DBH827ckOPtNt+uP3avbNWUv7FbMLM7araCKT3c7qGh6uykXD/F2UNmRvBVUpsAtm96/dVPxYj9UxuD+fjDfAJOQb74GENAz5KivMRzo9g/VO4gGQiZ8/9FIKHGreZSI41ZND27dkoHeTndx0yjL8Q81t3dNEEe/9gK8uy76Sx7fpbjyKPl/AO927xhzDgAA</t>
  </si>
  <si>
    <t>B01F2CD0233B69643EAEC7A21027C0CF</t>
  </si>
  <si>
    <t>JChemExceli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t78FGalzmwfnO9yokI6eb/vtSfz/Q3/PvlR+m7vc8+2hs/eHj/4e69g/2He/fvPzi492l6b3xvlz55uH/v0/s7n94n7PbHB/fu7zy8v3uwu/Pw0/2D+0TAe/cP7u3tPPj04N7+gz3C/NPxwYP9vQfUfu/hvQe7B5+mB+Odhzs7D/d2dx/u48X99OH43qf7D+7d23lw/9O9g/v39qjNw3uffnpw8HDnHnW3v/MgfTC+9/DB/Z293Z2d3YMHD/cI8P7O/oMHBGTvYP/g04NdoEPP7qe7Dw/27h88wAeE6v2HO5/u0lsPHj54kO6NaUCf3qP2n+7vHuzsfEqf3NujDh7uPXi4++mDvQf3050xYbV//979e/v3Hzy4t7O/m27vjHcP9mgUn+KfXcJtL93eHX9KHd3bu/fpg3v3dx/uHNCb9wjS/gHRYv+AkLxPs7g7Prj/6UPClAb94IAg3AMhH+wdfIo+aIwP7j0gRPfu7+9/+mD/4MH9/Xv0wb0xAdlBm52HNMIHO/sg26c0F0R+9EFkSomX791/sLNz78E+mtHw6JP792kY9PvOp4Q7tdkd3z/Yowm7fx+UuX9/j6i9+ynR+tOD+/u7RMi9vY/Sa5rx7XvjHfr43v7ep3v393aoBwzx/sH+p/v3HhzsPsD0Hezjs3u71C2NmAh4D5NB494lku7e36MJO8CH90HF/Z37Bwf3Dh4cPNzdv0cTAyrev/fwHhH3IX1+sLt7/x5ItrcP3O/tEglogJ+CYtQ7EZ/GuHvv0x1icxCRmGj/3v2HD3aIQg/2UmC7e/8h4bpDNNjd48l98OnOfczSDnAmFkyB7N4u8d2Dhwf0zR59QPOJsR88pL4I3qdAixjs3t4ucdvBp/ufHjy8zx9+SlxPE3dAnAOUMaKHB4T+PpgJTLlHHxE/HBDP7u3sErsf7GBWxjRfPrQ9Qoz+DGDtjYlL9ok1H+wQbphQZs2D3T2Mcp+oSlNNY2SaP6Q5vb9zsE9zQR/t7dOMH+yDkMQvu2Dgh8whOzSkT/E73tt7sLv7YIdmfvfBPUKasCL22qHh7t6nse/tsDhTX58+vLe/T9Q+IJEmpXXXaq2jx5NqOfN+ZTX2Kj9viFegxkjpVfUsr0n/fiQtRAEeffvxXe8v+SMO4l4AYqjhfrfh+/cFfXurvqCVh/r67u36gla/VV/Q/bdqCAtxq4b3b9uQDc6tWopdul1TNl+3arp/65ZiD2/XlM3mrZru3bql2GHbdG9TUzbXt4PKVv12UNH0dnwiPsLtoN4Lmt5E1r2QWdDm/YQC07j3oRpjl/2eD8QEPtSgOrkljAP4XR8IQxy3W00WN70dYwGzUPvcSGb+oXr+rnFt6dee23vX+cTJ47vkbR8l/w+6eS5FiQsAAA==</t>
  </si>
  <si>
    <t>8E14A96896965EC6B346D5BFD83D70C7</t>
  </si>
  <si>
    <t>JChemExcelF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pr/vrS/9f/7Uv/v//5l+uyj9N0e0XpvvLv/4NO9+5/ef3DvwYOdg4OUPnrw6ac7n+7uHhw8fHiwe+9Buntv/OmDg737Dw52P7138PDBwafp7v3xHrWmFg/u7+/s7R88xEcHew/u7d2/v/NgZ+/e/XsE68H43v0HD+8TwE937n1Ko9vdHz/cvb+7d3Dw4OGn96iL+4B+72B//+GnD/ao14e7B/vAYf/B3r2dnZ2H9/b2Hty/t5vSTD/c3/300wcP7+3v7e4fEFXoo3t7+I8QuP/wHmGX0nxTz/t7D3f2CPf7+/f20erT3U8f0msPD+59un/v4EH6cLxz8Om9T3fv3Xt47/7up4TDwXj3AUHff7C7+/DTnZ17e/TJg4d79Ove/r37B7s7Dx6mD8af7u/d+/TBg4e7n+4QEe6nn47v7d7b2X94n/7ceXBvf58++XR/98Huwc7B7n2M7wHx4L3dvXtEpocPP31InR+k++PdT/d2P6X2Dx7s7d0nutJHDw52Pt3ZO8Do7n16L7033tmlcRO2e6DIzm66N/704c7Op/d3d3ce7u3cR+cPPn1wf4c62ScEH9C/1NcBdUndPNx/SO/vYRT796gZzc+9h/cP7vG4iOb392mS9mngB8RgD8b7u0Sge/v3d3Z3d+8T2xEV7+893AWM+w/uf7qzjznaeUhDvE9zeLB/QHP6UXpN/LND8O/ThO59+unezt7Ow4fUdHyw/+neAUZNdD8gXFOaAcJ4lz6793Bv71OaGProwQNig1202b+39/D+pzTCXZqxg4c04p37NGR8co/wxCtE9YNPiVOJMPt7xK77oNV9ev3hffqI2PdTakfTdG/3/j7J2v54/yHNJ6G58wBf3qNP7u0Rg+w92CeuIqrdJ+APac7390GOhzuYvF3i8k8/PdjZeXD/4OGne3s0eztj6puGskdcSVO6s0vNSOUQr+7Q2zsPiBF2iOfp1Xv3Huw/uPfwYAek3bt/j+DTBwf7NGpCnbD5lBB9QKxx79NPIUUPHtxDG6IYzco9mvOHD+/vE0+PiQIkdPsHn9J83KP/gVRES8z6p/tgHMb0Ab2xQ90RU+8QXiDM7j6RifAkbts/oGHzi7skrzRFO/v79+/t7DGND+7fo74//ZTEiZg73cZ4qNUBMewOSfkucUu6TUqYJGOHOIBYgiacuIIaktjRXNEISTaIf+6j3UP6i5ieJvL+gwef3j9It0k10F8H93dBpE/37p1u7+NlosH+fRJUArmHcRC70vQ8gFAe7O7vkA4gNXvX6tmjx5NqOfN+ZcX7Kj9viO+geEkdVvUsr0mLfSQtRGUffffxXe8v+SMO4l4AYqghNPytGsIO3KohrIVtuLe54YNbQYTluRXEPb/hJogwZLdqyObuVi3ZIoZNvYn69u2mTczqrfrbu3VLsdMfyFBi6G/XH/sDt2vKbsPtmu7evik7Ih86YPZkbtcfOzy3a3r/9k3ZhbpVU/G0bteUHbJbNcWwOk09wt2So7m/26kibnpLFgNtQhZ7/xkWX/R2igVNb6esxLO9VVMww17IDO8/CgjmvUG9c0sgD8UDf5+Z5h9qwe6aMIN+7YUgd118kjy+S5HPUfL/AIgyMW8VDQAA</t>
  </si>
  <si>
    <t>0653F74451BABEB147A7ED62027DED4A</t>
  </si>
  <si>
    <t>JChemExcely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7tf5TmZY4Rvble5USgFP99Sf+dbPjPffuM/jN/fZm+xicfpe/2iPq7471P7z3Y27//6cHBzt7Og7304fjhwcOdg3uf7u59en//03v7KZF9d4e+/PQBfbj7cO/eQUrvfbp3/8G9XWp07/793Z299GB8sHf//qf3Hzx4+PABjfhg/PDepwT14c69/Xuf7u88IMj088G9ezsP7n+6d3D/3qfUZufhzs7DPYK6f7C78/Bh+un44MH+3oNP7+/uPbxHYB6mD8b3Hj64v7NHKOwePHi4R032d/YfPKBX9g72Dz492E33xwf07H66+5BQOHiAD+59ev/+wx1Cd2fnwcMHB8Qc9+4f3KMBfnpwb//BHs0KvXTv/s7D+7vo+NP9g3vpvfG93Ye79x4Suvd3CIPddG98b49Qf7j34OHupw/2HtxLd8bUfP/+vfv39mmk93ZomraJPAd7hPOn+GeXRn3vfrpNBCJs7u3dI6rd3yWC7tG79wjW/gH1tn9AQ/n0Xro7Prj/6UMaDtHhwcGDTwnTvfHBPn1FI/t0f/dgZ+fTPSD2YO/gU/RLFH2wT20ePLxPqFJLovmDB/TR/njv/v7+pw/2Dx7c37937wGGQz3t4LWdh0QsIguR+1N6gQYIPPZoyLsYz73dPZpD6u3h/YP7+Gj/Po16n2iyA+Z4gNnep74J9g5hcP9Toh61olk5eLBDr+7RZOymu3vj/YdEiPsPHzw8+PQBBrx7b7x/sE+gdwn/nU/v7X2UXhPTfTomnIhau7tEC+KFfZqdBzSn9+4dHNynUdBHGM7OPpHpHk3Vzv37ByDCQ+II+t/BHs39PWpzD/Tc2wMDEZVABCLnzv4eTQ2x1+69T3d2meh7hBfN1S6B/vQh8TNN2P17D+/RPD48oC53dx98Ss32d+4f0J8PDh7u7oOwPDfEivv3aEQ7RNN96pDm+/5D4vyd+w8I+D1MxKc79zH3O5/u33tA/6fXqCca8C6Rgb7ZvQ+m2aX53CWsDh5CzDDkbbS7d/8B8QbN8j0axz18dv9gH4AOdh8Q/9NggCzJDpEBQvkpDWCHOY445R7xzQFxN43j4AADILm9t7sPjic5o1HRZ8SRByRrezu7xPQH93ZAImIFDxwNgf7wYX1KbXYIzKcH9w8ePoR8gylpqvZJoh7s0MAgzNsgBvH//h6Rg+ZqD5BIHnf3QLJ9klVCiuaMxrL/kDTE/R3iBJBwb39nh+iLCXiwT/wO8aF5IPYniSWGpTlGf6QkIF27aPkQ83MAvgJ0otnep6Qq7o3vk3QRJxCSNJk0HProAY3uU4xul7TTpw8IEHHrPrEJCSONhV4m7X7Xqvejx5NqOfN+ZX3/Kj9v9lTlf5RW9SyvSVXiRTSJNISevlVDmA/bcG9zw/u3gvhptyFaiDU7+ra8pX9tAvHgVn3B4N2qIczirRqy8bxVy09v3VKs8e2astG+XVO27bdryi7ArZo+vHVL8Slu15Rdj9s1ZQ/ldk3ZkbkV84q/czuo7BbdDiqa3m5excm6FVTxxW4FFRS4bdN7t24qjuCQCH/3diKMedz7UD3ASId88zWAgJ4hR32N4cBRDlXN+wPBbIVM+P6j+RTO+AfiId78rZiRm95OH0lscLumGkL0m/IPtX53TWREv/aiprsupEoe36Vg7Sj5fwCD4eExyA0AAA==</t>
  </si>
  <si>
    <t>DC2FD72EEFE78777C09753640750099B</t>
  </si>
  <si>
    <t>JChemExcel9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+9Mv0xP73Qv964X2G/57xf/L7l9yG/v0ofbf32UfbB+NPdw72Hu7d37336e6De4TZ9oPx3oP9T3fv3Xu4++Dg4d7Bbrp9f/xwf+fhvf29Tx8+/HR3b59a7dOLD/bu39/dP6CmezTM7Xv04r37Dz7d2fv03s793Qf30+3d8cN7Dw8efvpwZ3//wYPdew/psx1689O93QcPDvY+3X+4u3M//tnO+IGPx72dvdhHt4L24F7s1b3xzqe7u/s79OnOzqcPP91P743vPaThPLx/sHdwb//hw4PIJ/23IqD36aOD/YcHD6gZ0eLep+mn4wCjT4kQ98YE1mtEs35/TH97H91Pd++NP73vDyXd3SP2DT8hbt4PPnk4Pti56aX98f5egFG6S9MckK3f+0fpNXHNDk30Q+85YJrvP9zxHmKIbrOHRIdeO57WvYPwowi8gXa744O94LN7NEP3H9IMkMDtjw+C/onon47373U+GujqVqhvEzvsBQ338Vn47sOhZgcBNKI3idD9B50eMJJ7nz54SNNHTAheIqkCe+ztHDw42H2w+/DTTw+IDveCVvcfxD4itcj/3x74jnDa2yNR/XRnn1TCzr3de6fbu9xh2Hz/gHThXasMjx5PquXM+5W146v8vNlTBflRWtWzvCYtjhfRJNIQavRWDaFsb9UQKvlWDaG4b9UQ6v1WDWEEbMO9j6TF6zav8+rojbylfw2CgBG5VV9sam7VUizS7Zqy4bpVU5iy282cWMGALoNN2VjeDirb1NtBZdN7O6hsoW8H9V7QdCNUIHC7aRXX4PZNbzmvaHq7eRVfZIiLT27HxeLM3K4/9nluRXFuert55FHcbnLE0bodAgfij/Wh8g9VhneNF0m/9jzMu879TB7fJcf2KPl/AAQ0oED0CgAA</t>
  </si>
  <si>
    <t>CE7A2B284767241EA548131B1E83D973</t>
  </si>
  <si>
    <t>JChemExcelCw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fpTmZQ6Yb65XOaGY4r8X9N/JR+m7PR7H/YcHu/s7Dw4efLp3sLN3P+1+dC/dG9/buf9gh77c2aV/9/aozcGe32b/Xroz3jsIPkq3d8a7B5/uPNjbebh3/8H+p7v3HxI+19TrvfGnezuAtL9/8One7v7up9THzkHwEfWx+2D/YHfv4f1P793bfXDv3n1ADDu5t/9p/8P9+71394hady25jh5PquXM+5Xp9yo/b/aUhB+lVT3La6IPXkSTSEMQ2jbc29AQ03EriJi0WzWUqb1F13t+Qw8i/1AK3DXMRb/2GO+u48rk8V3i96Pk/wGXAkCKCwMAAA==</t>
  </si>
  <si>
    <t>71132B285C4F18AA2403EE7F05C9DF15</t>
  </si>
  <si>
    <t>JChemExcelh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a/e9L+v+LyKcv+N8vP0rf7X320f3xvXv7D3Y/3T94cG93b/few7TzyX66P97Z2d259+Dep/f3D/Z3d/bvp3vjTz99cO/+wd4+ffjpzqcPI58QDe/d+/TBQ4JxsHewc+/e/XSbPtt58PBg9/7OzsHBp/d39+6fbu/y55/u7d//9OD+vft79/f2qAl/3gWxv88ggs8O0u1O3w/20k/pk4N7D+mPh7v7O7sP7qcHNIi9nQf7D+7tPPz0gKj5kODcf3D/3sF96g69p8QVn376cP/e3sMH+/TB3kG6u0dv3dvd3aN39u/v3SNi7N4bB93fj30Sea0Pe3/86YOd/Qc0KqLuwb2D/f5Hn6a7nxKo/d39h/uf7j689+n+Xrr7gLp7QD3dP7j34NP9/fv3+0P5KL2mqd1+ON6799B7iFQPxp/6n+CjT8cP94LP+q3ooy6sBzQTJEU7/mcH0WZdYA/6XR5EgH3aB3Y/+uYthnS7VpGBR0YUw3W42e5AN0KEezveQ01J9A4CIKRS7lqdcvR4Ui1n3q+sZF7l582e6pmP0qqe5TUpQ7yIJpGG0Ea3agiddauG0Gy24d6GhtB/t4IILXkriNClt4IIjXsriPt+w00QoaB3btVS9PytmsIS3G4axWjcrinblts1ZRN0u6ZsqW5FUzFot4PKdu92UNk83g4qW9HbQb0fNN0I9QB2+XZNH8B836qpWPnbNWVn4HbDUp+hD5V/qFa5a7wa+rXn8dx17lDy+C45WkfJ/wO0/qVQhAkAAA==</t>
  </si>
  <si>
    <t>817A0E2344D36827DDDF9452360D1F1E</t>
  </si>
  <si>
    <t>JChemExcel+Q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L+k/17yv+F/LzL530cyuvJkntUX9MZOupNu76b6Q38z/+3iv4/Sd3uffbQ33tvb2d//dGf/4d79nXu79063dz+l9uN79+59+uDh7t7uwd7Bzr3799PIR/GX98f7+zsHD/d2Hh7c39n5dO9T/nR3fH9/x3/uoZf79x76zwHR/sGe32o3fTh+mO7uj3cOUpo0Ar57kB6M7xHAPYLIn+2ODx58lF7TaLZ3xgcHgPvpfgD3Pn92P+gf7376KcaAX+538ODvANz8f3t//OBe7N8H44PdAPD92GfEG3ctcxw9nlTLmfcrc8ur/LzZU4b5KK3qWV7T/OBFNIk3vGcb7m5uuH+rhmDRW3VNDT+9LcQHsYb8Qylw14gS/doTs7tOBpPHd0m6j5L/B7/mSo75AwAA</t>
  </si>
  <si>
    <t>529601821D378BD27CF649E2507D89ED</t>
  </si>
  <si>
    <t>JChemExcelQ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x+leZmjtzfXq5yQT/Hfl+lL+j/+O8k+kiGUJ/OsvqAWO6n7b3sX/9v7KH2399lH27vjvd2D+/sP9+/v7u7v3d/bfZj2Ptu7l27vjPf3u5/tjh8eBJ/tpztj+mR37+GnD3Y+Pbh/f/fefroHaAc7Bw8e7tHf1PxTarW767fa37mf7o4/vR+8mX46/jR88f5H6TXhvDc+2Hu4s/Pw3v7uvQe7O3uf0rt7B8Ene0B4Z3//008fPjjY2b//AF8+iHx4/yE+PNj1Pzx4gKHdPwg+I4h74939g3v71NPe3sF9AoTh3t/1O36wRx/t0GzetdN59HhSLWferzy/r/LzhoaC+SVuqOpZXhNjfiQthDOOvvv4rveX/BEHcS8AMdQQjHSrhnu3bUgQ7w9h/+3bYQ++tiD2NvRFDR/cCilqeBBryD90Hu4amaRfe/J61wlz8vguqYmj5P8BWK2poEIEAAA=</t>
  </si>
  <si>
    <t>E6B75167DA574254421DBE7469A52A6D</t>
  </si>
  <si>
    <t>JChemExcelT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Gn435fpC+/fl/R//Oe3eJHR/z4S8pQn86y+IDA76U3/be/if/4nu+nuR+m7vc8+2r43vv9w59Od/Qf3Dx4e7OwQ0tt7452D/b37D/bv3zvYf/jw0/0H9Pp45/69Bw8/vbe3s3P/wb09QBzf33v46cHe/sPdew/3H9x7cJAStJ17n+7sPaSW9/f2HzzEZ/vjnU8/3X+48/Dezr3dB/v79OrOmODu7e3eu/+AWu88vL+f7owf7H9K7Q527z24d//e3r1P073x3u7u3sPdg/2Dg72HB/cfotXeg50HDw4+3d+7R53s3L8PPPY+DYBhBNzRzqf7n+7e27u/cw+taDy7Ow/u7x08vPfw/u7+p+kutbr/8NMHhNjDvYN7u/fvEfz7+w/vP7x3n0b5cPf+wf4+tdq/v//gYO/BwcPdvd2HNFJC7N79hw8f7BEmGObOfeC1c3Dw8NNPdwm5/fsPHuzsUasHOzRy+nRnn3Df3WPw93aB+YNPdwn5fR43DYIGTI0O8OX9+w+oy52D+we7RFMaKI3q030Cdv/h3u6nezv79x7QVO09SInUnx7QS3u793dpkIzWzj367sEO0XCP5vR++mC8tx+2oe4+Sq9p4vfHu/c/pWERfQmVBw/30v3x/oNPaQh7D+/v3N/Z3b9HXdwj6u3d2/v0HmHzkMhBqB3QWw8/3ds7oPHv7+0CW6LPg929PerrU6Iw4UHzsXv//t79T3eo5f1PMbl794iddh8+oFHu3bu/Bx7YPdh9QON+uEv02X1AnYCMRCgi/gHxEMEj8mLmaBrvfUq0ocl8+GDn4UHvM/RKk36Adx4S9wGfe/0u7j38tNeMJh4suveQ2hAj0DefPri3n27fp1ERk9LQ7tG4d4Hxp2PiuIOD3U/pCxrfg118tE+kOiBEiVX373+6B1if3iNJ+nT34D5Ehti9SzNSBl3KPuhR/37anaEeYT/d6RP/HniRJP7hGHzg4Uoq767VeUePJ9Vy5v3KSvBVft7sqR78KK3qWV5/9tEeXkSTSENoS9twd0ND6NRbQYTmvRVE6OdbQdz1G26CSF0/uFVDGIVbNYTpuBWOMB47twIpduh2Tdlc3ap/bnq7mXxw65aMqpv1jU3Zmt6uKRvd2zVl23w7AqDp7SaVm7ppvYFWe7ebVnEbboWqeBe3g8pOyO2gsq9yO6js0twO6k7Q1IPKP1T/3DX+Gf3a893uOscueXyXXMaj5P8BSgI6+k4KAAA=</t>
  </si>
  <si>
    <t>8C6F7236DC9E3409581A466387D51AF1</t>
  </si>
  <si>
    <t>JChemExcel2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X6ZvkhP6D/51/3Ef1/aT9ynX9J/zz5K3+199tH2p+P9nfuf3ntw8On+wd6nD/d30+398cGD/Z0H+7v79x/ef3iwQx/dGz/89ODgYP/g/oP9vYf3HtJHe+P9ew/u7e3u3ju4/+keYbi9S6A+Pfh0Z2dn/8GnDz/deYBGu/TcP9h/sLNHndDLp9s06O2d8e6nOw8f3Du4d2+fYBw8vHeA9z/91Ie48ykAUHefPrx/n7p/SP/tA5eDvft79x/uHTx48Omnu9QzTeC9e58+eLhLkPYOdu7d63+0d5DuMfj7B3v79z69/ylhei/dH+/s7O7QMD69v3+wv7uzT+xAGD3YJWI8uEfv3ntwv/9R+ilBOrj3kIA83N3f2X1wr/dJH9DDSGc9jHpvHRBkatmBc//T8JMDgrxHE/bg3g5N095O7JOHBPn+g/tE2r0HDz/d278P2oLQDw72PyWSPaBuMDcfpddgC+pkb29nhz69T1/tP9wHWxAkYgeaKyIo/Y6pIB7YeUjT/WD/00/3PuXZAcswG2C67u8xp9y/9+kezeHDTz+9t/fpp2i18+Ch/3zK8IlViEt2Dw4+pT7xycN7RMsHD/b2HhDwg4cpseu9ewSbPnqwTywGvIiDHz68f7AL4u8d0Oh4ZLtgsgcPdrwHjPdgDFgPdz892H1wcECTQWP+tN90h9jxgJru3t+5v/OAJvbB/QNuuTu+fy9AXPsxfdLADuT3ANx98w0Nkihyf/zwvs+dn8Y+2h3v3tt9uPOAiEkzefDpp58aDPYD2Pci6O9Bmh7s0qc0gt2DTw9olh/w9B49vmv11tHjSbWceb+yInuVnzd7qss+Sqt6ltekcPEimkQaQuPdqiH0om2495G0eN3mdV4dvZG39K9BENCrt+oL2vdWDaGjb9UQmvxWDfdv2xCG4VYN2XzcqiWMye6tWootCqZjsCmbrNtBZct2O6hsAG8Hle3k7aCi6e0mVKzu7aCycb4dVLbht2u6f+um4hXcDtfdoOmNuN5SyNkduV1T9lpu13Tv1k0xW3u3Yxdxl25FLG56S3YBrlHB5h+qRu8aV5F+7bmRd52PmTy+S97rUfL/APXYn47ZCgAA</t>
  </si>
  <si>
    <t>3778ACF62DACFAC597ADB7E71BC42CD1</t>
  </si>
  <si>
    <t>JChemExcelh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i/RE//tS/x//D9+cfSSkKE/mWX1Br++ku+nOrf/b3v0ofbfHBH+48+DT/QefPniwd/DgUxrB3nh3b3dv7/7Dnd37e7v7O/vpvfG9Tx/s7u7tUJP7Bwd7NKy98cHDoNGnKZH7vv/RvU/TnfHBg/v37j18cG9n9+Dew4P9+/TR/v6n9N2nu3sPH+48fHj/wT16kyDv7+7u7N+7t0d4PNwj+NTo4QPCa2/34f7BA3pv99MHe9T1/f0HBI8w/JQGQS8efPrp/v7up/f3d3YeHtxLt/fG9/fv7T3c3b+/++m9/U/v3XuQbt+jTg/2D3Ye7O9Qy539/X6zB31oD6mHnfGDew8efopRPLh3b4cQoY92d3fvP7y3u0Mj+/Te/f29+/wu4Xewd+/h7sO9T4mOB9LFAcGmgT14eO/hDtrdG+/SoPZ27tNw7+3Q22i29+nD+/d29+7vfbqzs7f3AKTc372Ht/ZoQvYJ6wOag13C9ODBzj1quo8hPBgTsbxZ2fsovaYZvT9+8PDgIXXwgOiJqU33xzSe/U/39mkGdu7ff/CAgD3Yf7j34B6B3HtAYB8SvfcO9j8FroQ64cVT3Puo+94Bpu4ezfHDhyAwZuUeCHTv04PdnZ0d+njv03sP9w74w/t7xGn3Dh7eu3f/4D4RGkSj4T08+HSPBv/pvQNiHiY4Ufnhpw/3qZ97xEUHaLdLmBzc26WB07d79/eJHXaIg3bu7dx/sPfpp/cfEt+BAfE1/X7wKQ2dKAcGvOc3u88zf3D/4QEx3A7RmxCmcW3v0xx8SlxF8O8RCEzL/TENkkZOqHKfn+Ij4nDijwf792mWdohsNJ808gcHmKP7O0QsmdBPHx4cPDy4/+lDIi1EA6yw+5B4l/59QCOjOUu78wTR2CHtc9eqn6PHk2o5835lffQqP2/2VCV9lFb1LK9JjPEimkQaQnHdqiHU260aQgneqiFU5a0a7t22IUF8cKuG0M+3aggtbhvubW64u3MrkGISbteULcftmrKBuV1TtkO3a8rm6nZNd2/fFBS43YyKnbzVDIg5vR1Utrq3g8rG+VZQxYbfDuqnQdObiLV3Ox5g3yHWkn+oqrhrvBr6tefx3HXuUPL4LjlaR8n/A/krCuSECQAA</t>
  </si>
  <si>
    <t>4667ABD8D4B2CF6C3D384188FCC0F789</t>
  </si>
  <si>
    <t>JChemExcelc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yp/Pel/jS/hX/zXyV+fJS+2/vso/vjnXsPdh/s3//0wd7B7g71fn98sON/cj99ML63739yLz0g6oRtHo4/ve9/8mnvrU97kPFJ2Pv9dH+8e2/34cH9vQcHD+7vfLrzIPLJ3vjTTx/cu3+wt3/v0/vRD/rv0GTeu/fpg4e7e7sHewc79+6n2/vjvU/v7RzsPdzf29u9t7Nzb/90m3Da3h0f7O3u33/46f7DBw/uf7r/AJ9HINzvfYRGDx5+unPw8N4u/f/h/sGnn9K79wEzbPkp9dPFmmjfbba/3yNRhIwfpdc0k/fG+/d8cDufEl12dwKU7/U+IkR2xg8e7HgPcVn3o/3ddHtnfP/TALd7/c/u86ufPvSfA+qTZvbg4FNimXv3HuzvHtxP743v3w8+oqHfvxe8tw+q7e3v7T68T2N8uL+7//ChUnNnvP/Af/vhA3zW6XcfXHr/4FOa2/0HD+/fI0g8v9TRvj+2nfuE4L1dQungfufz/fGne/4ne/1uDvbp7fsHD3cP7u3tHOzuEkvdEyQJ6E6AkLDWw2COqN298d49mpMH9Mn+wf7uzqd7pEPuWiVy9HhSLWfer6xVXuXnzZ4qlo/Sqp7lNWk/vIgmkYZQP7dqCCV1q4ZQZbbh3uaGn94KItTirSBCed4K4t5tG0IX36oha+xbIYmWu7eCKer/VkDFStwK6sGtWzLQ2026WKfbocpG7HZQ2dbdDupu0HQjVLaet2vKRvZ2Te/DFt+qqZjsWzUFXfduJ8kPYP9v1dK4Cf2m/EN1yl3jxNCvPQfnrvN+ksd3ya86Sv4ffcqwrXMJAAA=</t>
  </si>
  <si>
    <t>A7A1B4AA0355B2832FD85A3FC198F633</t>
  </si>
  <si>
    <t>JChemExcelRQ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YRf+oL/Oyk/St/tffYRoZXujB98+tB/PsVHD3b85366vTu+v5/ujx/e9z/f/Si9JjD05e7uzt7evZ29/U/37u/e//T+6fbupymN6t69Tx883N3bPdg72Ll3/wHgdD67lw69TtjREO/aMR49nlTLmfcrD/pVft7s6bg/Sqt6lteffbSHF9Ek3vCebbi7ueF+rOFdD427Zlro196U3XXzmTy+S5xylPw/TW4Cj0UCAAA=</t>
  </si>
  <si>
    <t>0B58142CA8F991EDEB82B9AB9957963B</t>
  </si>
  <si>
    <t>JChemExcel/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pr/vrS/9f/7Uv9v25X8y7OP0nd7ROzd8f17Bw8P9j/d3/n000/v3X+Q7u6NH3z66c6nu7sHBw8fHuzeo4/ujT99cLB3/8HB7qfU+sHBp+nu/fHezgFaPLi/v7O3f/AQHx3sPbi3d//+zoOdvXsEN919MCaQD+8TwE937n1Kw9vdHz/cvb+7d3Dw4OGn96iL+4B+72B//+GnD/ao14e7B/vAYf/B3r2dnZ2H9/b2Hty/t5vSVD/c3/300wcP7+3v7e4fEFnoo3t7+I8QuP/wHmGX0nio5/29hzt7hPv9/Xv7aPXp7qcP6bWHB/c+3b938CB9ON45+PTep7v37j28d3/3U8LhYLz7gKDvP9jdffjpzs69PfrkwcM9+nVv/979g92dBw/TB+NP9/fuffrgwcPdT3eICPfTT8f3du/t7D+8T3/uPLi3v0+ffLq/+2D3YOdg9z7G94CY8N7u3j0i08OHnz6kzg/S/fHup3u7n1L7Bw/29u4TXemjBwc7n+7sHWB09z69l94b7+zSuAnbPVBkZzfdG3/6cGfn0/u7uzsP93buo/MHnz64v0Od7BOCD+hf6uuAuqRuHu4/pPf3MIr9e9SM5ufew/sH93hcRPP7+zRJ+zTwA+KwB+P9XSLQvf37O7u7u/eJ78AVew93AeP+g/uf7vCE7O4/+HTv/qf3H9x78GDn4UfpNbHPzniXiHrv/v1PiYMwSGL03TH9vneAURPdDwjXlGaAMN6lz+493Nv7lCaGPnrwgNhgF2327+09vP8pjXCXZuzgIY145z4NGZ8Q6B28QlQ/+JQwIMLs7xEa+6DVfXr94X36iND6lNrRNN3bvb9POOyP9x/SfBLr7TzAl/fok3t7xCB7D/aJq4hq9wn4Q5rz/X2Q4+EOJm+XuPzTTw92dh7cP3j46d4ezd7OmPqmoewRV9KU7uxSM9I5xKs79PbOA2KEHeJ5evXevQf7D+49PNgBaffu3yP49MHBPo2aUCdsPiVEHxBr3Pv0U0jRgwf30Obhw32alXv3QL37+8TTY6IACd3+wac0H/fofyAV0RKz/uk+GIcxfUBv7FB3xNQ7hBcIs7tPZCI8idv2D2jY/OIuyStx8M7+/v17O3tM44P796jvTz8lcSLmTrcxHugAYtgdkvJd4pZ0m7QwScYOcQCxxP4BuIIaktjRXNEISTaIf+6j3UP6i5ieJvL+gwef3j9It0k10F8H93dBpE/37p1u7+NlosH+fRJUArmHcRB+hBlpAyLx3s4ezd/DB6Rp71pVe/R4Ui1n3q+se1/l5w2xHnQvacSqnuU16bGPpIVo7aPvPr7r/SV/xEHcC0AMNYSSv1VDmIJbNYTBsA33Njd8cCuIMD63grjnN9wEEbbsVg3Z4t2qJRvFsKk3Ud++3bSJZb1Vf3u3bimm+nZN2aLfrikb/ts1Zf/gdk13b9+UPY4PlBNxWW7XH3s2t2t6//ZN2Ve6VVNxqW7XlD2vWzXFsDpNPcLdkm+5v9uxGDe9JYuBNiGLvf8Mi9N5O/WBprdTSeLC3qopmGEvZIb3HwUE896gdrktkD3xtd9nqvmHGqq7JqCgX3vBxl0XiSSP71KMc5T8P6/9gRT/DAAA</t>
  </si>
  <si>
    <t>E49872BBAE0905E37CD30EC59A4239C3</t>
  </si>
  <si>
    <t>JChemExcelp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PjvS/rvZMN/7ttn9J/5i3+WH6Xv9ojwu+O9T+892Nu//+nBwc7ezoO99OH44cHDnYN7n+7ufXp//9N7+ylRfHeHvvz0AX24+3Dv3kFK7326d//BvV1qdO/+/d2dvfRgfLB3//6n9x88ePjwAQ32YPzw3qcE9eHOvf17n+7vPCDI9PPBvXs7D+5/undw/96n1Gbn4c7Owz2Cun+wu/PwYfrp+ODB/t6DT+/v7j28R2Aepg/G9x4+uL+zRyjsHjx4uEdN9nf2HzygV/YO9g8+PdhN98cH9Ox+uvuQUDh4gA/ufXr//sMdQndn58HDBwfEF/fuH9yjAX56cG//wR5NCL107/7Ow/u76PjT/YN76b3xvd2Hu/ceErr3dwiD3XRvfG+PUH+49+Dh7qcP9h7cS3fG1Hz//r379/ZppPd2aIa2iTwHe4Tzp/hnl0Z97366TQQibO7t3SOq3d8lgu7Ru/cI1v4B9bZ/QEP59F66Oz64/+lDGg7R4cHBg08J073xwT59RSP7dH/3YGfn0z0g9mDv4FP0SxR9sE9tHjy8T6hSS6L5gwf00f547/7+/qcP9g8e3N+/d+8BhkM97eC1nYdELCILkftTeoEGCDz2aMi7GM+93T2aQ+rt4f2D+/ho/z6Nep9osgPmeIDZ3qe+CfYOYXD/U6IetaJZOXiwQ6/u0WTsprt74/2HRIj7Dx88PPj0AQ34o/SaWOzTMWFAtNndpZHTzO/TXDygGbx37+DgPuFMHwH5nX0iyj2amJ379w8w5Ic0//S/gz2a6XvU5h6ot7cHdiGaYMhEvJ39PZoIYqbde5/u7DKJ9wgLmpldAv3pQ+Jemp779x7eo1l7eEBd7u4++JSa7e/cP6A/Hxw83N0HGXkmiPH27xH+O0TBfeqQZvf+Q+LznfsPCPg9kP3TnfuY6Z1P9+89oP/Ta9TTLnEqDZq+2b0PFtml2dslrA4eQqgw5G20u3f/AXECzek9Gsc9fHb/YB+ADnYfELfTYIAsSQqRASL4KQ1gh/mL+OIecckB8TKN4+AAAyApvbe7D/4mqaJR0WfEfwckWXs7u8TiB/d2QCKaeA8cDYH+8GF9Sm12CMynB/cPHj6ENIMFaar2SX4e7NDAILrbIAZx+/4ekYPmag+QSPp290CyfZJMQormjMay/5D0wf2dg/37IOHe/s4O0RcT8GCfuBvCQvNAzE7ySexJc4z+SCVAlnbR8iHm5wBcBOhEs71PSTHcG98nWSJOICRpMnfwyQMa3KcY3C6pok8P9kln37VK++jxpFrOvF9Zi7/Kz5s9VeQfpVU9y2vSgngRTSINoX1v1RBGwTbc29zw/q0gftptiBZio46+LW/pX5tAPLhVXzBjt2r4sNvQQ+O7t0OKjeWtOvv01i3F+t6uKRvp2zVlW367pmzyb9X04a1big/xgTwgTsjt+mNf5XZN2aW5FcOL53M7qOwg3Q4qmt5uxsXduhVU8cpuBRUUuG3Te7duKi7hB0oY5nHvg/kGmIR88zWAgJ4hR32N4cBl/lCtg9kKmfD9YXwKt/wDYYhffytm5Ka301QmSug35R9qBu+awId+7QVFd13ElDy+S7HYUfL/AIy5cV2nDQAA</t>
  </si>
  <si>
    <t>DD5BF11A0A730EA03BB011CCF37EA6A7</t>
  </si>
  <si>
    <t>JChemExcelQ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XefyX/L/yv1P99Sf+dlB+l7/Y+++j++N69/Qe7n+4fPLi3u7d772Ha+WQ/3R/v7Ozu3Htw79P7+wf7uzv76d74008f3Lt/sLdPn3268+nDyCe9t+73PrqfElXv3fv0wUPq52DvYOfefu+TvU/T7b3xvd3dezt7uw/p3/37Dw/2T7eJKtvdtp9y2wCRB3v9j3b7bxKw++P93fv3Dx4e3N+9/+n9nYf3qY9P053xp3uf3nuwv39vBy/c2490u3eQbneHdtBv9uBBhJKfEm4H9x4SWg9393d2H9z/KL2mWdm+N9558NB/0MWnu/4nB8D53kHno24rerEL6+ABk3Sn02xn/ODTzkfdVgf3+n1GMHvQb/Vpv9Wnfczuf9rv80FkACAuTQZxK72zR1Pz8N5BfwBghy4e++n2p+OHe0Gz/kdC2ockvnet/B49nlTLmfcrC/Sr/LzZU5n+KK3qWV5/9tEeXkSTSENIvm24u6Eh9MOtIEKL3AoidM2tIO76DTdBhOq6VUPq+uBWDWkwD2/VkJXlrVqKTr3dwFn13g4qa+jbQWVFfjuorO9vB3UnaLoRKluQ2zUFArebU6bA7WaV6Xq7eb0H43arlntiAvst+YcK6l1jlOnXnsG+66x58vgu+QlHyf8DruyBdEMIAAA=</t>
  </si>
  <si>
    <t>0AFE5A24F7736CF8565DB0721D1D7347</t>
  </si>
  <si>
    <t>JChemExcelE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D6Ij0J/vtS/9/97En9kRCkPJln9QW9u5Pupju3+m+bhvpu77OPtu+N7z3c2bu/c+9gb//hzu7OAX01Prj/cO9gZ//T/d3d+/sH+/fT7Z3xwe7ewd6D3Xs7Dw72du/TEKkdfb/z8N6Dhw/29w8Odh/Qu3vj+58ePDxw7fbQ7v7Dg/s7/mc7Y/p5797ewacP9+i9/YOH6e6Yfnm48+keYUPgD/buU6uHewTftnp4j1o93H9w/yHh+ekBUHz4gF/8dO/Bpw92H957eG/3/kNge+/Tew/29u7f27u3S4N5uMsv7j/8dPfTnXufPtjZ2ft0l1+89+n+g717n+7du797776A3yO8dvd2CM2dnV0Bv0u/PLhP6D/AgAU+jXJ3/+HBp/eITJ8+wCh37z349NNPiZAPiWw099zs03v393aIivTVHs39vTHR8+GnOwf3798Dxfbx4h6R5SF9tHNvf5cmYz99MP7006DVR+k1Tdb+eP/Bwc6nn9LH6JbouD++hykiku3v0DAf7KGDhztEh/sHD+jfezv3073x7qdEHfcJhom53SOy7jzYA8r3qNUDmsn7fqvIR0Sfh0wq8xE6vE+E92Dt07x9ev/hzoNPd/ZpTh7cu/fwU9CCUDjYv3fv053dg4c0wQ/ks717e/f39ugrQvoB+GdnBxP7cIc4kqj2gAhELLqPyQD90f6AeGqfXiUiEGkePCROeEgffYpX799/QOxzjzhof18+ekCAd4kV9j/d2TuQF/cIh/sHNOc7O5/eY/j3AGT3AdGc5n5X8Xj44CGR8t7uw31iOFIpD+4ROrsHREsaOskzaSBSD3etfjh6PKmWM+9XVhiv8vNmT3XGR2lVz/KaNB1eRJNIQ2iWWzWE/gkaooUor6Pvylv61yAI6K9b9fVpt6EH/du364vG9elt+3pwq4ZQurdqCNV8q4b3btsQWnznVi3FINyuKdsN23Tvpqa3YxOxQrdrysbqdgiwTbsdVDZ9t4PKFvJ2UNmQ3g7qftD0JmLt3W5i92DAYy35h6qBu8bHoF97/sdd55wkj++S23OU/D/QHgCNEgkAAA==</t>
  </si>
  <si>
    <t>8632664571AC5B13717789A8C060074A</t>
  </si>
  <si>
    <t>JChemExcelT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fy/oP/23/Ch9t/fZR9v3xjs7Ow8eHOzs7e/u3tt58DCNfbQ7/vTTBzsPDx7u7O0d3N/Zv5du74zv3bu3v/uQ2u3ff7CzQz8iHz7ov7u/n+6ih737D6npvQe7O3ufHqR7ePPhvYP9T+/tPny48+le5JPIa92P7t/vvbebfjq+v+t/QkS63sNc39t/sP/QPge7GMDuwz3vs4f79/Hhw0+DDyPtUoZ2f8c9u4TJ7q7fwcN7/Y8epF006KM++IcRLAizvfF9GjOmbO/Bntf57r2UmJNY6a7lpaPHk2o5835l5nqVnzd7yl8fpVU9y+vPPtrDi2gSaQgutA13NzQEr94KIjj6VhDB97eCuOs3vAHig1s1hLDdqmuI5K0gsuDeCuR+0HITTNEEt2vKCiPWlH8om9w16ol+7amuu06vJY/vksY8Sv4fJ3R6pU0FAAA=</t>
  </si>
  <si>
    <t>FD1C178A9A910A3000AC23986AAF5E94</t>
  </si>
  <si>
    <t>JChemExcel0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EV64v33Ov2S/nthf56UH6Xv9kCHe/fuffrg4e7e7sHewc69e/fTvfGnnz64d/9gb//ep/c/3fn0wX66P97Z2d2594A+2D/Yp99o1Pfu7T/Y/XT/4ME9evfeg/RTeu3g3kN64+Hu/s7ug73eJ/23DiKQI93fG396/8He/d3dT/fuPyB8H9xPd8efPniw/+n9e3v7D+4dPHj4KT4Kh7L3aXpA0Pd2HlCTnYefHuztPEwfUqP7D+7fO7i/Ry/t7d9PH4z37vltDu7Taw8ehK/1AH2UXhP1tneoZbq9P97f3Xuws3ewv7ez++nOzr3TbZoU/nLHf3bT7d0xjWn3008f7n26t/Ppp/u7tumnD/1nP93eG1Nn/pNu3xvvPAg++pSb7Qa93I+32x/v3X/4YOdgf39vn4iz96D/0ae37vTemMjE4/Ypfh/jo1kheh48ONh9sPuQBkgEfvCQpun+3i5N6v2DnU8xZOL+u5b9jx5PquXM+5Xl4VV+3uypSHyUVvUsr4lf8SKaRBpCcG7VEOJlG+5taAghvBVEiOqtIEKgbwURYn8riPf8hpsgQovcqiHrmlv1jZa7t255u1ncvXVL6L3bTbioy1shyk3dpN/Y1E37DfyxG513/qGcf9cYCfq1Z0DuOuuSPL5Lduso+X8Ap7EHhNMGAAA=</t>
  </si>
  <si>
    <t>7A00ACE3F7048465ACE224B992FD7E72</t>
  </si>
  <si>
    <t>JChemExcel7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t9kZ4E/z3j/16nX9J/L8zPj9J3e599tE2DuXfv0wcPd/d2D/YOdu59mtJHn9472Nnd+3R/b/fh7u7Ozu7pNvXcbXnvQf+je+ne+NNPH9y7f7C3f+/T+5/ufHpwL90fE4idew/og/2D/d2d/cgnvdcOiNL37u0/2P10/+DBPerg3sP0U2p0cO8hff9wd39n9wEA3f+024bAuU/2d28B51P6ZJ9Gcf/h/d2D+/sP7u096ELeT7f3xgSG/rh3sH+P0N/dvcdk2Rk/PKD/9h7uHjzcfbD36YO9dLvz2YN7aY/ODz5Kr0F/grrz0H/S7XvjnQf+J0TCXrMDdPLgU/8jGsbD8Q6N4eG9e/fv7R0cHDy4Txh+2m9JxO0DvBfvuPsZ43dwP93eH+/v+gO6jzE+2P/03t7OwYOD3Qe7Dz/d308fjB/s3NsjUt67f3/nIf2PMSKEHuz4zy5e3rm3s/8pkfXeg4fEe8TzPd78lD7a2ad527//4P7u/v2dvZ37ypu7Dx4+2DnY39/bp/72DvBy+NGDPh0e7pNU3rViefR4Ui1n3q8sp6/y82ZPRfWjtKpneU36BC+iSaQhBPpWDSH2tuHehoZQDreCCBVyK4hQNLeCCHV0K4j3/IY3QHx4q4asA2/dcvfWLW83i9Cyt5tGUc63IhI3dVN5Y1M3mZsQgGG43WyK3bhd/2jqJuqmpnu3m6ndoZb8Q0XvrrGe9GvPst51Zjd5fJcM+lHy/wDECVFr7AcAAA==</t>
  </si>
  <si>
    <t>41EAD3C736C2603D4CF1C4E3FA73472E</t>
  </si>
  <si>
    <t>JChemExceliy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3vsozcsck/XmepXT3Kfhfy/0//Lfl/z/L9OX/O+X+ukL/Sb27vDvPlT/W/eX/3nsU/mN8SjTk+ojYdXyZJ7VFzSUnfS2/23v3tjkZxlA+N/eR+m7vc8+2t69P96h5/7DB/f37997+Clx7fbuvfH9nU/37h08PLi3u39w7758tnNwb/9g58Gn+3t7O7u79NHu+P7Bw0/vP3z4cO9g7+CAGHib5Pf+7gFB29/fuffp/QMSFHz2cH/33v371HTv4f4OMd/27t54/979XQJ2b+fTg/v37qHd3vjg/oOH9/Y/3X/4KbUnptp+OKZf9ujtnYNP93d3SXboI3rx3v7eg/v3du/vPdgDJjvjg08P9u5/+nBv79Md+pqgPRg/eLD/6ae7+3sH+w93HpLUbH86vveQIN3fe/jpg08/3SNh2L4/vre3s0fA9gmRe3skc9RqZ3/3033Cff/+3sF9EhuCdf/+wX0aKI2RECSJwouE5j6Ncf/h7kOCixf39vapw909gv6Qxptu3xs/eHifiLYPhHd2PyW536ZR7t8nfB7uPNi792CHRG17f7xz/+Dewd7OQxrEQ5Bn/Ok9kOfB7qd7hMb+p5iBMRF7f5cIuLtDM0VA0u2d8T1qcp+g7Ow+2Hm4s0fCujPeIxI82MeE7j3cOSDZpUl58ODgwT1Cd2d3b5cIku6Rqt37lNp9+unBw/t7n1IPNMP393aJMA/u7TygWf803af3iKYHRFOaEXqbXtunT+7t7xNbUJtPaZD3xvtESiIG9UeN6BPM4+7evXu7ew8P6BOiNEG6R4QmWDsP7u0dkJqhDw4efLpD8PeIne4/vEfKnUiwQzAe3D/YId57mD4Y39s9ODjYpZnee7C7S2xIn9BM7R4QOxAxaZj01sO9Bw8Jzs5DUJOU7P74IWH24D5RAXQiziIWP3iws7dL5D0gwpMypHk52H34gJ57n9779NP7xAr3iGyfPsDMHNAMEz0+TWkWCOIDGgiRmJC4h4+IeWjOiHLEU/ug996YiLq7++AhOI9oR7qa5mV/Zx/zvv/g4cMHIDrmj5DePSAGpQ8+pZ7BCjQYosD+AYH/9OF9MgX0GX1CqAJhEr4HOzzNn4LlH9Bk793bfXDwELO8s3f/3v39ByR3BIsocg/TvH9/5z5JM8kd8SVZht3xw4e792kG7hMBd4npMDskjTsPaVD3SBpJgpWNiEmJ/4nxdx/sCu/u7T/YfbC3R0CJe2iGiE8f7O88fHhvB1z6cFcE6GCX5u/+/QcH+/eItR6waByQoD+4d//hfWIcDIrmjZB6QPxPHH6POgV4EiWa0x0SsX2SoXv4iNTNA9IaeyTBu5+SuqEhfcpjIe4mjqD5OwC2xJw7UDskkzsHBADEpYkk3tvZ2yMp3vkUGoDYkBiJ8HxIgrR/cJ9fJf4h0SRUiGVppAc88cQvD+/fp/HQ0MnMEdtjfKSXoAnuiyAQHUkCaOS7Ow92hfGIxT4Fm5EofwowhA6wIb6nYRLxSSEQG9B4CIl7n2ImD2gi93bvPQD7EPPQoOHw0DQSlcByDwhWCh9nl2h5jybp032S7fspqUbCh/UbMckueJM4kb4h5iGa7NCvBPuAZpD0OOkfUhIsLaT4oHvuEe88vEdi+BBal7TYzh5ISKLA/e9BS366A/RJFvDRvQekw+5jvMR21OpTGj/JG03x/s4O8dNDGv79fWK2XVJEpKiIU/ZT6FIiJPEYsSNhC41Ck0Yw70Fi79Msgib398mQkFbbP/gUqmifeJQU9Kck4/sPiUlhSqBLd0md3ydq0yck8Onup2OaNJ8ChDjNy/5H6TXZsYPx3v0Dmvf7mBRSB5+C1KQ1SKNBGe9BedC4yIIAC/r/fZgkfEQiRi/SHJBdI4YgEt07INKTbnyImSOuARlpGqnzPWKl3Z1d+oQ05u6nJHukeA+IIimMBimI3QMYEdIPTEVieXqRNMAe6bQ9nljibZplgr9LFnYXnxzs07RBSB9Qs4fcP6kfUueku2FpDxgSzSHpxIMD6AHi0ANCCTZs/yE0N5kdoES2h2i9i1HQpNMnUDckfw8PaLTEFIQkmROaCVhx0pb3ibH2SUZA413SlLt7JGvU/+4eaXziF6IyKV8Mn3QDLMqn0CQkMZ+OSdcRkfdosh/cI4sExiaj/5BsB30IkcdEf/rwAHQlwbpH6hjdPyTjSFxHDYlY+2BZMouf3jv4FLbuIRkK4iGyZDQikiMyDAf4ANL7gOaGZIKcigNCmWYV5pSmgwZ4wBof/EQcTQiQ/n3IMv0pwdiH4ntAXgZpvR3yNUhcgBAhCQ1K3aIFuT8EifwIspy7zOQHpB/JShH9WbOQttsllUa4P4BOIsVChCJfiIj4kAYH239vDP0JM0wqkETlAZQldUimGoCILVhXQrUSTXahJYgDWQvep6mkmYKvRQaSHZCHIB05RjTHNGoSSXgzZL9JecJWHZAO2YcjRGxNevzhDpsVuF80eWTWSe0SCtAy+3iTOJXEE+JFZutT7uABaVLSvsR3ZDfJ9uAzcs7ogRK9T43vAV3iPuIoIsrBHlwPjIlGTVDgC+xA34MYBIN8HHL5iInIV8NH5HuQ6bvPbz28B69tnxy5B1DH5NmRdWW/kMhBHguZ9x1oiB04XzQpJO0kIsSLcLnus24nA0Dz8pD5kZQHRJ+4nxw3aF6oXJ4n8hB34CWQ6SDF+RB4kA9LVIW1IsQecKtdMqDEXzD79N2n0CP3oH+gcIksUAv7aEdIkaIn27dLepB8BQwB3h+8GHAfj5TYlXweUgnwaYhlxRfdI8reh9NJpLvPzjNbazJOZL4JxD4IfkC+FTnYpK/ug50f4JN7UNUwAnB1D8RukvTuQS+S23UfrQgWUXcPXvh9UO0+Zp3YkEhEvcKpuQeaQanuksq4T3qEJBNDJ3LsQWU8OCA9Q6r7gXxGHhFJGgkdcy/6JKoSqYmbqUNyMDDM+3AtSWHAdkB5gRrsyhAfkM0l8fkUzWjS4Pk/AMY74gvssAkiASK3+aHA38MLsIek1PaEh0A+MkjkoRIjfQr67ELI6DdAw6v77Bbvky4jlQ4PjSQJPUDNkuoiESCsD0gDiGNFjhtNB6n2B9Dl8jIZL3JjPyWNR4K7B0sLhUjGj4SBwgk4dvDmSNCIQ3ahNWH/oUyoFYZBFv4hSe89+oj4hxz4B+Qx7RPjkCanqIT+Iu+VwglyaGBciImoc8wREXOP+JxtFkIueCEB0fufUc7irk1aHD2eVMuZ9ytnMV7l582eJjI+Sqt6lteUbcGLaBJpiOyDbbi3oSFSD7eCiLzDrSAi6XAriMg43Arint9wE0TkJW7VkHB8eKuGnCG6VUtJJN1qPPtBy5u6v92ES/7qdk05zXW7ppwNu11TTprdrune7ZsC6u0mX7J1t2uKYd2OAST3d6umkiK8FQdw09tNLDe93cRKXvJ2TfeRvrx909vNliRDb9eUc6a3a8qp1dvRFdnV282WJGpv15Tzubdrymnf2zXl7PDtmu4jiXy7ppxrvl1TTknfrilnrm/XlBPct5otxvV2Ygio+7ebWMms3woBScDfDirn6W/XlNP5t2u6j6z/7XG9HQ/wGkKIANq8bvM6r9JptbykDD0vznzx9PlH3gc/mZVrynXvG9jyxg0d3c6Gy5rG7dDnpY/bNeUVkls1lYWUW+PqNb0R6u04SFZwboXAvbDpRqi8JnSrptAit2zKuIbM9rPEQZjA26krWfG6XVNeGLtdU14/u9WsoOmnt2M2sPCnt+Mgbno7DoJi+fR2bCFLgLdruo+Vwts15QXFWxGLm95utqBaP73dbHHT26kGWey8VVNZE73VsLjpLWcLTcPZQptvXoZgnB/cbq5ltfd2TXlR+Iam2pTXjm9HPzS93VzDPXlwu7lG04PbzfUBr2vfrikvf99qWNz0dpIJp+fgdrMFD/HgdrMlS/O3a8or+LcbFprecrZIMg9uN1uIPx9GZ4t/aO7j7qIq8+m6zOnXL07m+aKYZuXrtl5PW3zytJquFyQvR8nju9NFeZT8P4aR6diLIgAA</t>
  </si>
  <si>
    <t>28924CEFA5BCD8EA25810556A1FE8C28</t>
  </si>
  <si>
    <t>JChemExceld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Z6kL1L8K//5v3t/l/zjS/rvNf/75Ufpu73PPvp0vLv/6f293d0HO7uf3nt48CDdHx/s7h3s7+3sH9y7d//h/d3eJ/fSe+P9Bw93P917uPfp/R367UG6R3Du0/cHO/ufPnh4cLCX7tBbu/jzYO/g/u4BfZxu74ypq4MH+/v3Dh4++HT34ODT/mcP99Lt3fHBfXru3f90hyDs7e3vp9v3xvju3h7B+/Te3t59tOt+dnCv/27ko52D/qv3Cb19QmXvIWO9/+kO/db/iKDdJ2if3n+4Q4PfOzi4R5SJf9Z9df9+pNe0OwEP0wfj/YOdvR30//Dh3g4xwAGR8t7Bg4f79C998Wm6uz++9zU+AZbhJ3vjBw+8T+4Tc10TVxDF8AGR69OH94EdiL0zvvep/xkRm5o92H1w7+HuvZ39e/sPDogRdscEzPto7zaNSBB6re5Fenxwv//qg1gHvVc/vc98EI7q3sN0e2/86QP/M+a0/X3/I7zabfbpp31wD/aHUA7xI/aLEID4BXLjdXvLsfZa8Ujv75OUPniw+3CXxrR7j2Z5/+B0m5vTV2iwc/Dg032w7T6J9MN79OWn8VdI1921yu7o8aRazrxfWfu9ys+bPVWAH6VVPctr0tJ4EU0iDaEmb9UQyvRWDaFyb9UQivlWDaG+b9UQSv62DR/eqiEbjFu1FLtim+5tasrm53ZQ2UrdDiobs9tBZZt3O6hsGm8Hdff2TdnY3g4Btsm3g8qm+3ZQd4KmNxFr73Y8ADfBscBGsWPP4nZN2QG5XVP2UW7XlF2ZW9GKm95usrhpdLL4h2qru8aNo197Lt5d5/8lj++SZ3mU/D9v/dJVdQoAAA==</t>
  </si>
  <si>
    <t>F8F30FCC62CB3FC8FFBF46890928A1FD</t>
  </si>
  <si>
    <t>JChemExcelVQI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1GalzkAvrle5YRf+mX6gv778qP03d5nH+2N7+089J9P03vjg/3OR7vj+/eCjw7w0X5KY/oovSYw24T9vXufPni4u7d7sHewc+/+g7T32afp9t74008f3Lt/sLd/79P7n+482GUYDOfo8V07lKPHk2o5837lsb3Kz5s9Hd5HaVXP8poGgBfRJN7wnm24u7nh/q0aCkH7DfmH4nvXTBP92pvCu25+k8d3iXOOkv8HxsiroFUCAAA=</t>
  </si>
  <si>
    <t>087EA76712E5B323C255633482CAF7AA</t>
  </si>
  <si>
    <t>JChemExcele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Z6kL1L375fevwP/lfK/j9J3e599tDM+eLC3s7fz8NP9vQd7uw8ePEi3d8b7n+5+ev9g9/6D+/fvH9z/lHrvfXiws592X/70IN0b7+3cf7Czs3Pw6e7Ozt4uIR/56N74/r2H9x483Nuh/x/s7T+4l+4TrHs79w/u7T18QD0e3Es/pfc+fXDvwf793fsH+/eIRA/G9/d39gmLB/f2d/fu3b+XHtBb+zsP73/68P7e/s69g4OUJpygPniwf7D7YOfTg32i4Pbu+MHD+/fuPdh78PDewb0D+if+2b3x7t7Dnd1P93d293Z3H+6BGLHPYu/G6BP/sAvx4f14L/v08h4N7P7evZ17Dx9+ei/dvk8df0oU+XR//+DTBw8fPox+FHnxwXj33s7O/XsPPv3004ef7ty7n+7uj+8dhHQiUfkovSam2N4b37v38NPd+/cO9vlfISJR2ftsn5liZ8//7P7O/j0C8wBTYVrt3n/Yb0iTfq8Pco9a3qbrvW+22cMeyvvMtQfBR58S1+7c9z+6B669/zBoRSrl3qfhJ/02XUD7EUruHzzoo3rvQX9IkRHdvz8AsDfO3T68++AD8NX+bvAx6by7VukdPZ5Uy5n3K2vBV/l5s6eK8KO0qmd5TdoaL6JJpCHU5a0aQqneqiFU760aQkHfquHubRtC39+qIazCrRrCdtyqIVuYW7UUQ3S7pmyvbtUUFu12EynG73ZN2UbapnubmrIpvR1Utri3g8qG+XZQ2X7fDup+0PQmYu3dbl7FcbgVAuJf3A4quyG3g8reyu2gslNzO6g7QdONUIFAlAf4h+qqu8aZo197jt5d5wUmj++Sf3mU/D+kUICHewoAAA==</t>
  </si>
  <si>
    <t>2D89209176AD0D4B8AB1FE63B0632DC2</t>
  </si>
  <si>
    <t>JChemExcelN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9T/70XwV/jN6/RL+u+E/3/CP+WvLz9K3+199tH27t74YO/ewb0HD3YeHhzsP7x/P90mqu0/3Nm9f3D/4GDn/qcP9+ijnfHu/U/3Hzzc//TTvb0DapluH9Cbewc7O/f29/d3dg72D9LtB+P9g4e7e7t7e3v3H+wdEB22P6UX7+/v7+3u7DzY33/w4GG6vU8v7j74dO/hA2r86YP9e+n2PXrxYOfg3sH9BzsHBw92HkQ/2iNY1Nf+g3v39z7d+fTBvehHOwR+58He/U937+3f2/v03v0H6c74/u7ew/v37hM8+vHwYC/dHR/QWPD9zt4eNaRW98a7Bzv3dncf3N/bub+7/+nDB+k+vXjv4cOdgwf3Dh48vL+zT0x1sP/g008fPnxIeD24f+/B/dhH/fe6wD9NH9AnhOJDfHbv/v0HxDEH9Nr9nT2akYf3Pr336c7D9CHBxuDvfbq7S8Ta/5Q+2TsI2zwYP9gPP4kMbpfm5l4IaZcQf+h/9AAf7e75Hx2ku/fG95n+QaveiwfjvZ0O+EiPDwlV/6P7H6XXxIYkxjRHD0BC93yafiMf743vEe95z32ai52Doebbu+MHD4hpPiVOIbbeu79z/3Sbpqbb9MEBWPT+/b0Hu/c+fUCcunN/Zzfa8tOhhtTV/X0fsz3m8RBd0hO3avdpv9mnLAwk2f5n/Cqx5acPIKgHJMD79x6g3R61xxQe7D7Yffhg5/49UG7HH8jBA2JQYqpPH+x9Svx1cECySwMZ+pTwuXfP6wdcGP1sb0wv37t/sLd/79P7n+48ILURadZtRfPYbfUpae67VnUfPZ5Uy5n3K+vyV/l5s6fq/KO0qmd5TTYHL6JJpCF08K0awjTcqiEMyK0awszcqiGM0a0awmTdqiEM260asvm7VUsYwd1btRRberumbHJv15Qt8+2asgG/XVO287bp3qam7A7cDip7DbeDys7F7aCyD3I7qPeDphuhwmu53cSK83O7puwj3QpXbuom9samt5xYOGe3Ez/x3QIE0OZ1m9d5dfRG3tO/hoGw83e7/thHvN2A0fSWk/MAHuetmopjeisEuGlU6viHque7xgunX3se+l3nvieP71JgcJT8P9Nb8hg0DAAA</t>
  </si>
  <si>
    <t>FC2F382B67F605E7039D9ECD93D59115</t>
  </si>
  <si>
    <t>JChemExcelC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PUm/TPGv+c/89SL49EWn1TP8/VH6bu+zj7Yfjnc+fXjw8MHBw729vU93Hj5Itx+M73967/79nfsHD3Yefrpz79N0+9Px/Xv3dg4e7uPHvXvSaufgwaef7u/v3n9w/+DT3Xv30+374/sHu/d2H+zu7ny6d3D//j4+2t25v39v5+G9h3sPd4kUBIvaUnc7DwjivQefPgSsT/f39u49vPfgYG/33sG93XT7gGbqYHePYDy8f59+7gHUp5/u7Ozcf7iz+2D/03v7B+n2/nj3/r1P7x/cf/jpp7vUJaF6b/zpA3r29umdBwcHn+7TZ3tjwok+2N3b2d0/ONgBrrvjTwnyPRrTwQHhRR2n2zvj3YOHuw93P92/9ykNhAjyabozJrCf0sj3Hnx6nwj0cGcfDR/sE+qEDw380/v7Ow/Qyd79HYJEo9zDNzTd9NmDPeC8c0A/9ndojHh371NCbGf/3v6Dhw8JpR3GZpfI8enDB3v37u09pL76DXcfPEyp2cNPafAEk1rt79KAux89uJ/u0Wzt0HAf7O3t7t0D5um9MVFid2f/YP/ew/ugwf3YR90X70FgHj54cHDv4af3HzwgvPZB4PtEhIN7NAO7n9JEP9zDZ9SeWu7THOzd+3T/wUfpNXHX7j4xyX2axPsH9/aoIXWxe29MdNx5QFzzcJ+oub+bUquHO0AB0PbvE4/s7o3v7ezs7+/f39+/t0vkPUhJbh8e7BAV6a99modP91IS9fu7xKr3iFXvfbp7n2Tm4fgeMR9N0YN9moR79x7QJ58+3L33YH+f0D+4/+nBPUCit3ZofnaJAXf2SBQfEAI0ufeIEjv3dg92dukT4ul7hOK9+7vES/f376fEt3tE3b19mk4CRtJ7f0xNAfPhpwSFqJbuj+/dI14hniAm2N+h/okCu58+uP/gHn1NvPhwF0S+T1y+Q+y1+4DeJ5qMiYE+PXiwR2S4t0+sTJ88IOZ9sLv3cB84EHvSdO0+3Nt/SIR8eEDP/kMwyM79T0mwHkAIH95/sLPzcB+sdG+HZuH+QyLcw09pqnbBh/f3AW7ngLDdJ7rjo50HXrMDhnf/nv/RwS64nyj6gGZg//7OvZ1dgtxvh1574Pbw2cF+p4veRw8wjbvEuCTnRAyejoMxVMPeHjE1CLN/n9TvXat/jx5PquXM+5UV8qv8vNlTnfxRWtWzvCb+w4toEmkIzW0b7m1uuH8riLACt4IIW3EriLAot4IIu3MriLBOt4K47zfcBBHGbOdWLcUm3q4pm87bNWULe7umbIhv15Tt9e2aslm/XVO2/rdryk7C7ZqyL3G7pvu3bwrv43YTK07MrdhKfJ3bQWWX6HZN2XO6HQI7QdONUPfhi92uKbtst0OAPbvbQWUH8HZQ7wVNb4R6Ox74FI7nrVoa/7TflH+otr5rPGv6ted133UuefL4Ljn7R8n/AwYcXSsIDAAA</t>
  </si>
  <si>
    <t>7B837828080FE138A2D53B0B2E5C4448</t>
  </si>
  <si>
    <t>JChemExcelax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v2P0rzMMfo316uciJnKfy/o/1/a38y/sf++jH73pb5t3/wofbf32Uefjj/dvb93/8HewcN7Ozt7Ow/up92PHtLU0OfeJwfpwXj3vvfJbvelXXpn72D3/oOD3U8f7D/Y232wfz+9N364/+Dg4cOd/fuf7u/v3ju412/Vb/Sg99H9T3vv7fWwjg7kAUGiPz7d393d3TvYI4I/JEB71Oz+vb2H9z+lGSQm/XT3072H+5/ep0737xETEF8+3H/48MG9Bw8+/XR379793ehH9wjUvU/vU28H+/s79w4eRj/aJ/AP7t3bI3z2Pj3YJz7avT9+eH93h1DaJxw/3b9/EP0o8mIX/IPoR90Xd/vgqdWD8T2i5wP66NODTz/d+XQ/3T0Y3zs4oBf3DnY+vX/wYOc+Wn2663/0KVrtPCSgB/v3dx8+JFrso9XOp/ce3H9wb/dgb+fe/sEeerx//8H+7s7O7r2dB/f29/ijHZrDvXsH+4TepzRB6e6npAN2CfOHD4i7Dj4lwUCPDw527t/fvb/zYO8+iUt3xvbSPUKKMHj4kGDtfkrDoxY79/d3DnYIFiFK09z96H66Tcro/j0wIX1yjzB/eP/Bp+k2qaCDTw+IEfd3P/30YAd06H32oPfyA6L0R+k1ydP2vTHx2qf37+/cJ3LTKATAg0+Dz/of0VB7n3E/e3vBm9T5zvj+/sN7+/skFA8JJ6JqpN0BUWXnIGj2KX10cN//aDfdHxP2/if3oYc/9T/a6zXa7wFi2GF3pOh6rW7TiD7q9ncvgtOn4wc7/ick2vRbMLZOk08f9sDEhh9BMULwWw6NAD7YfXjvAfHJ7h4xMfEhfbD34NN7+w92aLJ3DwB9j2Tl4YO9PeKCBw8PyIIQJ+ztPdjZe3iwQ8LwKZg/3d4b33uwS0MncSG5eUAGhD7auU96jISU3t6793CH2fo+yS9JKSnhvQcH92lqdiB7pCv39h7u7kAT3KOB74FhiJ0J5d29Tz+NTPLNjMDkuokQe7029Not+G6X7Phda8iPHk+q5cz7lS37q/y82VPj/lFa1bO8JpcEL6JJpCEs8m0b7t+24f1bNYTTcauGcE1sw70NDQ+6ENFCPKGjb8tb+tcmEA9vhRS7SbdqKd7U7Zqy03W7puyb3arpwa1birN3u6bsE96uKbuOt2vKHubtmrIjerum7K/erim7tbfiNvF+bwVVnOTbQWVf+nZQ2eW+FVQe1i0nFo57OLFoo4Lz3duJkUQBt0KNm95uyjmeCJt6yNxSwiUouV1/HLvcqqmEOLdrypHQrWgjAdPtoHJcdTuo+wi/bgeVo7RbQQVdvaY3UuB2TXkKPnTKoYDuharCe+2WLA01fu92fCOx7K2aSsh7KwJLZHw7qBxA3w4qx9m3g7ov4fhtoO4ETT2o/EPdlrsmeUG/9hIbd13WI3l8l/IpR8n/A18eUKhrEQAA</t>
  </si>
  <si>
    <t>C677C35F4CFDE63E224EC9593269D6D1</t>
  </si>
  <si>
    <t>JChemExcele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zX8v7G/478vO393/Xsh/H6Xv9j77aHtvvPvpw4O9/U8f3D/Y3dn/lFCgz+7d23nw8OD+zsO9/b1P9x/SZzQTB/sPd/fu3XvwcOf+HmFEH+3t3z84+HT3wS59ur97cC/dH+892H1w/9P79x/ef7h3cPDg/uk2DXx3vP8pgX6wc49A7t+/9+n9lPqgfnc/vbd379O9ffowvUfv3t/Zuf/p7t7u/fv37t97QOAe3HtITT7df0BtDh72P+i+tN/v6wF99HB/5/7uvb2dT/fv7T68/ymGuLe7+4CA3Ns9eLCzv/eQ8HzQH9LDPTT99P7eg3367NPdnQc7NE/b98YHDw+A+v6DfTzU6v743s79/Yd79+7v7e3u7+w/wEf7nxIqn+4e3AdG9+6l20SfvZ37Bzs7u/v3dg4OiD8IPP14sLezs/Pw/r2HezsP0+1PxwcP7tEgdx/u7O/eP7h3kG4fEPs+3CPyExr37+3dp48eju/vfbrzgD4i/PYIHXz0KUZDLz58eP/+DhGVXtzf3939dGdnD6MiuqTbD8Y796h7+ujewf7Bzh5j/+DgYH/33sH9vfu7O5/u9D66//AhsKchPzj49GCXSPPpzqe7oATN+/2HD+7TZB9g3vutPv0ovSZO+5Ra0pR8SkN/8PD+Lk0ljf/h/t4eOIU+wVw+fEBsSJjRJD8gYj4gLtnfv797AFaiz/eJOLtjmuO98c5uwHn3053xg08f+s+n/VZ4+V7Q6ABTLixNlDjYf7C7uycsu70z3n8QsMJB5LNP8X6HufZBAuoYc3CPWH3/3kMLkvrxRkP8S5/tEZ139w9I/B4SsxIdCOTuwf4OzT1J5R41u4dm9+/T7D18QBJDzHF/5x6N+CHR6R413COK0hBAnIMHkNG9h7s79N/DA/D+HriXkN759ME9Eg18ROxA7Ld/b48E8D6JOMH6lOZk9+Eu8TINb/cBaHWPGPnhvfvE+sReNGPEqYT2/Qd71ClGtweZJXqQ8qB/dvZ2iLb0yS5EiqRx99MDsCZN9M69B8Qs+/s7kIwHe6SL7z/wP9lNPx2TTnm4TxJGUkzEOAB77HhtSIrvje8DM2J60isEmDTzXauajx5PquXM+5V19av8vNlTdf1RWtWzvCabghfRJNIQSv1WDaH6b9UQBuJWDWFGbMO9DQ1hbG4FESbpVg1huG7VkM3brVqKFbxV0wfv1fJ28yjG91bk5Ka3m8v7t24pRv92Tdk3uF1TdiFuNyr2NG4HlR2S20Flv+VWUMW9uR3UT4OmG3EFArdjAfGrboWAuF+3g8pe2u2gsjN3O6js890O6l7QdCNU9iJv15SdzdshwD7praCK63q7purh3gaBg6CpB5V/qA24a1x5+rXn5t91MUDy+C5FF0fJ/wPBSjnAeQwAAA==</t>
  </si>
  <si>
    <t>49058A283FBD90AFA9A20CEE3DA625AC</t>
  </si>
  <si>
    <t>JChemExcelHx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w8+SvMyx6DfXK9yomHa/e9F5yf++9L7v/wtf/ltwvbcovwofbf32Ufbu+OH9x/s7+/de7i3u3fv4OD+g3R7Z/xw79OHB7t79w/u3dvd26fRU7v9nb2DTx/s7z389NODTz/dQ7N7D/b2dz7de3j/4MGnO3s7NNLd8e69ew/3d3d2Hu7d39+hX9O98e6n+/Ty7v69nf1PP33w8B61+pR62r3/8MHuAzR8eD/dGe8e7O0C8qf3HzzcffjwAfdwsH+w93Bv/9MHe7v3ACTd3hvfu7//6b2HDx7s3du/d3+Hpmv73vgegaM+dz7dvffp7j4+2xs/JNC7+w/u7T94ePBgj6Zre3+8e99vdy/dvk/j2qHvdx48oKb3PyUuoGaEk9dsD80e3r9//1Ma48OHewcPDvbT7Qfj/U93qY97+/d37h8c7PNHD+89eEAtdwnBT/c+pY8+JTQe3CNMD/Y+3bn3KUj5gLC9t7e3c/8+U4oaPRzv7+9TP0SB+3uf3iMu2yZB2X+wT68QtHu7Bw8/vY9mDwnT3QcPDu7R7BAVqBkJ397D3QcH9H8awe4BNTsY7z/cu/dgZ/8BiLwPXA/GD4jYBzR/e/v3D+5jkh+M7x/s7Bzs7N3bASbEyYwYff1g94BwePjw09303vhTosz+w/39g90HmPxP0/3xg53dvV0a8u7DTx/SSOiTvT0CQCPY+fTeLl77dLy384B6OSC6PqSX99MHY2KuHSLX3s7BQ/r/Xkoo7e/f+5R6Itahefo0fUhwdvbu7+0/pIl4eJ+od0BM8ZC44d6nNDOfPiTifUqcQ4ywT93TywfEhkSoB3uf3ifK7OztE51ITIkoD+4/2PmU5uZToil9m+7eGxNh96ljojMx+h5/9IC4ntDb3aMhErHT3T0a3AEx/R4R9P4DGiRg7QEwkY+mkIhKH9E074Yv7u2NaaDBR6ToiDK7Bx+l15CzfZqU+/dA3fv79J9y7X3isT1inb3dh/fuUW8kZjRJew9oah6S4D14uM9SgIklnGjiaYA7B5j3Mcndzu6nD2heaNT3Pz1AhzS6vU+JfvsE494OTfzu+P7+gx3MLvW8gxmkj8AFJLlg2Z3d3ft4E+JBfd1/sLdDvPMAcrxDkv6AmJYmdX/vAcEnPHZ3aJ72HxAD0LyS1BwAEZoZQvZghzj3/v7+/U8hevsPdvcOdon+JAwH9/cjze714R0QV/T67SO3G6HIvT7l7vcJvBeh270e3XYjZNsjLfbpw939h8TgxPjgzj4h91PoIRKh3b09eotEEtJy7wH9R0z3KQSKpm4POoKaQ2bpw08fssIlOMSyxBvUeHcXH5IS3iFNex+0J5RJ7OnVew92SSFTi4cg5wO0un/wKSnBvQckxnsk3buEF/1OnEjalqA+JGj0EckmqWhqc+/BAUnWffRJAyR1C/0omljmaffhAb3+gCTq/i4Gylr4AYzBA0KDZnAXvAvdT0JIqo0sBhFqF/P0gLTVHqlrepeQok9IM0LWDw5I05C6f8D03yUhOSAJIWmhb/fBLkTTg0+hwO7T2zufcjsi5Kf0yQNSEQ8JZQx1h/8PzfWgI0q9j8gjuGtdgqPHk2o5835lH+FVft7sqZvwUVrVs7wmXwYvokmkIWz7rRrCsNuGexsawjG5FUS4L7eCCCfnVhDhCt0KIhymW0Hcv21D9r9u1be4abcCKt7craDeC1puBMru4e2ashd5u6bsbN6u6e7tm7L7eisCiJd7O6jsDN8OKvvMt4O6f/um7IXfGoG923GL+PS3a8qu/+2acoRwK1y56S0n9sGtm0pocrumHMHcrimgOh7Y1BRAbzevEjXdqqkEV7ciKze93bxKqHa7phzR3a7pPgK/2zXl+PB2TTmMvF3Tvds3BQK3m1eJX2/XlMPcWzWVaPh2TTlovl1Tjq1v1RTDijflH+ox3DUJB/q1l4y46zIVyeO7lAM5Sv4ff5/xpx8RAAA=</t>
  </si>
  <si>
    <t>92A7D543E048FB9F9223BF7DFD03BD1E</t>
  </si>
  <si>
    <t>JChemExcelg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VP57kX5J/35JP1/oJ/rfR+m7vc8+2t4b7z289+nD+/c/PTh4SP+l27vjTz99cG9vd/fewf1P9/b2H95Lt3fGu5/uPHxw7+DevX366gCf7Y3pxZ3dh/sH93Ye7jzY//R0m7Ch1/d3Pj34dGdnZ//Bpw8/3Tm4j6b79zyQ93f2UyLZvXufPni4S9D2Dnbu7X0a+2iPcbl/sLd/79P7n+58+mA/3R/v7OzuELhP7+8f7NNvNAGE1YPdT/cPHtyjd+8dpJ/Sawf3HtIbD3f3d3Yf3EsP6K09QvIB4frpAf2WPqS37j+4TxjtPXj4KXUQ+aT/Vhfy3kfpNchIuH+6e+/h3t4DGt29h4Q8Rv2AXrpPnz3Yo0HsPEy37413Dg5oLHsHRIu9g/v00f74U2p7f7y3/+m9B/v793ZAA7y+T3y3+/AeQX1Iv9zf30ere/TGp2OQn97bfeg/5utNX+yFMB6MPw1ayhd7wUfEpnctnx49nlTLmfcrM+6r/LzZU979KK3qWV6TgOFFNIk0BIfbhnsbGkIObgUR0nIriJCpW0Hcu21D6vrBrRpCkG+FIzV8eCuIrBRu1VJ0x+2asoq5XVPWRLcakyis20FlvXY7qKz+bgdVteRtoO4FTT2o/EPZ/65R6fRrT93fdbYgeXyXrMxR8v8AJ6RI2IEGAAA=</t>
  </si>
  <si>
    <t>54218041CD85EB4481B3D3679A7DD48C</t>
  </si>
  <si>
    <t>JChemExcelT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5b8v9d8v0xf8r/78SMZansyz+oKa76Td/3bp/9u79peP0nd7n320vTN+uHN/9+Dh3sHB/Xs7+zsPP023H44f7t+/d/Dp/b2DvZ2H9+/tnW7vfprujvc/3f9078HOvfs7+P7+QeyjbZqUB/d29+/d2925t/fp7v29e/T2/XRv/HDv4d79/Z0HO9TbzoO99N744N7+PjW8f/Bg9+H+wW6/zafUaJ/Q29/Z2ydIn+4/3Pk03R8/3N3dP3hwf//TT+9/ev/+Ls3evYMH9+i/3QcPH957+IA+eLgPkJ8e7OzvP6TfUhrn/oP7Bwef7j7YvXfvwf7ezn2g+vBgb+/evf0HNIoHhAG12xvv3z/Y3X346f4Devnhzg4N6d54Z3fv04f7n+7u7H1Kv+59lF6DdrvjvX0P5i5oR+8/3H3wYO/e/h5A3ntwH5/t7PrtDu738NmlAXBH92kO9g6oj4MHDz/99IFS/uHDB7s79A21Pth7+FAmpN9/v/uD/d4kPaBPHhzQaGmCDmh2CcADovPe/sP9ewc7D/Z39g/29/bTnfGn+zv3iII7D6jTBzs7e8Dv4f1P7xGNHzx48OlDkDHd3h/vPfj0/sG9ewe7nxLSezSM+2NCZm93Z3/3U/p77/5DvLl7b4/mkXC49/De/Xv7ByQpd62oHD2eVMuZ9yvLzqv8vNlT8fkorepZXpPQ40U0iTSEkN2qIUTxVg0hsEFDtBCBP/q2vKV/DYLY7YLY0Nent2oI/XGrhtAyt2p4r9vw/YdJSD0cAvHd24FgdXgrfEVr2qZ7NzW9Nfvshvzz/mQQHX6r7kTV324Q+2IR+lD5hwrOXWOg6Nee8brrLFvy+C7ZzKPk/wHLJUiLTwcAAA==</t>
  </si>
  <si>
    <t>F0AD1DF69B1B09C3AFBA85CE4A7F3DE7</t>
  </si>
  <si>
    <t>JChemExcely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vN/X9J/9POj9N3eZx9t08Du3fv0wcPdvd2DvYOde5+m9NHOpw939u7d29/beYD/9k+3CYPtvfGnO/sPHt5/sPvw3sNP9/f25fMuhPv3Umr56YN79w/29u99ev9TAnG/91Hvtf1P053xp7vU9d7D3fu79x48+PQeXtu5/+mnn96/t3dwf/fg3s5B2sP4/n1GLYC+G/1of7yzs7tz7wF9sH+wT131PyJY9wn+/oPdT/cPHtyjPvZ3+x+l258S9IN7Dwnww939nd0Hn/Y/6oO6R9gfUIdE1v0H93Yefnqwt/Owj8M+D2hnf+fhwb2D3Xv3iNz3Dg4+Sq8xXzvjB58+9J6D+0TJ3f2H9P7+p3v7BOneg09pXvDx/Xt+y4f7RE3q1X8+jbXavkdo0yh2dg4IzQcHDx/I/He7fng/vUdjfvjgHk3ZPRoWRtX/6Fa9ylTs7h/s7Hy6TyS7d7B3z/b6APTowSA0wQ7740/3mNKEr3t2MR/AwPuIyPpgHI7gIT564Lfakek+6LTaHe/vfHrwKX2/T0T4lJiShPuule6jx5NqOfN+ZXF/lZ83eyrxH6VVPctrUkt4EU0iDaEXbMO9DQ2hPW4FETrmVg2hiW7VEPrqVg33btuQcDy4bcOHt2oI1blzq5aicQOao83rNq/z6uhE3tO/hoGwyr5df6zZh/p7c8v+2DTcrj+2IB/aH5ug2/XHlupD+2NTd7v+2CLeSmbQdO+WXPEp7Ovtmu6JGe435R+qEu4a54B+7TkOd51XkTy+S/7KUfL/ANB6tIHLCAAA</t>
  </si>
  <si>
    <t>FABB60D0B32F0A3B3B3C0B127E94CD8A</t>
  </si>
  <si>
    <t>JChemExcelR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Kn77wX/+yX9538q33zpf/tR+m7vs4/ujffv37u382DvwcN79+99uv9puj9+cPDpw4NP93d2dw92Pz3Y7X2Sfjre3dv59NP79/fu7ew8fLC7v58+IDj79/b3P93fP7j34MH93ge7vbc+TQ8I8MHO3r0Hn9Jznzq5xScHKc3k7t7ug529g4OD/Yf3DohENHn79+/Trzu7O/f2dg/uP0h39+jFhzuf7u7SB/sPDx7ei7W6eST7B71PHvZf69LowcP03vje3t69+w/vffrpzgE1uZfujfd3HxDiO0SO+58+uHfvfq9Rj9gMKJwiem1vfH//YHf3wcOHOwd79/b4k93dh5/uHezef3B/7z4BS3cI0P2H+w937t3/9OGD+w/2PkqvacI/HT/ce+g/GMx9/4MDwuHTPeqWqOt/zJ/v+h896L1LE9/t4EHvk4M+bML/3k74SbezyFv9Rg/7gB7EPtolAu74D2Znb2+HJnln/+He/Z17u/dOt4lFt4mMD4KWu+n2Ac3Izh5NJUi/t7O3Z5ruP7h/cPApTfK9ew/2ic0eYBY+Dfreo452dr1mxIdA557f6uGnGCxmldAhDj7YO/j00737LIuf7oXYoKH/yR7ppLtWKR09nlTLmfcra6lX+Xmzp4rqo7SqZ3lN2hQvokmkIdSZbbi3oSGU3q0gQjXeqiEU6K26hpq9FcS92zYkiAe3akg4PrxVQ7YAtxoNWu7eCqaYk9s1Zatz+6a3nsrd282lWLpbjV8M4u2gst28HVQ2r7eDylb4VlDFWN8Kqtj02zVl038rBBjXW87r/Vs3ZbfjVi3FO7kVqtzUscBGqOrr9JvyD1Vqd41XRr/2PLa7zp1LHt8lR/Eo+X8AIYTdAkQKAAA=</t>
  </si>
  <si>
    <t>B365326447AD51086C28C6FDF792F64E</t>
  </si>
  <si>
    <t>JChemExcel2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h18lOZljhG+uV7lRLDU/fci/dL760v+/5f86Ze9b8yn+Plafv8ofbf32Ufbu+O93b39e/fvf3p/7+HB3u7OXtr7bDfdGe8GH+0dHKS74/37+w/39j59cHDv/oOD+w/vdz/6dGe/9+b+p5/2Prv34EG6N35wQC/sHuzQ/+8fPPy09wkRZ59epL53qIud3XsPiZz9TzqvHTzoIbq/1/uIEOggtfvpp/3P9nvQd4kb9+/ff/jpzs7+vYP93YcgQ+ejT+/1xrJ/L0rSHuWJCXqf7X+abu+N7+9/uku/HjzY3ft07/4OvXtvfPDg4YOH9w52Dh7SGA/uf9r/bL/36j4Nffs+dXFv/8Hew3s7D2g6iI23P6VmD3bv7+3c3/t0d+cegHVaEWP38OgPa4dkoN9nShL+MKDR3m0/2hvvP/Q/2k0fjvd3A3J/lF4Ta++MP33oPzSonfHBveCzhyAvjc97SLbRbj/4DDwbQnvA3B58Rh/dG+/s+B8d9BrRFHQbPaRPHjwIPtknHiKl8OmY5s1/GR/v+p/c771L3NZ97V76YPzpnv/Jfu+Th3jroT9oHs1un0B7YKvd+/5HJOf02cPdEOA25MD/5AHYai/o9kG/1f37fWDy2e5+59XuR/cYt/DVfp/Etw/GD4JZ+bTfKsIaO/fw2f19pvnuQ2L0fZJQYrqD0+1d6Bn6Cg12Dh58uk/yRyrm/r2H9+jLT+OvkAG6ay3Q0eNJtZx5v7JJepWfN3tqlT5Kq3qW12RL8SKaRBrClNyqISzcrRrCDt6qIazlrRru3rYhjG/QEC3EhB99W97SvzYhdXCrvh52G75/X+wi3Koz8SRu15Qdjts1Zb/kdk3ZfblV04e3bslAb8cr4jbdrilG9aFswFT80PnlWXt4K6Th8d2OFeAfhpzw/oixozkI5LvvAeR23CNO7e2asu97u6bsIt+uKXvSt2u6d/umgHo7bSEu/O2awqMPeeFrTM4+QoUPBYIY43aqhCOSD+TKe8D5dlMvUY9tundTUzefNzaNzif/UFt714SK9GsvjLzrYszk8V2KXo+S/wfgHv7k2Q4AAA==</t>
  </si>
  <si>
    <t>A0D66F5DD602C72887BDC101AC632122</t>
  </si>
  <si>
    <t>JChemExcelU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LFv/Lfl97v5hPz2Zf8/xfplx+l7/Y++2j73vjB/b37D+7d39l9+GD3YHfnQbq9Nz7Yf3DvYH9v997+/u7+zl66TdQ52Htw/8Hug4N7+58efHo/9hGR+GD34NOHB/c/fbD/4NMHu4T9zvjhwYOd+w939+/vPTjYOdjZ7Tf79AF9dv/+gwf3P93Zozb3dx7ufJpu74z3H+zRu7s79x/sPLh/f+fT/XRvTP/u7tyjZ2/3Pv13L7033nm4f//T/f1PH+zsPHjwcDfdH3+6s/Nwd/fBAxrBg4P7ezS/O9TRwwcP9+/t03gfUJOd/U/v3fv0YOfhpwd7n+49JMj37z18ePDw/s7+faLIpw/vRQlxb3xv7x5hRZ8+eHBwQHO0vT8+2Hv46e6DTw8ePtw5oM/w4t5DGsnDPRrKAX31MCX+u/dgh97Z+fT+PcJ/535KLEef7N7/dPfgwe496iLdpbEQwveoBSHy8N6DB9GP9ogw4Xs0nN3wE6L7Pf+T3fQhAfJp8FF6TQywMz4gDD/d+/QeEfj+w70HuyA8tdjboz7vH9zb3adB0fzs7vnNDohhd8effhp8RjTc3d+/v39wsPPpwf494gpMbAf+gz58YnzipoPdXZp5muqHe2ADEPHhfZqZe/TX7qe7NN34aPfe3s69/fvEOAf37wkwYjDir/v76GH34a5wK3ECsQzRaefh/f0dnktiB5rC+wc0Kfs7ePXe+OEuIUpEuvfgHvV6Dx/df/jpp5/ufkrz9uDhw9179/qDAsvR97sP7h/s79KMHBzgk4eE6f2HBI1ITBxCHPbg/j0i/8GDe7sP7u18+hCoHjzco753dx4+eEDjvn8fn5GU+J99SiT7dP8BzfXBw529PSIJzR3hcBB8xPJHjPpg9+Hevd37Dx/ep0mOfrY73tvd/fTew53dvZ37nxItdiOd7uyTJrtrVdnR40m1nHm/sm57lZ83e6rePkqrepbXpIPxIppEGkIJ3qohVOWtGkKh2oZ7GxpC7d4KIpTzrSDe8xtugghdf6uGsAi36ho2YedWIMW83AqoWKHbQWVjdTuobNNuB5VN3+2g7gRNb+CQ3dvN/O7tW7Jxvl1TtuG3GxSaOgbYKEjsDdyuKTsNt2vKvsXtmgLq7aZVPJXbNQXU200BUyA6BfxDVdVd46HRrz3v7a5z7ZLHd8lpPEr+H9JsdJxQCgAA</t>
  </si>
  <si>
    <t>F86004C424A15D18A2454D8C757A7417</t>
  </si>
  <si>
    <t>JChemExcela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a/+9F75Mv+f8v8LP8KH2399lH23vjvQcH9z492H/48MHBw/uf7uyn3c/uP7yfbt8bf7q7t7P/4NO93U93H/BH++OH+/cf7H36YP/e/v79T+/tptuf0psP93fuH3x6f+/BvU8/pVYP6MV7OwTr4MHuzu6nDx+m2wf04qcPPt3f3Tl4uPfwwb370Y8iL0bA79CL+58ePLz34MHDT3fv7+1/mu6M7x0cPDx4SHgdUJtdIvLu+MHe3qefHtCLnxLS+/fTe+MdQnn/AUG/v7d3/2DnQbo/vvdwZ2ePent47/4OASNeeLB378HOp3v3dncf0Lv9D/rvRAA/oI8e3Du4f+/+vZ0dwmK/98mn6QEB2t35dH//wf4BvU0T3m1zEBnF7t74/gP/tY/Sa8zq7hhk3P3UPA/2QKl79zuf7Yz3dx/sHNwzz969T/vtDnZ77XZu14yosTt+eL/z0R6Nwv+o12YHUxhCurd3/1YDuG276EBBpBjh9saffhp8drtmB/1hRLt92CMASXj3IyITaS3SMXetkjl6PKmWM+9X1jqv8vNmTxXPR2lVz/KatCNeRJNIQ6inWzWEErtVQ6i6WzWEQrQN9zY0hNq8FUQo11tBhAq+FURW1LcCeT9oeQPJd3dv1VLsw+2ashm5XVO2NrdrykbpVuMX23U7qGzibgeVLeHtoLLBvB3U/aDpRqgPYIJv1/RTWOpbNRWDfitcuentJ3YvOrH8Q3XFXeO80K89x+au83qSx3fJnzpK/h8a1xL3awkAAA==</t>
  </si>
  <si>
    <t>3CF6081B84F571F75DEBCF30F51AF77D</t>
  </si>
  <si>
    <t>JChemExcelJ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3YOP0rzMgdGb61VOA0xP0i/TF6n89P+y/32Uvtv77KN74529/Qe7n+4fPLi3u7e7v/Npem/84GHvo7AVkeLeveCDT4l2/ge7Nzfptrj3MH0w/nQ/aHIw3t/d/MHD8cP7wQc0hw9CZHf3xnuf+h09SHdpREHfD6KtOqDufdrt7t7Dj9JrIuP2zvjT3YOHn+59em///u79g4d7B+n2LrUlkLsP7tOn9+ij/XT73njv4NN7ezsHDw52H+w+/HQ/0mwv2myfenjoP+n2fXrz3qcPHhIiB3sHO/fup9sP6MUH9+4f7O3f+/T+pzsP+qDQqtvlg4MofPpor9/Lp9GPuh0Te24f0Pu7O/ce0Cf7B/u7xEixj7pvknTcteJx9HhSLWferywvr/LzZk9F5qO0qmd5TYKOF9Ek0hCCZRvubW64fyuI97sN0UKE/Oi78pb+tQnEp7fqC6rgVg2hMG7VkLp+eKuGrHxuRTm03L0VTNFkt2vKCu92TVkv3gpVUZ+3g8pa9nZQWRnfDqrq7NtAvRc09aDyD5WMu8bq0K89i3TXmavk8V0yhEfJ/wNUAhAMJAcAAA==</t>
  </si>
  <si>
    <t>468A38A698EFA0D4E3E8B6937208A22D</t>
  </si>
  <si>
    <t>JChemExcel9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26/76k/+Sn+fdL+y//91H6bo9otzfe/3Rn78GDvYcP7u3ev3//XkokOLh37+HO3sGnnz58cHBA3VGrB/TJwz20oB/38Mnu7t6DXXrx/i79PyXC3j/Y3b2/v7Pz6b2d+/fuH6QPx58+uP/w0320erD/kNvc29kj2Lv71HT304Pd9GC8u79P7zx8ePBw58HBzoP0wXjvHnW0+2B3594D6vUhzcqnD90n+/T3HgHZI1wf7tD3B+mnNIbwlQfjB7uEKGFPH1JnDwmZ3QcPH+ztP6Rudx7euw8wD3bv7e0S6IcHuzs7B3uA85Ca3yM4O5/e/5TaEDJ79/d27u3T4PdpIPfT/fGDh/s7e3v7e7sH1OvD3fTeeO/Tvf37Bw92iIYPD+7vUl8P7+8/ePDwPoZ/8Onep+nuvfEO9b/zYGf3HtrtHKS7++O9B9QNvUg9fnrvAQgP8h4cEDIPCM4+ze815ogQ3X/4KZH13sGDvb0DmiMQkpD+dI8Q2Nn7lLr6NN3eGT+k4RMK1Oje/gOCuL03vre//+k9+ujBzs7+vf179/DZ/Z37n+5ilPv3Pr1/bzfd3h3v3SfiPABFCeIuzecOTQzos0+EeLCz/3CP6EPt9vdkDHv0HtHtAXrdfUAUJirt7j4kBB/Sy/0PafLHewdE6F3mLZD3ICUeenh/h5oQOe/RaO4/6LV6sEcfPaDWD4kq9/fuEYfcv08kv3/vU0KLOOk+DeX+g3s0L0Tovd17u/S/fRp/v82DOP7dsd+jcd4bP9zdAwUxAiLVp/jo/kNC4NOd/YN7+7sPPt3DIB88IGb6lKblYGfvPk0RjejhpzsH9+ldevEhdU6K4K7VBEePJ9Vy5v3KquFVft7QLEM1kCKp6lle05x/JC1EqRx9+/Fd7y/5Iw7iXgBiqCF00K0aQlPdqiH02a0aQuvdquHebRsSxIMPJNzDbwTE7s6t8BVdf7umbBJu15Qtx62aPrx1SzFFQ5T57u0ow5iFXPT+5BVjeDuk0V/IOl8DaUzSIE/cFghb7VshfR+2/QO724dv8IF0vgff4gNh7Ipv0h81/1D9d9e4UfRrz8W66/yv5PFd8uyOkv8HL2C4r/UJAAA=</t>
  </si>
  <si>
    <t>4A1ADF6C4B7BB8BD0B1AFC36B4C03E27</t>
  </si>
  <si>
    <t>JChemExcelj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3P0rzMgcWb65XOQ0qPUm/pP+/5p8vUvx9wj/pr4/Sd3uffbRHI7z36YOHu3u7B3sHO/f2Pk13xvc/9T+6t0sf7Rw8ePBw7+H9nf2HO5/u3js4SGng94I3D9K98f0HD+9/en/v4b3dT+/v39+732+1R60+/fTBvfsHe/v3Pr3/6c6nD/bT7Z3xvf3d+7s7u/TVzt69B/fv36dO9w72Dz7d3yNs7u3fu//pp2j36R4Bub+zt3/w8NOd+7v0GQ3h/u7BwcGD/XsPPr23+3BvH589eHBAL+4+2N95+JA+ona744MH93YeEO7373/6UF/df/hwf//g3u59Gtbe/oP76fa98c79BzsPGNeH9z7d2T34KL0mSm3vj2kcB7uf3tu7R00fEkZp9LN74z0g9HCPOrq3s7/zAP3cAxr2OXjQb/bpAYb34NOgHRFrh+DvH+zs7+8+vPdw/+B0e5f6uD9+uEdYosuHn1Lf99LtB0TpvfvA4uEDogKodUDzcUDD+/TB7s6nD++h14PxPtHkAQ2ZaPVg9+FDvLhDX1MfNIWfPrj/kME/+HT/Af356S7htvvgU4z0HgH79ICm7AERnkA9pHmkud3d2Tl4+GD/U6LT0eO7louPHk+q5cz7ldn6VX7e7Clnf5RW9SyvSR7xIppEGoL/b9UQUnKrhpClWzXcvW1Dgvhp0BAtRLqPvitv6V+DICDat+qL6HHwgX1BgdyqL1YztuXeJlKxNroVUFFat4PKuu1WUA9u3VKU5e363xWd2ofKP5S37xr1Tr/2VP9dZxeSx3fJ4hwl/w+ttRJ7jQYAAA==</t>
  </si>
  <si>
    <t>29B74EA4D8034491CCDBBC88E891D1FA</t>
  </si>
  <si>
    <t>JChemExcel1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tq/nvB/75Ov7S/u2++5J/P8N9H6bu9zz7a3ht/uvfw/oNP7+/tPbh38OnBg0/T7Xvjew/9zw7up9v744f3gs/S7fvjBzv+Rw/7rR72gT3cT3ud4jOawIPgs3vp9s743m7Q6UG/3YN76e54b29nf+/e/oMHe5/u3tslQu6Nd/fuf7q7R+0ePNx9sJfeG99/uLN37+HBzs7Bwad79x+khCv9vXvwkADt7u89TD8d08f3qcX+/n2Ctvdp75P+SzHAnb53H37apxV99GC8t9/56GC8E4z3Pj56EAyXqPJwfO/+vb379z8lrD79lMa2/emY2h48fLC/s/Nwd+fT/YOP0mtM7v3xvR166d7ewc7Dg90dwpam4+GDnd2D/d37D3fv39u5L/MdfvaQZ+jep/d37u/ce0Bd7ezxBN3b2TvYQ5v9h58+PDjY7X/24H7/VaLabcARciSW93YOaGw7n967t7uz/2Dn3v1ew4c7u2CMnfufEqs92AfS92kqHuBDetVveJ8g7t17sEt0Odinvok6+/d77Q4eHgDBnQfBZ4z0wX7/s6Ddw51P8dn9/YMHu3s7mB5CKO3Rfb//0X2etXsPiK/2d/Ah8S144iEB2tu9v7dP3+1+ypxz8Knfag+t9ne8j0iUSPfctcrn6PGkWs68X1kbvcrPmz1VSB+lVT3La9KaeBFNIg2htmzDvQ0NodxuBREq8FYQoShvBRHq9FYQ9/yGmyBCO9+qIXT4rRqypr8Vkmi5eyuYYjZuBVSsy+2gshG6HVS2VbeDyibtdlDZ8t0OKhvI20G9FzTdCJVN7u2a7t66KWy244CNMsem/nZN2SO4XVN2HG7f9HbSzE2jLMA/VP/cNY4S/dpzou46Dyt5fJd8t6Pk/wHttf7U1wkAAA==</t>
  </si>
  <si>
    <t>34102146FC8E0EFAF59F72125FC2D448</t>
  </si>
  <si>
    <t>JChemExcel0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Pdl+oL/PeGf5jPz24uP0nd7n320fW+8f3Bv59OHD/bu3dt7eH/vfrp9f7yz5390Dx89eOh/9Gm6/WB8717no+6LB2kP/MGDdHtv/GDX/+zhp/3PqNnuePdB56Od8d6nDw4Odvbv7T94+HB394DIQM0efvpg/9NPd3ao1f7uwX7voweRVx/Sq/Thg/17Dz6lhp/u3vv0/r2H6d74/r2d/b37D/b2dvfu7aPXe+ODT/d3d/YP9u89vL+7f3DQ/+R+7717fUgfpdcg+N74U+pq5/7OvQf39u7v7DFBgo/uYez3dvYO9u4/3L2///DThw8/3e1/9uBhSjx6b+fg/r29nU/v3SOEdu7f7312b/fhA6LIvU8Jqb17ewe79x/u0GT24e0c9D47eMjY3d8/eLC7t3Pw6cG9/f2dBwf4bOeB346ITsSkDvzP8NHO/U8f3nv4YH+fur3/YGdnB7NDMD49eLD3cOfhPWr5KXDeu/dg98H+zsE+DX9nd+d+H9zDvX63D/HRwX4Xk/3xvYOgGYndXSt3R48n1XLm/cqC+Co/b/ZUFj9Kq3qW16Qw8CKaRBpCYm/VEHJtG+5tbnj/VhChI27VEJrkVl1Tw4NbQdy9bUOor1s1ZCV3q5aiC2/XlFXmrYYumvVWUB/euqWo6tv3f7t5F8V/O6hsH24Hlc3I7aDuBk03QlXD1G/KP1T87hoTSb/2zOddZ1uTx3fJah8l/w9lzNIQ0QcAAA==</t>
  </si>
  <si>
    <t>A5801AA014C1CAC62B267C49E020EFB7</t>
  </si>
  <si>
    <t>JChemExcel7A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n/nozQvcwzszfUqJzqlJ+mLVP59ob9/qf+ab9x/X3qffMktvgz+O8k+ElqXJ/OsviD4O+nX/2971/8h/+19lL7b++yj7Xvj3QcP9h7u33twsP9g79NPD9LYR/vj+7s7Dx/cu7+zc29n58HOfrp9f3ywv//p/b1P9/Z29w4eRD+JvPaAgB/cu7f7YP/ew/ufPnhwP90+oFZ7O7s7B5/epx4PdnejH0Ve7H5EE7X9kJC4/+nBw4cHDz4lLPYf9LH4tI8qwd+lj+59unt/7/6nn9J392j2e5/t76XbO+P7Ow8f0qf3CK9P7z88uN//7OF+ujM+2Lv3YH+P8NjZ3SUo99K98e59+mSPhnVw7+H+g93eJ3ux1+6N9x/u7u7s7t3b+fTTB/cJ/e4n9z9N9+m9/QcHO/fu7+0/vH+fEP2UYBMpCOr+vb179x98ej99QO/t7d47uP+QxrRL5EkP6LX7BzTduw8ePnj46f6nKcn1Lr308FNC6GDnwacH+ymJ8v5DojJe+5QgkUxFWvX663W3c7+HZrp7f/zpAx/2g3SXpvB++BHpGnqV+j0YkyDSXx+l12De/fHevf2H7qGZ3Rt/+jD46AGm8eGe/xnROdouAu7+eGfH/+j+/fhnH4DJzvjeQdCO9FO0j27DgxSfEFfbZ5c44dZ9dF++v5viVf8j0pAYhf/Rfq/RfhRUtMs+MNAteDMG/mYcboVopNFeD/V79/pI3UsxHSHw/idgUvyflNdOOPLbfkSCtvtp8BnZw7vWIB49nlTLmfcrW8hX+Xmzp0byo7SqZ3lNlhwvokmkISzbrRrC4N6qIcyybbi3oSGM960g7t62IUF8cKuG8Bhu1RB+xa0Gw97HrUDu37qluDO36h6Oze0mHG7R7WZcPKhbdQ9/y036RqDsjt2uKXttt2vKzt2tUBUf8HZQ2VW8FVTxKG8FVRzPW0HFsLymG6ECgdvNq3i8t0KAm95uYsV/vl1TdrNv15S98ds1Zaf9dk3Zt78dBdD0lhOLqOB2syUBxa0Q4KZRzcs/1ADcNdET/dqLrO66sCt5fJcCuqPk/wEUTbzl7A0AAA==</t>
  </si>
  <si>
    <t>304280476F35575919F932D3AC48638E</t>
  </si>
  <si>
    <t>JChemExcelD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3YOP0rzMgdGb61VOA0zlvxf60/33Jf+f/i0/St/tffbR9r3x/Xs79/Ye7Bw82H24e/Dpbrq9N959+Omn+w8efnr/3qf3Dvbu4yP6xPvoXrq9O97f8z/6NN3eGR98uvfw04OD/Xv3791/cHDwIPJZujPef7DzYHdn78HB3sO9vf2D3f5H9/fT3fHBzv69g4f7Ozu7ezt7B/d2ex/t3++9+XCv3+Wnsc8ir6b3xrv3DnY+Pbi/t/twnzp8eBD7KILYg/G93aDV/Y/Sa6Lu/vjhvQc79w+IYPf36IWDdH+8+6n3yW66Nz64d+/eg4cPdnbpf/ce3LtHjHZ/Z+cBfbYPVPf3Cdd743sP/deIEwiN+72PaBa9j3jc+/LtA5oq+oqmC1O3t+d/CALtjR982v0MvBF89qDf7kEE3oODdPv+eOdB8FkE3L1+s09747pHE7VDInPXyszR40m1nHm/shC9ys+bPZWjj9KqnuU1ST9eRJNIQ0jbbRvu37bh/Vs1hHzfqiG0wK0aQlfcqiE0im24t6Eh651bgRT1dCugosVuB5WV3a2gHgQtNwJF/7ebTB7V7aZTdPGtmkJbhzOKJmIdjr4tr+lfBgb/UG6/a8wL/dozPXedXUoe3yWLd5T8P67Ee04NBwAA</t>
  </si>
  <si>
    <t>C70A8B8E04B222CD84414E9E31E41B5C</t>
  </si>
  <si>
    <t>JChemExcelk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Aq/73Qn1/qz/C/L/F5+VH6bu+zj7b3xwcPd3bvf/rgYGfn3qfU6/a98f37n+4/ePDp/YO9nYOdh/spNbq31/lob/zgIPjoHj7b29t78PDg/r1P7xG4+weRjz5Nt3fGBwcPd3cf7u/u37+/t7N3L/bZQboz3t+nPx4+2Hmw9+DTnd3dB/vRz3rv7j2IfHa/9+7ew3R3/ODBAfV1sPdwd2d/Z//Bp/2P9tJ7xBC7D3cfPLy/8/AeDZZg7Y87aEQ+6b52rw8oMp70YPzpXvDJR+k1TdSn492Hn3rP/n1i1P09/yOgtfNw7+HBg/v7+wf3Dj6lEX46JiD39u8/ODjYf7j/YGeX2nx6P3wLaAWf7Kd743v7/kefEqYHO91PiGH8h9hze3d8f+ee/zxkHngQfAYeO9j1P9n7FEx2/+AWzSLQep3Gmu33wd27H+2VSL0XftSl0Kf3MHqS77tWwI8eT6rlzPuVJf5Vft7sqdB/lFb1LK9JVeFFNIk0hGq4bcP92za8f6uGUEa3agiVdauGUGy3agj1d6uGrCRv1VJ0qW26t6kpq9zbQWXNfDuorMBvB5X1/O2g7gRNN0Jly3G7pmxgbteU7dDtmrK5ul3T/ds3ZQN4K2I9gJkMgKKJmOij78pr+peBwT9Uiu8aG0+/9uz/XeccJI/vkttxlPw/viivKZIIAAA=</t>
  </si>
  <si>
    <t>2E855B13E56167F1651DD3EEFA77A3C4</t>
  </si>
  <si>
    <t>JChemExceln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Jzh5maPXN9ernAaRvkhPvP++xH8fyWjKk3lWX1CjnXQ33Qn+26YPPkrf7dF34wefPvSeg3R3fP+e/8nDdGe8t/Ppvb2dgwcHuw92H35672G6Nz54cO/TBw9393YP9g527u3TJ/d2gtc+BST+fHfHf+7z552Puq120/3x/v7OwcO9nYcH93d2Pt379HR791NChfC+Jrz3x9Ro5x4hcX//YH+XQXz66YN79w/29umzT3cecEcHD72PPiWc7o337/mt9qjRvXv+UO4/QC9Eou7n99Ltbh+76XYXkU/7rQgT4H30+K6d8aPHk2o5835lFniVnzd7ygUfpVU9y2viXbyIJpGG4JXbNty/bcP7t2oI7rxVQ/DwrRqC02/VEPJgG+5tbri7cyuQn4pseS3RROT16Lvymv5lYPAPncG7RuDp154yuOs0RfL4Lumgo+T/AReRwEGfBAAA</t>
  </si>
  <si>
    <t>5B0AF7B8EC6A0D217869E0C8C9C5F961</t>
  </si>
  <si>
    <t>JChemExcel5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J+mL1P37pf4rPwf+K+V/H6Xv9j77aGd8f//evfs7D+7fu3fvwb39g3vp9s74wcOde3sH9z492H+48+nB/Qf9zx7sp91X6aPd8cGDBzt7Dw8e3N/99P49Atb/5N54b3fnwc7Bw4efPnx4b5/Gv0+A9u8dHOzuHhzs7e7f36fpOnhwsPPpg739nU/3H+4fHNxPH9Bruw/2P7336d7+gwf3iUQH9Nr9/b37+wf793bu3/80fUhvPdzd2f9059NdQuzh/X6T7b3xLgHdeUCDuLd78IDAxD66N96//+DTg08/3SV8Pn0AAkQ+irwYIVP0sy60h9EO9unN3Xuf3n9w797DB/sPHlIHn1Kf93f29w/u3z/Y2TvYI8pEP4u8+oA6AJYPHzz49N7Owac0Xfvjnfs+xTCpOx+l18QYGN3D+w/37P/uEdq74333Af73Kb2wu7tPNLD/o08ODoJPHvYafUqc3gN27yC9Vaf3vtlmByD9g3uddt1B3Ps03aM3Ox/dow78j6hTIvy9oBUxM02O3yjSpgvoXo9k9+7f7yO//6A/yEizT+9HwfXGuNuHhgneAYsd7AYUuk+K8K7VhEePJ9Vy5v3KqvFVft7sqXb8KK3qWV6TTseLaBJpCB16q4bQtLdqCH18q4bQ2rdquHvbhjACt2oIU3GrhjAot2rIZudWLcU63a4pGzHbdO+mprebSZjDsCWaiMU9+q68pn9thLF7u2kWy3u7QbCBvh1UtuO3g8rm/nZQ2Su4HdT7QdObCL53uxkXd+RWCIjXcjuo7NzcDir7QLeDyq7S7aDuBk03QgUCUR7gH6rw7hq/kX7t+ZR3ncOZPL5LruxR8v8APdEBb+YKAAA=</t>
  </si>
  <si>
    <t>31A754C5B861826AFA6AC633CCB5AA08</t>
  </si>
  <si>
    <t>JChemExcelu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Or+O0u/9P6Sv8/oP/nrS/rvRfoi+0hIVJ7Ms/qCIOykm/7b3u19RCR4t4epuHfwcG//4c7B/b17D+7f27+Xdj+6v5fSHNy/f//Thw8/vbe/83D/If2PYI73Hhzs7jzcvX+wv3tw/96ne/3P7h9E3w0/u7+zc+8g3d4bf7q7++DgYO9gZ2//0/sPdj7tffbpw3vp9r3xw/37+58+2N/Z23mw/+lO5KO9/pv3H/Sxo3nrfXZvt4fd/Qe7fXj37qfb9+ndh7v01969hzt7n9570B8ETffe+MHe3sO9A0Jt59P7hMc+wf/0050H9/YODh7e+3TnPrExABx8un9/58He7qf7u+mn9NK9h2i+d3//4acPHnTb3HvYg0MokbQ83PHf+/Sj9JqmmYa5c//gAVFan10m0f2HBw9oRsyzD0re+5Taxb8UIN5nxAU7Y+rdA0zoEAft3d/d89rdM+28zw72tZ33Loi1s0cfpffG9z8Nvtqj4dLk+FC1kfvkwaf6vvuIeum+B3IfPAghSRvXHWGgpPBA9ajjoXfvhi/3aV6C4d+PkpNYjzTRXauKjh5PquXM+5V106v8vNlT9fRRWtWzvP7soz28iCaRhlBituHuhoZQdbeCCIV4K4hQm7eCuOs33AQRWvhWDanrg1s1hEa/VUPW+7cbDZuHWwEVK3I7qGxsbgeVbdKtoD4MWt4I9HbzzqjebkKZALebUhjZ280pur/dpIqVvlVTMea3a8o2/1b056a3m1VGIJwrtBFP5ujb8p7+ZYDwD1Uhd40rRL/23KS7zodKHt8l7+wo+X8AelhyB7kJAAA=</t>
  </si>
  <si>
    <t>818D5809A67056E404D75C57C431E842</t>
  </si>
  <si>
    <t>JChemExcel7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16/5Wd/32UvtvDcO/du/fpg4e7e7sHewc79+6ne+NPP31w7/7B3v69T+9/uvPpwwfdjx7spr3X0OjhzsOHDw8+vbfz8P7uzsP90+3dT1OiULrda30/8tmDPtD76f54Z2d3594D6nf/YH9359PeJ/v3e+/tf/pRek1j2xvfA0buoZb393e8Zzc9GB8c7D4gQA8f0J979/cY6+2d8YNPg1cfpNugws6n9/Z27+3uPXi4v3fATQnkvaDlPlHi3i6D4Jc6OMSA8xsBXvvpvfHBftCI2OKu5Yujx5NqOfN+ZUZ5lZ83e8orH6VVPctrmmG8iCaRhuCoWzUE392qIbjzVg3Bw7dquHvbhhCJWzWkrg9u1ZAG8/BWDe9BCG/Vcg+iequWKtD9lvxDp/6uUR/0a0+13HV6J3l8lzTaUfL/AM5zvwrtBAAA</t>
  </si>
  <si>
    <t>246AB449AB22C0E5B8A8B18F97D0D35B</t>
  </si>
  <si>
    <t>JChemExcelc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Kn770vv95P0zH76ZfqC/jrDz+wjIU55Ms/qC3p/J735v+1d+ysN/d3eZx/dGx/sPdh58HBv9+Hu/YMHO/cfpJGP9sb7D+/t7+zsPHxw797Opw/S3fHu/YcP9ujv+/d39j69t3/Q++j+p73XiDbdj+713ju4l27vjHcf3Ht4/2B3/9N7e/fvPfx054BwH9/fefDpvQd7nx7s3r+3f2838ln/1f1eD30kHqTbe+OD/d17u9T9w4d4937/IwK+T8D3Hz68f39392Dn4f7DB/2P6MX7hNTBpw/ojXuEGqF1v4foHjrojRLwwg/3d/o0+/RhejDe2fGn6NOP0muaTKC8u4f3d+/t7NOk7DLO9+77nwG/3T3vkwcPe43wUQeWfLSz74Pa2Qe+RFP/s4N0Z7z36YODPZq0Tx/e//T+XqTZg4PdXrM9zNTBTvARBn//gf/Rbq9Rt8nuQf+t/ZTmabf7ycGB/8mn6afj/b3wk+5bB7237vXI8iBCYprYT8effhrMAyk00jZ3rbo5ejypljPvV9Y/r/LzZk9V0EdpVc/y+rOP9vAimkQaQlHZhrsbGkKd3QoilN6tIEI13grirt9wE0Ro2ls1hD6+VUNo7VvhyLr9ViDFBNwKqFiK20Flg3IrqAdBy41A2ULdrilQvd28i727XVM2i7drytbzVgTgpm5ab0JgL5xXtBEf4Oi78p7+tYk39tyEb+puHxb/Vi3hE0QnkX+oWrhrXBj6tefe3HW+T/L4LnlVR8n/A6/phddxCQAA</t>
  </si>
  <si>
    <t>82CA46BD9BB73967614D19F3948AE0BA</t>
  </si>
  <si>
    <t>JChemExcelnB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SjNC9zUODN9Songqbhf1/qvy86n8f/Q6svg7/cp19+lL7b++yj/fH9nYefHtzb2dm59+new/0H6f54b/fg0/s79+5/urt//4DQuj++d7D34GDn4b17O7v7e58+oE92Hu4+2D/YOzh48PDB7qd76b3xp/c+vX9wf+fTBw92dz/dJ0rujfcf7O3f399/uHOwf49Itzd+8Om9/YMHu/eo2c49Iu6n47379w8eHFB/n35Kv+3TJwf3Hjzc39+9v7/z8OGDh+nBeGdnb+fB/oN7wHNv52H6cLx//8Eetbq/t3P/3gOi78MxcHmwc//hp/QvAUiJ4T7d27336cH9vYOHe3u79++lu3vjnQef3r+3++A+DfbBpw8O8NG9Tx/c/3T/3sP9vb39Bwd76e698cHe3oO9B5/SO7s793Y+TXf3iT/vPfh0Z+8+dfmA5m33/vj+pwSXBrPz6e7eQ5re3U/HD4g8hPV9woVGuI+P9vf3dvZ293fv7X26vwcc9scPDwipg92He7sPDh4Q/1CHe/s7n366R20OqJOHB2j16cP7B0Sa/QcPPyXq7qHHg/sPH9KU7O1jsvb5ox4SfUwjw+kOOiXp29u5t3/v3sEuUfNTANod79MkfPrpPr334N4+TTm99nCf6ItJoIl++JAweDC+t3t/d/fhvf37D3fv0xSmuwc06Q/39ulr4ph7Dw/u46PdgwMaLn1ATQ6ov4djeoWosrt/74BGupvu7Yz39ohT7hMr7Bx8+inJHjWiYRH8vd1dYsjdhw/Svd3xpzTWnYc74L49sBgpIepj/94DYhHiiHvp3t74PjHFzqcP93cPiDZE9L174wdE7HsP7hNfP9w9eMAfER8f7BAz7u8TbzFsMPL+LnHIPaLqPnA62KF3dsE1ezs0HcDp3n0CSgOhPu/vPWQWIna/d4/4ECT+dO+j9JrEavvheO/hfTAaJv8hDTTd3mWA4L49mm8aKz7bHR/sEvE+/ZQof3+fCESf3Rvf2zugjz4F8+7sEVfiswMSoX2IxD1irj2026O53Sd2B3ft39/d/5Th3dvdpY8Iyd0dGtED+mx/fO8eUCT2JCm+/+n9SLs9hndv96H3PIjgt8/juEfKgh5ioF36/4M+LvfksxDefX43oMGnaNeFR+0Oxg+IaLufPtjdPyA2AioH4z2aOnoOSJsc0AykPSIPwO+ONULigRF0qY4ZI224TzqNhnPwKSmb+/zRAZGGmh4Qu5CYogeSjU+9udnjjw4+3Sda3ieF+PBTnmpSd4QjQbt3sLNDymu/38E+kNunHmiUn35K6OzdJ/aOjyE2013k7vGr/XHFZ7/PJTGO6KC3G0HlAaMSkg7guhTAMCK0+xSSBx6hMdD/7wHjGPGo2wNYhYODhw/IYO18Sj7BXesUHD2eVMuZ9yt7Ca/y82ZPHYWP0qqe5TW5N3gRTSINYd1tw70NDWHabwURrsmtIMKBuRVEuDm3grjnN7wBx4NbNaRRP7xVQ/bAbtVSHLXbNWV/7lZD56ZuJjdC3e81RRvxPo++K+/pX5uBuHne2B97obdrys7q7QbMPu3toLLrezuo7CHfCqo40reD+mnQ9KbJ2bul6LIHf7um7OjfrikQuN3ESthwu6YcXdyKWBKE3A4qxyq3g8ohza2gSuRzO6ifBk1vouu9cGLRRuXs27eTOgnGbtWfxGy3GgU3vd2USwR4u6YcKN6+6e2mnBEIVfLXICPHrbfqT8Lb2zXlKPh2TTlYvl1Tjqlv1ZSHdbumEqXfijugZvbDKb+R4vxDfZO7JttBv/YyIXddmiR5fJcSMEfJ/wM2O/hSnBEAAA==</t>
  </si>
  <si>
    <t>42E0DD90A1BECA79036BEA49168572B4</t>
  </si>
  <si>
    <t>JChemExcelH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OepF/y//Hv8H/u2y/1X/5ZfpS+2yOS74537+99urO7v3//3r0H+58+SOmjvU/vPdjbv//pwcHO3s6DvfTh+OHBw52De5/u7n16f//Te/spkX93h7789AF9uPtw794B3vt07/6De7vU6N79+7s7e+nB+GDv/v1P7z948PDhAxr5wfjhvU8J6sOde/v3Pt3feUCQ6eeDe/d2Htz/dO/g/r1Pqc3Ow52dh3sEdf9gd+fhw/TT8cGD/b0Hn97f3Xt4j8A8TB+M7z18cH9nj1DYPXjwcI+a7O/sP3hAr+wd7B98erCb7o8P6Nn9dPchoXDwAB/c+/T+/Yc7hO7OzoOHDw6ISe7dP7hHA/z04N7+gz2aHXrp3v2dh/d30fGn+wf30nvje7sPd+89JHTv7xAGu+ne+N4eof5w78HD3U8f7D24l+6MqTmR7/69fRrpvR2arm0iz8Ee4fwp/tmlUd+7n24TgQibe3v3iGr3d4mge/TuPYK1f0C97R/QUD69l+6OD+5/+pCGQ3R4cPDgU8J0b3ywT1/RyD7d3z3Y2fl0D4g92Dv4FP0SRR/ce0ifEJQdfLTzkAhBQyZSfvpw7z4hjz72aDg0bfs03fv7NLgdzDJPN+b+AX1AoO5/SmSgVkTegwc7e/fu7xFVd9PdvfH+QxrR/YcPHh58+gCY794b7x/s0+zuEiI7n4I/r4mhDsa7+zs0pYQ29fLg3gOaG0KJCLG7S8Okad4nwj+g6bp37+Dg/t79ffqICL+3s08UuEezsHP//gHG95Amm/53sEfTeo/a3AOp9vbAG0SABw/2Qamd/T2iOnHO7j1iYqbnHmFK07BLoD99SKxKc3H/3sN7NEUPD6jL3d0Hn1Kz/Z37B/Tng4OHu/v3iLpMduKy/Xs0xp37RDLqkKby/kNi6p37Dwj4PZqHB5/u3Me00hDvPaD/02vUE5FglwhD3+zeBz/s0lSRWBGjQ4Iw5G20u3f/AU07TeA9Gsc9fHb/YB+ADnYfEGvTYIAsiQWRAfL2KQ1gh5mJqHmPWOKAGJfGcXCAAZBI3tvdBzOTCNGo6DNitgMSoz0SZ2KOezsgEXGCB46GQH/4sD6lNjsE5tOD+wcPH0J0wW80VfskLA92aGA0nw8wH4Tn/kMS7Ps7NO8gz97+zg7RDsR9sM9sSmIM/t/Fhw9B5gMwzC7hRUPf+/QhuPQ+8T9NKPVFc0JY0UcPCMlPgeQu6Q/qbG9MbLhPs03iQijRy6SH71pFfPR4Ui1n3q+smV/l582eKueP0qqe5TXpN7yIJpGGUOG3aghFf6uGMAe24d7mhp/eCuKDbkO0EAN19F15S//aBOLgVn3BgN2qIWxc2PL9sRI7eavuHty6pRje2zVl+3y7pmzGb9eUrf3tmu7cvin7D0ME//YtCc4OyO36Yz/ldk3ZnbkVz4vXcyuo4hzdCio3vd2Ui6t1O6jskd0KKqa809SbjttKw8Gt+xNH8UP7w/g+VLFA2vZCjnp/IOzqfiBri698u4k9gEt9K0KL5327puqg95vyD7VUd028Qb/2YpG7LlBJHt+lEOgo+X8A6TXG0h4NAAA=</t>
  </si>
  <si>
    <t>C2A5DE2BE3327EEB27CCC9D09B7D20FF</t>
  </si>
  <si>
    <t>JChemExcel5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fZGepOZf91P++zL466S0H38p/36Uvtv77KPtvfH+w929g3t79+7vHDx4QEhv744P9u7t7uztPfj0YP/TTx/s3E+3d8Z7Bw/2dw729x7uHjz49P7+frozvnew8+DB3v29hzv37907eLCHZvsHn1K7e5/S//bvHzx8mFIPBGr/3v7ezsHOHn3xAB99+nDn0937u59+uvfp/qf7DwjY7sHu/v7O/YcPCPz+/sOH99Pd8YM977P7Kb12sPvp7v7Bw70H9w4I+H66P969f2/34YOdXerv4f3792mO9w72dh5+evCQYD/YPzigNg/vPdzf3f/0/oOHD/YJUnpvvP/pAxrz/XsPdj7d3935FLBpCA/v7WFo+5/uPrh3n3B6eN/H6eBTHiANgT6+f/AptSaC4bMH1ODevU8ffvrw4P5DoE4j3Lu/c2/3/sHuA0Lk0/v06r3xvQcP93bvP9iR9x/ew2dEJyLe/qd7e3u7B9xud3wfQ9m9t797b3d3jyYi3d4fH9zfIewPiCBE8P1P0116lWaJyErI3t+9T9CIt2nU+/fp1YcPaT6pEc3R/fsPHny6s3uwQ9Qh9nqI2QjI02u0l+7u00dEayLJPSLap/d20937mLP9hzSs+/s7D2hIkVYfpdfEU/fHD2m29nepk/uEMcHbHxN8epk4bYd46OED+oSI/PDT+/dpHg4I4H2ak50H+/tE910aNoGl6Sd+2cGkHRyga+Kv3fHD3Qe793eICDRCGuYBvXZvhzhob5fI/ilRcH+P5o0m+/6Dew/296jZPaLrg95nO/d43ohc++BX4p/9/fsP8dk9IsbePeLr3R2aj3sHmJB7B3sPD4j6B3sPMO/MwQcH+/do2h/c27l3/4C+4gkmSuzsPtjf/XTv4FNiB+aDhzsgz959GvD+/XvMGw/vP9wh3j8g9tvbBx90m+0xq3XQu99HbzeCXgS7+33kDgDsIfVKv2Km7u08uPeQZfr+jvfsMZ36H+Izmk/3HETaPcCE7QXN9qVZ8BkxauTV7d67n5Iavmv18NHjSbWceb+yYn6Vnzd7qps/Sqt6ltdkQPAimkQaQoPfqiH0/K0awhrcqiFsxq0awrLcquHebRtS1we3aghzZhvubWjIRu9WIMU23gqomNDbQWVLezuobJBvB5Xt9u2g7gRNN0JlT+B2TdlhuF1T9ituhetB0HIjUHZUbteU/Zlb9S9uz62gind0K6gggNd0I1QgcDu5F5fsdk3Zc7tdU3bwbjUsbnq72WJcbzdb4lXeDoGH4nz2ofIPVcF3jdtMv/Zc6rvO304e3yVP/ij5fwBzEwrx5QsAAA==</t>
  </si>
  <si>
    <t>7BA2F26AD7A271746FA6EFE95DCCA586</t>
  </si>
  <si>
    <t>JChemExcelE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f+fy/S1+mX9N+L9KT8KH23h/Hu7+8f7D7c2T/4dP/Bzr0HB2n3o4N76Q6NZXf33sOHe5/ii529B/fT7d3x3t7e/XsPdx/e39l5uHNv70Hks/679/Z6H+3fv9d/dedBv9udh73Pdvf38O7+3sHBpzs7D+7tHuw8fHiwT6P49H7w7i7NyMG94KOP0msmwb39B/sP7XPwabpNvTzc8z57CAx3xg8/DT58GGlIlGGA99M9wtSH+/Beeo+QCj46SPcJ9Qc0YvPsptt74/s7e0Tg/fHOPn7y3/5bpol7a2efCLNDrHPX8s7R40m1nHm/MjO9ys+bPeWnj9KqnuX1Zx/t4UU0iTQE19mGuxsagjdvBREcfCuI4PNbQdz1G26CCLG5VUMI160a0qgf3qohC+qtRoOWu7du6WbR651/6NTfNSqGfu2pn7tONyWP75LWO0r+H7Y6WfYRBQAA</t>
  </si>
  <si>
    <t>35912A2351088EBC4B4AB54F93521F8E</t>
  </si>
  <si>
    <t>JChemExcelK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k/RL/b/8Lr+9Tl/S//Wbj9J3e599tL0zvnf/wb37B3v79z69/+nOg93799Od8cMHn97b2zl4cLD7YPfhp/c+TffG93Ye+k96b/wpvfLg4e7e7sHewc69/f3+R+k+QfKhp5+O7+3u7tx7QH/uH+zv7nyaPqCX9h/sfrp/8OAevbi/G/nkgMAc3HtIEB7u7u/sPvg0pemh73Ye7D8gvD492CMa0Yx8un//wf17B/f3Hjz8dG+/39v9HuwI6IPx/m7Y/cPxw/vBS5+ODx54H9x72IP7UXq9B4a7d88nyP17REhCyP/oQdpr9aDX6tMebT/tvfbpfv+1fqsHKU353k4wvTv9Nx/c7795v9fqoIfWA5ry/d2wDQnLQfetnYMd79l70PuIBnh/jOl1zHOPqLxz4M/nQ5Knu1agjh5PquXM+5Ul7FV+3uypkH2UVvUsr2li8CKaRBpCFG/VEAJ7q4YQa9twb3PDT28FESriVg2hSG7VEOrmVjhC4ezcCqTorts1ZRV3q6ZQerebH9GXt2vKavVW4+emt5slUdK3awqot5spo/L7TfmH8v9dY3zo155huuusVvL4LtnDo+T/ARMaWtsrBwAA</t>
  </si>
  <si>
    <t>6B76A8631FFAD671147493CFE551BB93</t>
  </si>
  <si>
    <t>JChemExcelz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26/750/32Uvtv77KN7472DT+/t7Rw8ONh9sPvw03vp/vjT3Yfec0BDeHj/3qcPHu7u7R7sHezc208f0FsP7t0/2Nu/9+n9T3cepAfjT/d2d+49oD/3D/Z3d+6nD+ml/Qe7n+5TQ3pxPyUy7B0c3HtI7R/u7u/sPvg08lYX8G6k8y6CD9NdarP36f7ug/uf3tu/93DvwcFH6TUPbv9eAO1+ujf+9NPgo/2022qv12jvXq/RvX6jg36jPUL24YPwvd3x7l7w3v1eo71eo92DPubEIXctixw9nlTLmfcr88yr/LzZU7b5KK3qWV4Tb+NFNIk0BHPdqiFY8FYNwai3agh2vlVDMP2tGhLEg1s1JBwf3qrhPYjZrVruQRhv1VJFtt+Sf+iM3jUKgn7tKY+7TrMkj++SzjpK/h9mUV5WzwQAAA==</t>
  </si>
  <si>
    <t>82B9D9B4E08220E56118DD9E4C608BFD</t>
  </si>
  <si>
    <t>JChemExcelcg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J+kL+u+E/+//1/3bfPZl8Mkz+o9/+yh9t/fZRw/G93bu7ezu3tt7eHBvZ+/gfvrpeO/B7v7e3v2d/d2HBw/2HuCj+w93dvd27z3cv797/96De0T8vfv3Pz24d3B//97uw/0darRP80FvPdjbOdh7+OCAGtJHD/Z3dnYP9nYffLq7s5feGz98sHvPPfv0yc7Ogwefprvj3Yf3Hu6lO+O9vXv79JJ97tF39w78t4g0uwTo4adeK8AGaO+zBwTs4b17u/uf2ueAPtrd3997QG8/3Nu/D2zpo4OH+O3+/QefHjy8R8ij1c6n9x7ufPpwZ+9TanyPZmZ7d7xPGN+/9/De/fsPH9z/lGZ6e2+8e7BPFPiUSLC/++nBp+k24bFHPXxKZHm482CP5n97f3x/l/C4t3vw4N7ewaf3uNGne7uf3t/fOzg42CdK3wOsPRo7UQ/zcfDwAY2cULv/4N6n1MXBg929nYfAbOfTg/s7u/cPdvcIP8KcEaOh79/b2d+//2CfwO3jRZqVBzR8Qn7/YPc+hklwP93d23+wd49a73z6KaA9oO9okPdoAh/cv0eMuje+t0eo7h/c//RT+vjTB0TY3V2gRMOiHvapIRrdf3hv797DT+8Twe/tP5SPiNh7nz6koe/dOzig9z7dvf9g5z5BP6DRk6DsjT/dIdrtPyTy7e8/JBrTR7t7B3uf3t/bIzx30CfNLU3E3qfgr4cPiYz3P0qviVGJPgcPd2gsxKr3Huzfp3GCsjs0ROKgBweEDHWSbt8f3weghw8PHu7uPyRqUrNPickf7t0nKt7b3wMCaLZHfPfppzv7Dx483L/3kLiVZuUAnL+/R4QlDO7xpNy/9+nDA8tBD0BumpIHHlc9jH9GrP3ppyQrjtkJ2r1PMdwA2s7+DlEi/Gh3d9e9SPy+TXJBPOFz/D5kZufep/ufPtzb2dv/9GBnD7NArEKcsYvBEb/cvwe5eLBD2BHpIGoPMTHEJQef7lALEs/9HZJ5eo94kIQWPECcyfN5QCrgHs3Nw/sHhDO/t3OfeGGXiEMU3iPeu0/YP7z/kDjh3gNSFsQ/9AnR8FMSpR0oD1KT0NP3CXuaUPrx8OEuqRP0tXd/9wFEjrgUn+xiXkgaiLkJl/QBsSbYkniHKEYzkD6k4RLTEJ/fuw8F8yAl+0BsBC4krGgOD/gTkpQHuzTOe8QpNA/02j7NH839wc6n+/eJwA/GBySsNCQaDo3wAVFyj0i+8xAfkkQRoXdT2JYdkrJPiWH2iMVJ54G1iCE/pS6JC4n2NFcPaJJ3iHuJKUlgScTBkyTQDzH3hDthSublrrUvR48n1XLm/coG51V+3uypzfkorepZXpOlxItoEmkIQ2Eb7m1oCPt1K4iwcreCCFt4K4h7t20I03qrhjDAt2oIM32rhmzMb9VSbP7tmrJrcLum7EHcqumDW7dkoOGso424PEfflvf0r42UGYTx3dvBEL/odjiz+3S7puxl3a4pO2O3a8o+260kQFy7W0EVD/BWUMVRvB1U9idvBRXD8preRKy9D51ycXFv1Z94wrcaBTe93ZSLX327pux+364pe+m3airO/O2ass9/q6YY1i2bMgK3m3Juejv7gHDkdvMqkcvtm0bnlX+ombxrYjj6tRff3XXBX/L4LoWVR8n/AwVJAsZyDgAA</t>
  </si>
  <si>
    <t>48CF3E37D7915D2BBD16257DA8ACEA7B</t>
  </si>
  <si>
    <t>JChemExcelog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Yv0hP8V9of5Ufpu73PPiJk04PxwcHug4P93YcPdnZ29+7vnW7vfppuE5737n364OHu3u7B3sHOvf2DdHtv/OmnD+7dP9jbv/fp/U93HuzcT7f3x/TWzr0H9Mk+AaGPum/ef5B2X9zdT7vvPSBEdg+CTz5KrwlHwuTBvb37O+7ZS7d3xrsP9/Yfek+6M77/4IH/0QNt5r/64KDfbk8+8pt9Gulh/36v3S59skNzc9dOztHjSbWceb/ybL3Kz5s9nbCP0qqe5TVxFV5Ek0hDTOutGmLyb9UQLHKrhtT1p7dqCHa7VUMwZawh/1BS3TU8T7/25OGuE5bk8V0Sw6Pk/wF5dJO9ogMAAA==</t>
  </si>
  <si>
    <t>419541913EF18D8744A18A2C30810328</t>
  </si>
  <si>
    <t>JChemExcelH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NPzvhffvhv9K+d9H6bu9zz7a3h0f7Dx8+PDezsN7D3ce7j+gXqOf7Yz3H3x6b/fewwd7Owe7+/c+fdj/7P5u/92dg3T73hgvPNjb273/4N6D+zuf3o9+tjM+oN8/vb+7//DB/qf3Hx4cxD7aG+8+3N3Z3997QG/uf3pvr//Rbu+9+/f62B58Gh9W991797sd7D3YT++N7+8RZe7de3hvf2fv00/vpfv03gH9fn/3/t69nU8fPux9cr/71v2Hn/Zg33/Qw2p/v//R/QcPesQ+uHevR1jitN5H9/qvPvh0L93epz4e0Czeo0af3r9/fz99ON65F46JZOuj9Jo452D86b39h+45SB+MCVDwyafje3v+JyDJg4P79O/Obv/zm9/d2b2/455dot3+A/+Tnfvp7vjBDlhp99Pgi4d7IOGnO0Efn/bakbwxAO8jEtNtmqP9AJdP8dnDDjbczP/oXr/V/n0m833/M/ro/nhvr/MmtxIAftfEevyV/5kC8D/a0378z3b70ATFcHD7ez1wBw8w7+n2wfheQBtSo4/vWq149HhSLWfer6wmX+XnzZ5qyo/Sqp7lNalzvIgmkYbQp7bh3oaG0Lq3ggjdfCuI0OC3ggg9fyuIe37DG3A8uFVDGJdbNWQTdKuWYqlu15QN2u2ast27XVM2j7dq+vDWLbl/N+8bm7JZvl1Ttt63mnsx8reDyr7A7aCyy3ArqOJZ3A7qp0HTm4i1dzsWEJfmVgiI53M7qOwg3Q4q+1G3g8ru1u2g7gVNN0IFAlEe4B+qLO8ad5N+7bmid52fmjy+Sx7wUfL/AN08mk8dCwAA</t>
  </si>
  <si>
    <t>7FA44D4734303A1E8DA9AAE0733B2C76</t>
  </si>
  <si>
    <t>JChemExcel8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sN/ivTF+EH6Zf0Hz7OPpJRlyfzrL6gN3fSm/7b3qV/dj9K3+199tHeeOfe/U9379/f2X1w78H9vYdp95ODdGf8YGf34b1P7z14+HDn4f7De7u9j/Y+7b33IL03vvfpw72H+5/u0Rf3739KoLof3eu/dj/d3hl/em/3wf7eg/3dh7sH9/cJeuyzLhJE4N5HB/0371EPu+OHnxKM3QNquf/p/QcH9+Kf3RvvPXy4u7Pz8OD+ffpwN/LRHn22T13sPTjY2d15sL+z9+n+wyi+D8b394PBf5Re0xTsjx8e7D+49+kB9b1zf+/TPaLS/r7/yS7I9OmDsNHuePde8Mkejf7ep8F7D3qtIqB2eey7RHvCmIb9kL48AClDYJiEbrMHQsp9/7NPd0Gj/YPgM5Bo737no0irLrAH/T7vP+ihdn8vggdNc5eOoNAOyfBdK8RHjyfVcub9ylL9Kj9v9lSwP0qrepbXpH3wIppEGkL8bcO9DQ2hJG4FEarkVhChcG4FEWrpVhD3/IabIFLXB7dqSIN5eKuGrDFv1VIU663GI/r3dlBZTd8OKmvz20FlpX87qDtB041Q2Yzcrilbm9shgKa3m1UQIDqt/ENl6q4xovRrz8DeddY3eXyX7PpR8v8A5vHl4PMHAAA=</t>
  </si>
  <si>
    <t>BF5B9ED770A126E5330758EE15D896B9</t>
  </si>
  <si>
    <t>JChemExcelQ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Cn+e5HKz9hfJ+kz/s/8/DI9KT9K3+199tH2vfHBw4P9/U8//fTewc79nb1P99PeZwfp9t74/qf7Dz59cH9/9+GDTx8+vHcv3d4d793b3Tk42N/b2d0/eHj/wX7/s0/7r+6mOzQde/cf7jzY2f30Af14+OmDyGef9qHtP4h8dr/77sHOwYN0d7x/79O9Tx8e7N27v/Ngd5cw6X20l+6NgRGB2b9/7959mol9AkWNDnY+fbD76b3dg08jn3Rf2rnf/Wj/Ya/VPuO0txe0OiDo93YCBLrkopnoT8g+0+bBQ78dIUbt7t3zSd0bMhHwYEy9eT1+lF4TH9Cbu58+3Lu380D+BSUO7vuf7JOUANSmNp+mXTjETjSg/Rs+enCPMN3ZCT6iWd27F3zyEIO+t+MAPSTxIHrtPOh81G8VgdXr8F6/ldC5A2w/2ue98ae7nY9Iq9y/odVu/6N7EfDc5cF+p9m98T4x5f1Pd/b3H+7sk/wRtjvjB/ce3nv44GBnd2//4ODgwW5vSh4c0EB3SHXdtbrr6PGkWs68X1mZvcrPmz3VZx+lVT3La1K6eBFNIg2h9W7VELrxVg2hQW/VEHr2Vg13b9uQID64VUMo91s1hAmwDfc2NGRDcSuQYk9uBVTMzu2gsnW6FdSDoOVGoGzubteUreKt+hfjeTuobGNvB3UvaLoRKlvt2zVl437rpnu3ZAE0dSxwE7fs3Y4F9tjxuH3T200sN72dQD+AsxNryT9UVd01Lhn92nPX7jpfLnl8l7zEo+T/ASWrAOlBCgAA</t>
  </si>
  <si>
    <t>6D176148DDD572FECC11632B169D78CF</t>
  </si>
  <si>
    <t>JChemExcelM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SE/sf1/q/4f+w3dP6o+ELuXJPKsvCMZOupvuvNd/27sfpe/2Pvtob7z/8NN7Bw8Pdg7uP/z04OH9/fTeeP/g072DvQd7D+7v7u9+up/ujw92Hz78dPdg/+G9/b3dhwe9Tx723rq3l+6Nd+/vfbpz79Od+58efLq7d7Df++jhvXSHQB083NvfP7h3cP9g5yERMPJR98UH99PtnTH19OD+/qf3Hjz89OHD/Xv02e74YP9g/969B/cfPuD/Po18tp9u3xvvHuztEk4Hu58S3N19enef4N1/8HBvZ+fe/v39nfu7/Y/iL+6OaWw+Iun23vhgz/+IWIVevf+w+1mvXR8amnWHSpy1M967f39v//69T/d27u0QWXZpVvYffLr74P6n+5/u39vdv/dpejB++NDN095H6TXN+f74AVGBiH//3v7Op5ipe+NPd+jZv7+7i5HSOAmve/4nn6aE1sPgkz1C4f5e8NF+rFUfVO89DHqHuIjY7+CA8L2PKdodPzjwP7r3IP7Z3vj+/eCzPczbzkP/M57Kg097H3Va3e9D2+X5DXvdO8CM7N//9B7x+acPdj89uE9Mcj/+ITHzgwc0SZg9zP+De0QR4qCd/d2DB5/uH5C47H3a/6j33qfCtXsEe//T3R1im0/3HkI2w8kEY+yQVrtr1drR40m1nHm/sp57lZ83e6rqPkqrepbXpI/xIppEGkIh3qoh1OatGkK53qohVPCtGkJR36rh3m0bEsSDWzWEdbhVQ7YhtuXeDS13bwVzlw3S7Zqy3bpV/2LebgeVreDtoLKxvB1Utqm3g7oXNL2RWLebVDHmt0OAbf6toIprcCuo4kHcDio7GreCimF5TW8i1t7teAD9R+WZf6j+uWtcMPq1557ddb5b8vgueYVHyf8DA0av+jEKAAA=</t>
  </si>
  <si>
    <t>AB1D723E0CCB1125569533F7DFE23411</t>
  </si>
  <si>
    <t>JChemExcelY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8L8X9P8vO3+flB+l7/Y++2h7b3z/4b29T/cf3n+4u7uz8+lB2vvowX66vTveu//w/sH9g3sP9g72du7di3xGCPXe/fR+un1v/HDv04f7+zsHOw/vHezu7MU+Ino/2Kc/9g727+9/urOzv/Np77O9vYPeZ7v3HvYx2b+X7o73dx48eLBHcO7RC/ce9D75dC/dGz/Y392/v3sfb+3tPNhL9wn8/d17O5/e39m5t7O7cxD5pP9W95P0gBDyX3rwUXpN1N4ZHzw8uOcemtbtnfGn+7ufuufhPYxnf9f/jAn78H7no3vjB3v+Rwf3+80e9oEdHPRfBbguIp9iAkJ8adZ3xwTB+2Tv095H1OreeG8nGOgD+ujhg+DFXqMYqBgKcUx3SLjuWuk6ejypljPvVxa3V/l5s6cS91Fa1bO8JrWAF9Ek0hByaRvubWgI6b0VRMj4rSBCE9wKIvTFrSDu+Q1vwPHgVg1p1A9v1ZBV2a1aisa71Xi46e3mUfTn7Zqymr1dU9bGt2vKSvt2TVm3367p3u2bsrWINeUfKil3jc2iX3v27K4zdsnju2RGj5L/B6ofXxRiBwAA</t>
  </si>
  <si>
    <t>37B58FB0512A63DA5F02FF00F9B05DBA</t>
  </si>
  <si>
    <t>JChemExcelA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Zfpifef19+lL7b++yj7d3x/oOd3QcHu/v3Dx7u3NvfP93evZ8Sgvfuffrg4e7e7sHeAX38ae+j++ne+NNPH9y7f7C3f+/T+5/ufPrwQfejB7v919Do4c7Dhw8PPr238/D+7s5DdPlpSjTrN77/UXpNWO6PP9196D0H6b3xwb7/yUOCeg9QvU92x/f3d7xnNz0YHxzQWPd3Hz6gP/fu73HP2zvjB58Grz5ItzGSnU/v7e3e29178HB/74CbEsh7Qct9tOx0/CnN1F07VUePJ9Vy5v3Kc/cqP2/2dPo+Sqt6ltfEY3gRTSINMcm3aghWsA33NjQEw9wKItjqVhDBfLeCCBa9FcR7fsNNED9lju835B9K/LtGpujXnrzddcKYPL5LYn6U/D96bhyqAgQAAA==</t>
  </si>
  <si>
    <t>F61A4C200537802192A4390A251309F3</t>
  </si>
  <si>
    <t>JChemExcelq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6Ij1J5d/X/O+L9MuP0nd7n320vTd+8ODe/sH+p58+vL93b/fTg3R7d3zw6cHew/v3DnYePtx7cP9hur0z3t+59+mnB/f27x88PNjb29vvf3ZvN/LqQbozfnhvZ2d35wH9tffwYHcv8sneeO/Te58SlIf02YOD/Qe9TyJw9tNPx/v7QaOP0muMaWd8b+dgx3seALP7hNXBp7sPdu/de7C/e8ADJWgPvWefetn/dM9/9eED7vmB/+rDdHdMw/XfvJ+CkMFHAiz46MF+pFOh+H4PkR2a/Lt29o8eT6rlzPuV2eFVft7sKUd8lFb1LK8/+2gPL6JJpCH4xjbc3dAQ3HUriODBW0HcvW1DgvjprRqC8W+FIzU8uBVECNGtILKo3QrkvaGW/EMn9K4Rffq1pxbuOp2RPL5L2ugo+X8AjzzepKkEAAA=</t>
  </si>
  <si>
    <t>494DE72D649C821755A4DB197F984C02</t>
  </si>
  <si>
    <t>JChemExcelXQ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v4KM3LHJDfXK9yQjQ9SV+nX/J/r9MX2UeCbHkyz+oL+n4nNf9t79I/ux+l7/Y++2h7d7y/99B/HqTbO+NPP93xH3phfPAgaPYw3aM3Y59HPtreGz/8NPjoIP10/OlH6TWhsDN+eH/v070HD/f3dz/dOzjYYwzuHezu3N/dffDg00/v796/t/Np5MN70c92x7v3Dx7uE6C9e/f2D/Y/PaARjx/uBc3SSK80o0T/u3YCjh5PquXM+5Vn5FV+3uzppHyUVvUsr4lz8CKaRBpi6m7VEBNsG+5tbnj/tg0/vVXXNJgHsYb8Qylw17Ar/dpj5buOz5PHd0mCjpL/B2uc5B9dAwAA</t>
  </si>
  <si>
    <t>BBEBB8BDE709BA592B29F1C99510824B</t>
  </si>
  <si>
    <t>JChemExcel8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3G//sy9slH6bu9zz46GO98+nDv/sP9e/s7D/f3Du6lD8b3Hj64v7O3u7Oze/Dg4V766Xh/Z//Bg118vX/wKTXZHx/Qs/vp7sODvfsHDwjv/fG9T+/ff7jz6S699uDhgwMi5b37B/f2dh7QC/sP9mgMn44PHuzvPfj0/u7ew3sPdg8OUur84c7Ow71dgn2wu/PwQfqQ4Ow/uHdv58H9T/cO7t/7lNo8vPfppwcHD3fu7dN3Ow9SmsJ79x/s7Nx7sE8471IHKc3agwcP7u0e3D/Yf7D/gAj4cLz7KYH59OD+/i4NgshHSN+7v/Pw/i56+nSf/kjvje/tPty9R4P/9P4O4UVI7o3v7VEvD/cePNz99MHeg3t79NHB/sNP79HQP93fPdjZ+ZRQGB/c//QhUYXwf3Dw4FMaLyEFCh4Q6P0Dott9Gs32znj3YI+G/Cn+2aWBHNynhoTA/v179+/t3yecd/bS7d3xp0TJe3v3Pn1w7/7uw52Dh+n2Hn1GeO7d39v/9OHuLvX+UXpNE0aNaew79w727z28t0uDPdhFP/d2ibT796jXnfv79+49BND9h7v3AWGHqLW7R+Olz/b2du4DoZ1P9+/RVHxK6BBuB0TsvZ1dmieask9pePs7RCci5O4OzQ0hRR/t3tvfpSknvqCx7+7fJ7rQTN+jsTw8uEfcsAuy7O3e36ERf0ozfZ+ovw/UiJ57NFaazt17n2K4RAFiuAc7+zRQIhexGmN7nz4iPOibh3s79/ARkZYGf29/nwAc3KfPaCqIcA+IRjQRRDrq8954lyhEgznYfUB8RbwwJgj3aMaJjp/uf3pA87BDpDggVPfBnMREu/fuAQuatns0iQc0DBrFAWNGDObefbizS+B26DWaOMJ171PiaQycWvhvgmL3iDLE1Q8eHhB9d8EPRLCDXRr2wcODg529g50DUgp3rVY4ejypljPvV1YTr/LzhiYZaoKUSlXP8pr020fSQhTM0bcf3/X+kj/iIO4FIIYaQh/dqiG01q0aQrfdqiE04K0a7t22IRTqBxIOCvlWfbHavlXLvVu3FDswNILv3m4EYkgskHs39RfyyftTDDYqZKGvgTMbvNvRiO3i7Zqy+bRN9zYzrdfy6xFCLPXtMGODfivMxO7fCqq4B7eD+mnQ9Eaojp82NlW/pN+Uf6i+u2tcKPq1517ddb5X8vgueXVHyf8DYEe/K/EJAAA=</t>
  </si>
  <si>
    <t>F8624F1A054C847006C07ADB11D5740D</t>
  </si>
  <si>
    <t>JChemExcelZ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79z9K8zLHIN5cr3KiSYr/XqTy0/33Jf+3+dsv09fy86P03d5nH23fHz948HDvwae7D/fvHxzs3r+Xbu+P9/fv33/4YOcBfb6zS8OIfXSPSLz7cPfBw/s7D+/t7RzQi7sE62Dv3sHB3sPdnf2d/Qefpts79Gbw6sN0Z3xw8JB+2d+lL/Z29mjce+O9vb0HDw/u3/v03sHOzv0H6b3x/fuf7j948On9AwK+85AIFfmo/14PeK/N/XR/fPBwZ/f+pw/oz3uf7hLte2jSZw/HOw/8Vg9T4rn9nXsH9+7T2wef7u9+ej/6EZHh3oP7u/d39u59+nBv9yG9eI9geUjRrO4SSXf2Dx7c2/v0wb39A+KBXZqKewf0/T0awINP7+18mu4+oPf29u7t3t/d3dnZx2sH9Np9Iu+n9/YO7u3dexD/qP9eF3i/0T3q7yG1enj/4OGD+/uffrqzv9tD89MDovAO/x903dnfp2YP9+7v3Nu9d7pNXL87vr8PTri//1F6vccyTQzmnoP79PK9neCjh/zGHnGRe6jrzpvUKvbm12x2ezy298Y7O/5HOw/6zXb2IBH39/diHe2NP93toPj10fma471ls9vj8bNClm1iwJ1dv1m6fTDe/dT/6GG6/en4U8iV/1GkVe8j0u53rXo/ejypljPvV9b3r/LzZk9V/kdpVc/ymngYL6JJpCH09G0b7t+qIYzMrRrCFN2qIQzWrRrCrNmGexsawvjdCiKbyFuBFEt6K6BicG8F9UHQ8kagt5tKDOp2cwkv4HaTKQ7D7ZqyX3H7prebKfFSbtVUnJnbNWWf53ZN2TW61ayKB3U7qOxo3Q4q+2O3g8pu2+2g7gVNb4R6u4nlYd1uYjEF9243seJ53q4pO6i3ogA3dbN1Y9OowPAP1dZ3jeNOv/ac+rvO408e36VY4ij5fwCmyZk+ZwwAAA==</t>
  </si>
  <si>
    <t>14E89074E8532A7A0B4083AD5620C98F</t>
  </si>
  <si>
    <t>JChemExcelx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Da/e9L+u+F9/uX5udH6bu9zz7a3h3v7e3dv/dw9+H9nZ2HO/f276W9z+59mu4QTXZ37z18uPfpwe7DnR36uv/Zw4N0d7y/v4+/9g8+3X+wc+/Bp72PHvZevPfpfr9TGmfvs710b/zgwcH+w4PdBzv7D+7vPNiP9bi9N75//9O93YN7u58e3Huw8+nDlGb8PkG5d5/+9/D+w90HD9OH492D+wf3P93f3d+9t7u7fz99MD64v7f74MHew717hMDOw/RTesvv7l6vzUEEDrHPwf17e7v7n94nbB/s0fTt3qNWnx48vPfgwcNPd+/vxRv1kPwovaZJujd+SLA/tc990OHeg+AjosOnO/4nmLOdT4NPdojMO+MHO/cP7tlnbw/k2tvvfnZvvLMbfPag3474ogfv3kHk3Xs9fB/08N0HQ907oIl2D724HfsQn+0/9J6DSDt08XAvaMZs9nAvaKZdBO3uf9rH5YG8G7T7lLsIwZHQ37VSf/R4Ui1n3q+sBl7l582eaoKP0qqe5TXpL7yIJpGG0Be3agitcquG0D224d6GhtBQt4IIPXYriNB2t4IInXgriPt+wxtw3N25VUso392gJZqIcj/6trymf22atd1wfr23vns7GGIFboWyGIvbNWWbcivaclM3sTciEE7t1xzw7WZTLOHtRoGm4XxuQmDvPaeNf6iU3zWOAf3acxruOo8ieXyXfJWj5P8BvZPqascIAAA=</t>
  </si>
  <si>
    <t>E047942969436E4FF1B89C678AA39068</t>
  </si>
  <si>
    <t>JChemExcele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P3/vtSfL/h3+uuj9N3eZx99Ot7/9OHe7u6D3Z17Dx7ce3iQPhgf7OwdPNw5uLe3t3N//95++nC8e+/T+58+fHh/f+fevf1PH6REiv0HO3v7D3ce3D/4dPf+zr3+R/e77z3ogb5Vk+4nn9JLO/sHDx482Nm5d39/7+D+fnowvv8gbPNgvHMv/OTT8e4evbOLPx7c39l7SJ/cv09A9j/9dOfg04OdXRrXLnV27+Hewe7DB58ePLx/7+Cj9JqoRJ8TFOqPXt17eG9Px3vP/2g/7bW632/1gHAlwJ1Pdvc2t7kPXA/8Tz4lhjvYDdrcT/fHew86H90b3/v04cHu/s6Dgwef7j2g+d0dP9y5v3vwYIfo8OnB3qcYS/jR/YfpzvjT+w/v7ewcPNi7d2/nYL8H59P+aB8QK9+1vHz0eFItZ96vzNyv8vNmT/n7o7SqZ3lN1MWLaBJpCCmwDfc2NISs3AoiJOpWECF3t4II6bwVxD2/4Q0QD27VECrhVg1ZcdyqpeiX2zVlNXS7pqytbteUldqtCMpN3WzeOKzbNd0XZdpvyT+Upe8aVU6/9tT8XWcDksd3ybocJf8Pwd9wM3kGAAA=</t>
  </si>
  <si>
    <t>3F3D37691108F163A69CC6C56443E676</t>
  </si>
  <si>
    <t>JChemExcel1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3ivxep/PxS/39SfiRjKE/mWX1B7XZS/Lebyk/z3/buR+m7vc8+2t4d7+8ED7Uc7957GDz00cOd4JMH/VZ7++n2zvjTewGwT6mn8e7De58+eLi7t3uwd7Bz79OU+nzgf7IP+LsBFp8CfoDZbq/R7n0A76J6f/zp/QD4R+k1Broz3tvf2z94sLt7b+f+w0/39z79FPj2PyQmebi7+3BvZ+fgwacH9x7eS/fGYaOD9N74wf2D+/d39u7j/f1P9x7Qa5/e9xs92KdWuw/9jx7uAeH7Dz7d/fTTvXv7BwT/wQMaxB6oe7B//979Tx/s3n+wey/d3ifE7hHw/QcH9/fvPdg/iDYjFiWGums56ujxpFrOvF+ZxV7l582ectlHaVXP8ppEAS+iSaQhePFWDcGxt2oIvr5tw09v2/DBrRrSYA5u1RDydquGLJW25d4NLXdjMPmHztNdoyXo154GuevUS/L4Limuo+T/AWChDwHUBAAA</t>
  </si>
  <si>
    <t>606AAC724E70874C192205A38AD52726</t>
  </si>
  <si>
    <t>JChemExcel+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3qSfpm+oH9f8L+v6b8v5ZOP0nd7n320vTPee3Dv4NP7O/v3dj69v3fv3n7a/2w33d4df7rz4P7+/u6n+wcP7+19erCXEsHuPzzY3d95cPDg072Dnb37vY/upXvjezv3H+zQlzu79O8eXjvY89vs30upw4PgI+Cwe0A97u083Lv/YP/T3fsPP8WH9Mu9B/fp0wefPvh0594BEKM/73+6v/8QYHd2d/mzg0939z7dvXewu7tzf2fv3qfUxaeEyO7OQ4LwKfX1aXpv/ODBzr29B3sH93cf7j+4f3D/o/SaSHJ//PDeDlDd3z/4dG93fzfdH997GH5yb/zpnv/JzoPeR9TD3njnIHxvd7z7YP9gd+/h/U+Jqg/u3bvP1A4Gf2//0/6H+/d77+7x2O/5xMWbe+MHB7v3Dz7dpw7vPSC6PGC6hYPndvv7OwcHD+/TTNM038PE0JR/+vDh7t6DTz99uHt/n/jxrmXIo8eTajnzfmUOfZWfN3vKpB+lVT3La5IkvIgmkYZgZdtwb0PD/S5EtHjd5nVepdNqeUk8ziL6xdPnH3kf/GRWronx9w1keWNjN/dvhQ9E71YjhIDeqiHE+FZdQ9hvBfH+bRseQHfcqqWomFuhyU3dnN3Y1PHBDeSEWuu35B/Kj3eNMqVfe4r2rtPCyeO7pN+Pkv8HCwK7C/sFAAA=</t>
  </si>
  <si>
    <t>66306BC78B8F47E9DC95C866AB36866F</t>
  </si>
  <si>
    <t>JChemExcelE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jD/3f/+1I//TL98qP03d5nH23vjg8efLr36e498+ym2zvj+zv37u/uf2qee9HPdsb37t2/f39vxzzUjEh/78G9Awcu9lHkxd3xg52DTx+4j/ap1cGnDz/duW/fO4i1uj/+9FP/o73eJ7vpgzF9Tsjv7u0e7B3s3Ps0PSAMPt25t7O3f+/T+5/uPNiLfNJ76376kEA/fLDzkH7fP9jf3fk08gkxDA3o3sHB/sGDe/Tu/l66u0fAH+x8+uDTnYe7+zu7D2gk98afPth5sP/pg3s7Dz892KM5371PL+7v790/uL/34OGne/sP+632PkqvZdbuH+yhW4/ORK+D+7s0CDdwmrRd+rljJw0kfEjwaULM84A+2iMe+HTfoyoB26V+D/bsm/zZwc79nfufxr+NoBQDvDve39u9f+9g/1P991PCcnfX/X3/3qef7mHyD/zPDnqtDmLA9tLtvfHuw+CzCKw9eu9G6Dej8OB+DHgPq737pA7uWn1w9HhSLWfer6wgXuXnzZ7qiI/Sqp7lNSkyvIgmkYZQEDu3agmFc6uGUEu3akjK5+GtGtJoPr1VQ+jCWzWExrxVw4Pb4nj/tjge3Jri0PK3aigq3zbd29SULcPtoLIBuR1UtjO3g8rm6HZQd4OmG6ECgdtNvdjB2yGAprebfrGqt2oqxvd2TdlG3wpXbhqdWP6hiuKucTLo154Dctd5J8nju+T3HCX/D5XunLsTCQAA</t>
  </si>
  <si>
    <t>2049ACFBC040DFAFF62F004EFE900E94</t>
  </si>
  <si>
    <t>JChemExcelz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Mv0xPvP/PUl//9F+uVH6bu9zz7aG3/66YN79w/29u99ev/TnU8P7qW9j1Ia3r17nz54uLu3e7B3sHNv90G6vTvef3hw/2B/b58+ebj/6f7e6TYhs91t++BB/7ODg3R7f7y7f7B/sPfgwd79g929g0/59V5PfXQepPvjnZ1dgkx/Ewj6jabg3r39B7uf7h88uEev3jtIP6W3Du49pBce7u7v7D64lx7QW3s7D/Yf3Nt5+OnB3s7D9CG9df/B/XsH9/cePPx0b5+636HXHu7f23v4YP9TjKzXpt/Xg/sfpddEye1Px7uf7njPLgb56V7no3vjg/vBR/v9Znv9ZvfS7b3xvd3OR7vj+/vBiw/6zfYizSKtYtAinX5Qu/v9ccm7+/sP9/ce0mzuPHi4d3+XeYHE466Vj6PHk2o5835lgXmVnzd7KjMfpVU9y2sSbLyIJpGGkKxbNYT82YZ7GxpCSm8FEbJ8K4iQ+FtBhF64FcR7fsNNEKFmbtWQldGtWorOul1TVm23a8oa8HZNWVHerinr01uRlJu6+bxxWNEZ5R/K03eNfaBfe7bjrjMsyeO7ZLKOkv8H6j8yLs4GAAA=</t>
  </si>
  <si>
    <t>09F4674BC80CA41387938C647B075FF4</t>
  </si>
  <si>
    <t>JChemExcelk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IX6Qn/98L+K/9/Yb8x/33pffIl/cf/fpS+2/vso+3dB+N79x4c7B3cP7j34NP9/ft76fbup+Odnf3d/Yf7n+4+vPcp/Rb5LO29un+fPjsYf/pg9/7Ogwc79+8/3Ns/SLf3aHZ27u8efHqw92B/j367F/ms/+aD+5EeIs36wHY+pc9oyu8dHHx6/+E+sLi/f2/gsz0Ct3d/nwDu7jz49P6DB/1e76HbfWq3s/9g597+zu7Owb2DvchnNNjde/Tupw8e7u7tEoCde/fx7h7hd293d2/n4adE33vED/3P7vXfxdiItT/99OH+vb2HD/Y/3dvfQxfdjwiVh/Tm/Qf37x3c33vwkD4k2h1QB3s7D/Yf3KMuDqifdPtTevHg3sP7n+483CWUH1Cf9+nF/Qe7n+4fPLhH/d4D1ffpzd2dew/ufXp//2B/d4fgE5U+fXDv/sHePn346Q5BiTa7XZ89ZD9Kr8GKB2Oipfd8iqZ7+/5Hezz8Bwf+Z6Dc7vj+/c6r3Xa7/WZK9J2H/md7/NnBp95nOwf9djtgz/vjADt08el41x8Eg+s2u9/vQkUsfPfT/mc7PLPgjE/HD+/5X+zho937D/2HW+35n8jrn3Y+IjLf8z866MPax4ST6IcvdsHf67+4128VQfXWrbrY7/Xxoo+Iuvv+R/f6H+2Rfr9rFfzR40m1nHm/ssZ/lZ83e6r0P0qrepbXZJnwIppEGkJT36ohDMitGsLM2IZ7GxrCGN0KIkzWrSDCsN0KIszfrSDu+w1vgLi7c6uWYnRv1bvY5ttBZRN+K6gPgpY3Ar3drPOo3LzfwHK7t5t48UNuNShxV24Hlb2a20Fl5+dWUMVHuh3UT4OmG3EFArfjAHHOboUAN73dvIqrd7um7BHerik7jrdryv7l7ZqyG3o7ChzAW70d1Ptwam/VVHzfWyHATaNSyD9Ur981Tj792gsA7rroIHl8l+KOo+T/AZnfBheTDAAA</t>
  </si>
  <si>
    <t>A2C073968CB2B72C6F27DFDE373F4005</t>
  </si>
  <si>
    <t>JChemExcelv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L9MT7z//L++TL/8KH2399lH2zvj3XufPry3d39v9/69vU937+3fT3fHuw8/fbD/6ac7O3sP7+/v7T7ofbRzkO6N79/b2d+7/2Bvb3ePXrvf+6QPavdh2uvx/oN7/Q/3H6Tbu+NPd3bv3394//6nn+492L2/Q+2oix2Cd3Cwf59evP/pbr/Z3kF6b3zw6f7uzv7B/r2H93f3H+48wPw8fPDg4N7DT+8/ePDw/t6nvU/up58S/rv7n97bOXjw6Q4B78I5eHjvo/QaVHsw3v9072Dv/sPd+/sPP314QNh+Ov70Yecj6uF+56P98b2Dzkd744P93kc7D4KP7vebHez3oR3go4P7Bw92aYI+Pbi3v0/ztH1v/Omu1+ohYN37lKj98MH+/i4RLtLjw36HDyPoP+wN8uFuf9wHxOR3LZcfPZ5Uy5n3K7P9q/y82VPO/yit6llek3jiRTSJNIR83KohpMg23NvQELJ2K4iQyFtBhNzeCiKk+1YQ7/kNN0GEsrhVQ1Ypt2opmudWaD4IWt5Ay93bTbgovFt1L3rxdlBZfd4O6r5o2VtAHWzJP5T37xprQL/2LMVdZ0aSx3fJQB0l/w/DNui3vAYAAA==</t>
  </si>
  <si>
    <t>5E10AAD76C8B42A7DA067979FA11A981</t>
  </si>
  <si>
    <t>JChemExcelN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OmL9CT470v674T/b/51/z2pPxLilCfzrL6g93fS3XTn1v9t09Df7X320fa98f29hzsPP927t7d7b+/Bzr179N344cOD3b1P7+3ee3D/YOfBw4N0e2f88P7upw/2Hh7s7O/tP9j/dD/dGT842Ns5eLCz+/D+g/t79/d3U5rR/Z2dT3fuAejB/YMHe9Rq58Gn+67VvU930cODew/QyEC7n27vjR/sPDi4F3xGk/pw98G9vfuffkoofvrw/h5/dv/B3v7+7t6DT+/v7O0RhXfHB4TH/v29ew92D+7v3793H5jce7B/b+fg04cP7u/c/5TmgMZA7e9/enDvYPfhp7v4P79JvxJm+zt7D/b3DvbSe+N7+/hoZ+f+A+r94NN0n7hr/wHR5OHOzu6nOzQIBr9/sLN77+DT+w8xKIZEH31KNKQ+93eYGETUB7sP6fN7+/d3FAMi2gNquPeABkHAaTwYyO4ezcB9ouEuweJ293cfPiDohCeNEc32CdY9IgQhsr//8MGn6cF476GP172P0mua0/0xEf6ARnqPBkKT94AGsL9H5Lr/8N7uwUP69AEN8lN6Z+/h3qf39/Y+/fQAH9CUfbp3/+HBfXxFfLBHQndvb9+12RtjKAcbPtgdE80OPCifUhvMNP1///7Dh8QHDz8llji4d+/h3j3irb2Dg90d4aVP6dfdB3v3d+7tPCApAg0+3d8l5jmglp8SqAP5bO/+wcP7+/S/Bzt7O8ytBw8x6Xt7RL+9XcPBO8SH9+7dB7/tYfLvjfcwCTv08v37YJP78tkusTIN/eE9+mKPuiXq0ZTu0MQR+vvEfen2ffRwsEdcQgy8++BT/ejBPRr8/v4DkhQSDXlzD/yws09/f3qwzx0QaOrhIbV6eEB8SS8SbxOg+9QrTeYuBIS0zl2rdo4eT6rlzPuV9dCr/LzZU1X0UVrVs7wmBYoX0STSEArrVg2h1oKGaCE68ejb8pb+NQgCavFWfUF53qrhg25DD43v3g4pIsCD2/Z1cKuG0Pi3anjvtg3ZgHzgOA++ARgwWLu3wlhs3e2askm0Tfduahpy4WBTNrC3a8p2+HZNATVkF49utxQDsfe3GzC7BbdDjb2HW0EVJ+NWUMUXuRVUDMtreoPS2YtqHf6hOu2u8cPo156Pdtc5cMnju+QaHiX/D5t/BTA2CgAA</t>
  </si>
  <si>
    <t>346D76FCFF18DE5364864AB7B8286A53</t>
  </si>
  <si>
    <t>JChemExcelO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ZX/vkxf8L/mb/7vo/TdHoa+++Dhg4Od+wf7+w929z/dOUj3xnu7O3v7uw92D/Y+3d/duZfeG+/f/3R378HBwcNPd3bv7+1Rm4cHfpt9anNwcH//3u7OzqcPHu7fJ3x2x/v7AZxP053xw0/3792/f3//04d7n356sJ9u74zv7+zsUdcHB7ufPji4v7dPre7fu79Dv+09fHDv3qcP739K0Pf2dx7s7NH3O/c/fbC/Txg8+HSfXvn0YOfB7sN7e8DgwcP7ew8eHOxS97sPP71Ps3FvZ/fTPf5rf29n71P65MGDB/T33sOdh4Tm/v376f74wf6Dnfs0LkKUoO1/lF4TYQixA2r14NPd3XuEzoN96mF7d0wY3d99uEvEerDzcO/gIN3eGx88OHiwc7B/7x71Rvh+mm7vj+/hTxrmwb2H9w8e0Kv3x/cPHu7t7X56D4Pae7jXb3W/D4zhExUP9vb2PqVR3Hu4+/B+HxjTMUSXmGJn/CloTXju3ifwD+/t0pw8ePDw4cN7IBT9e0DsQ9N0nybz4cP9g4f39j+9R1QiYDs7RFxC5NPd+w8f7ty79+AeRr+7T9O2s7v7gADsPNy5T2x71/Lt0eNJtZx5vzIjv8rPmz3l5Y/Sqp7lNXEdXkSTSENw/K0aQi5u1RDSYxvubW746a0gQhJv1XDvtg0h2LfCkbp+eCuIUAw7t2opuuRWvYvKuR1U1ky3g8oK7HZQVc/dBupO0NSDyj+UUe8aZUy/9hT1XafFk8d3yT4cJf8PIv4kzTsGAAA=</t>
  </si>
  <si>
    <t>E963722BDAA73843E8DA36CE6F98E932</t>
  </si>
  <si>
    <t>JChemExcelw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t9kcr/3X+v0y/pP/mXvinxYflR+m7vs4+292hEu7v3D/Yf7Ox9eu/Bg/29023qiEZ5796nDx7u7u0e7B3s3LvX/2jvIN0bf/rpg3v3D/b27316/9OdTw/upfvjnZ3dnXsP6IP9g/3dnX2i2b17+w92P90/eHCP3r334H76Kb13cO8hvfJwd39n98G93if91x5GQPf6T++N7z3cube/v3+f/v303r2HnxLeD/f37z3Y27n36cNP7z94eP9+ekCQ9nYe7D+4t/Pw04O9nYfpQ+rt/oP79w7u7z14+OnePto8eOC12U0fjPfuhS/1wRA5CcSnDw72PyWaPSAcmZrbXdo9ePBReg3y3xvvPHjoP58yjN10e4f63/EegCEU9h7sPdz99GD3wcEBUYKgf9pvunOQbh9Q0937O/d3HhBVH9w/cC1NB9T1gfwevHvffLM/3r/3kN7ee3iPhvlg/2H/owfStv/+wf3uZ7vjBzQfezsHDwj33Yc0rQxu16cK5mr33u7DnQc0lUTXg08//VTwprd3aYw0oN2DTwnE/gOha3fke3skaXetqB09nlTLmfcry96r/LzZU/H7KK3qWV6TjsCLaBJpCCG9VUOI8q0aQuBv1RBqwTbc29AQyuNWEKFibgURiuhWEFld3Qrk/aDlJpii/27VdO/WLUWh3gpTbuom/QY67d5u1kWJ3wooN73dzHPTW8/9rpv8Gzh593azb6xQvyn/UOG7a2wi/dqzl3edMU0e3yUzfZT8P8Zmf8vCBwAA</t>
  </si>
  <si>
    <t>AAA63B6931AFCD1D7ABEEF07B2CEC64C</t>
  </si>
  <si>
    <t>JChemExcelW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6ZSr/P9GfL9KT8qP03d5nH23vjz/99MHBg08f7n167+HB7t5+un1vfO/e/u7DBwc7+/cf7OwcPEy398Y7Ozv3dw8+Pdh7sL+3c//ep/HPdgjapwf3Ht7/dOfh7v7O7oOHaeSj7pt7D2IfddE42E/7yB6MD/aDTz5KrzGsnfG9g/s77tndTfHR/kPvubcPhMN2Ow/S7d3xw73gs/v9dw/k1c5nEWg9YA8ibxImUYR3iAHuWg44ejypljPvV2aJV/l5s6dc8VFa1bO8JtbFi2gSaQjeuVVDcJhtuLe54f1bQQS33qohePpWDcH5t8KRGj68FUSWolhL/qHUv2tklX7tyfFdJ+TJ47ukPo6S/wfihF/jWgQAAA==</t>
  </si>
  <si>
    <t>8679EB59925D23B8ED1EE49FC2053CD9</t>
  </si>
  <si>
    <t>JChemExcel2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PLfl+kL/he/v9DP/N+6/33Jbenfj9J3e599tH1//GDn4YP7O/v7n+7t73568CDd3h/fe/Dpw4f3Hn766ac7Ow/u76Xb98Y7+3v3Hu7v7t7bP9jZI6z4o53793ce7O/Q8+n+fXnx3r2dB3u7Dz/d371/kG7vAvqnBO7evYN7D/cefppu71Cj+zv3Hjw42Hmwe/Dgwf69T9Od8cP7D+ivTx8ePNzb2/105560u7f7cH+f4N17SC13PhV49x/e3zk4+PTgYGd3b+e+fLa/S3gSbjs79+/de8Avf0rNHtAA9g520PBe/0OaD+r40539h3v37j18sPvw4cHBvXR3fH+v8xENNWxFn3x6L/hkP93vgop8Enltb7z3MPjo09hHwPPe3v7Bwe7De5/ugEb80S7NwP7+ffr43r39T3lO7n168Ok9mjwiyf6nDz5Nd/fGNEketAcpycfObogYidTevv/Rw/SAyNppFHnv3vheQC2Cvj8+6Ay7j8NH6TWY7954/8HDA5q2ewd7+8QCxArERHv3d/f3CAUa7j36GsPaP7i3s/fpwf39Bw/u3SdOxKw/3KfPHjy8T/z4cOdTogh9tvtgd//e3u7OLvHqwb0DBUesvfdgl4j14MGnDwTcp+DRB7t7xPokstzqwcHu/fsE8N4u44EO6D16Z//+/Xs793aZnXcfQE4e7j4gjjzYeZiCp+4Toz58cHCwd58g7oKDaDoePHiws3vw8N79h3uY0U8fhJ8QDvvhJ/dJnm76pP9WH3K/d+Dof3L/YaxVHxLe29s92N39dO/ezi59IdK2S6JL/7+3v7+/R+0PGNanD0l2aWru07x9ep8+unfv3qdEJHqfZO3e/Qexj0iP8/+3B77bJknYg2YC75DO2L13ur3LUxM23z8gXX3XKuujx5NqOfN+Ze39Kj9v9lSBf5RW9SyvyezgRTSJNITWvVVDGINbNYTJuFVDgvhp0BAtxDYdfVfe0r8GQcAw3aovmC/bcG9Dw4ddiO+PFBvJW2EltvR2Tfd6TT1cvn07zMRm364/Nu23a8oewK2oK47C7aCyP3G7pux23A4B9k5uB5WdmFtBFV/nVlDFJboVVNDVa3oTBW7ZlBG4JQ/s3bqpeHi3GtbDoOXG/oHq7XSJeJVB/2ijAnFyO/EQt/R2/bH3eqvxoum92+kDjOLe7fhIXOZbIcBNo9PIP9SE3DXBAv3aCyTuuigjeXyX4pej5P8BAJac0dsMAAA=</t>
  </si>
  <si>
    <t>72A64066F2C5EE9D0E7BDC566111C785</t>
  </si>
  <si>
    <t>JChemExcelZ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Sfoixb/uvy97n7ymz/jT8qP03d5nH23vje8d3P/0wcH+pzv37j3Y3dk/3abuaez37n364OHu3u7B3gF9cz/dG3/66YN79w/29u99ev/TnU8f7Kf7452d3Z17D+iD/YN9+o3Idu/e/oPdT/cPHtyjd+89SD+l1w7uPaQ3Hu7u7+w+2Ot90n/rIAI50n33o097aO99mm7fGz/YOTi4d0CffnqPYN37lEe4vT9++PDh/oN7O/cfPPj0/u79A/m4A4Lap9udjh58Gvlsv/fqvQcP+p/t76cHNLY9eoG6fvjpwd7Ow/QhNbr/4D5NxN6Dh5/u7d9PH4z37vltDu7Taw8ehK/1AH2UXtOU7o8PPn24e3+XKPzpvT3MJ1FhZwxs9sf7u3sPdvYO9vd2dj/d2bnnvtzxn10gTqPa/fTTh3uf7hFp93dt008f+s8+SEEI+A+IvvMg+OhTbrYb9HI/3m5//OnerYAecNvdzuvETAf+R/v9Vvt9WPf6Pd6PDPf+wNjujQ+YpcBebrKZnR7s0yzsHDw42H2w+5DoSHP74CHNy/094rm9+wc74MdPSW/ctYrj6PGkWs68X1mTvMrPmz1VJh+lVT3La9J4eBFNIg2hcm7VEIrpVg2hvmzDvQ0NoeRuBRGq8FYQoTBvBRFq9VYQ9/2GmyCylr5VS1Hmt+qdm956Hm/ZUozI7ZqyrbkdqmySbgeVLdftoLKBux1UtoO3g3ovaLoRKlvWWzV9APt7q5Zipm+FKjd183pj09vN66fiGvRb8g/VKXeN40K/9pyau87jSR7fJV/qKPl/ALH7sOVnCQAA</t>
  </si>
  <si>
    <t>E26FB93A841F386AAE178345D6512BB5</t>
  </si>
  <si>
    <t>JChemExcely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1Pz3wv72pf/3R+m7vc8++nR88GD/we6n+wcP7u3u7d57QMO5dy/85N74wUP/k08/7TU6SD8df/rpwb2H9z/debi7v7P74F7vk/vdt/bT/fHOzu7OvQf3Pr2/f7C/u7N/v/9Rr69um52HD3t97XY/+fRhekBv7e3QaO/tPPz0YI8gPyTI9x/cv3dwf+/Bw0/3+h/s9l66/1F6TWTb3h3fv/fQf3ZTfLa/4z8P+p/t0Wf3xjsH/me7+Ohg34d2cJBu07gPgi7S7U/HNNf44mHw/n0GcD/4bD/dfjC+f7D3kMjzcP/ep/c+3T043abXd8YPPvWhPniIjx6ke+N7aOpQuEcTv/MgwOBTtNr1+9m5z28HHz2kKTu4t0PU3zu49+neg539e+iZ+P2uZfijx5NqOfN+ZQl4lZ83eyoEH6VVPctrklS8iCaRhhCV2zbcv1VDiJ1tuLehIYTzVhAhwreCCEG/FUSog1tB3Pcb3kCe3Z1btRQldKveuent5lFU2u2gsua7HVRWkLeDynr0dlBV3d4G6l7Q1IPKP5T97xrbQL/27MZdZ1SSx3fJXB0l/w887W3pygYAAA==</t>
  </si>
  <si>
    <t>968F30712CF8E0BB0DDDC28B97028339</t>
  </si>
  <si>
    <t>JChemExcelh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xr+96X+fJGelB+l7/Y++2h7d/zp/u7+/d29vU8PPr2/92D/IO1/di/d3hnf23nw4MHe7s79nXsP9u49fBD58GC///K9B+n23vjhg/u793bu7R98+vDevZ2HkY/2U5qBvfsPdx7s7H76gH48/PRh76P7vU/299K98b37D+8ffLp7j/5/cLD3sPfJQXpvTL3sET6f7uzvE2I0zAfjgwf+R/c/Sq/3wAef3j/Y/3T3/j3590G6Q/MZfLLzKYb+6X37Cf7dw5h2Hwaf8TDdi/j3Qb/Z3v0+uL0HkXf3eqg8pKF1EX54j8a/v+d9tE/Df/hp8EHnpf0dDHOHOPCuZcGjx5NqOfN+ZZ58lZ83e8qWH6VVPctrohleRJNIQzCvbbi3oSFY/FYQIQi3gghxuRVECNWtIO75DW/A8eBWDWnUD2/VkOX9Vi1FLdyuKWuP2zd1M+k15R/KJ3eNWqNfeyrvrtOHyeO7pGmPkv8HhiiQmIUFAAA=</t>
  </si>
  <si>
    <t>BF3B03E78229B347BAED2B43AE6ABE6F</t>
  </si>
  <si>
    <t>JChemExceloC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wNQj9odPPwozcscs/XmepXT5Kfmvy/tb+6/F71Pv6TP3Lf+W+av7s/4t/i33yM+e83/ful9/6XiwZ99lL7bIz6+P/70wc69+/v3H+x/eu/THRrr7qfj/YcP93f37+/d29+9/4CmkVo9eLizs3d/d//hg73dBzQL1OrT3Yc7B/d3HtL/d/d3uNXDnYefPrz/YG//YOfBPvEHtXpw74Daf/rg3v2DBzsP+MWdvYf3Pv107+HDg4fEL/TBwf0Dak1vffpgj/DAR9TTzr1PDx5QhwcPaCZ396m/nfuAtXd/hxC5l+7eGz842L2/9+DTnXsP9u7vP7yPVvTew91PHz54sL/7cJ+mmFo93NndfXiw++DgYHd3l7iDWt2n4Xy6s7+H0ewRk1Kr/Yf3dnZ29+49eLi7t0u8tLs33t37lN7c3ds72L9PkkGf3HtwcO8hDeTT/b39faBFOOzt3d/79N7egwOiFz4iib7/6c4Dos4Ojfo+sT19dO/g/n2izUN689ODfR7PLiH/4NP7Ow/oox1iPgL/gAh3b+fhvX2iOiGIj+7vEn2JPvsHeyRsGCANYmf3/kOiBNGWyU7ffrr/YPfBzv6nD2kmgdXezoMdDHefaP/prgyQiL7z6d4ONX7wkASaYD184H20s8dzv3+we3Bwb+8+DZUkbfcBDXCHUCcaHxADPKRGB+NPaX6Jbe7t0QyBoA/He/v37j28f393Z2939+BhurdDY9l/QIg9pBkkLUJNiAP2HxC3UMv9h4Q4tTl4SLTd2SMWJDj3071dmoUHRDGizAERk2aUGt2jnun7+4TXw9173BuN/wHhvospBJsdUP/hJw9pIDTnBztE8v17xLoYCc3+AXEG9U/ogprE13sP93eIPT8lvHhW9nZ8kuz2P7qHWfn04N7BDjH1HhF5Dx/tjvcefnpvl1oQEXb3SZ+Q2t/9lLiQxrxHjH6f1NzBmNrce0j4EOvvPaBGRJWH3TYkJfvE+8QYxE4P0k/HD3dZfkhYiJF3iCgPxvf3iEv2dvd3D2i6SDkSSe4T0+zdp1Hs7BCr0CckBQcY8AFx+ENS6A/GnxLr7RF/3yM0SEyoDb2yv0+8AuHbJeVISH/6kLj+03sPwGb0MYb2kJDZ2985IG5+AOLyYA/27+0Sl5Co7AFriAXJ9H2A2yWJ6n7ykPrfIThEOELzIeH/kGwfDZ2Ei/QOqZpdUHtvvLf3kPjvwaf39g8O6EOg9IDakDCTJqBfwKY7Y9IT9x+QBKEvUv4HY5rW3YO9A/AtJA39E7PeJ377lBiX+BW0JnrukQ4hpEibfQo4B5+SlOwf3H/wYHeHGBpju7e3x8z+KbENwcOs7YJLwUg0fuJA0likTcC0ezsklTwSkgdSgiTl9D+yTPvQCw+Jk4nW9A/pE1JgpE53iMHvkZL5lCwbgXlISmcfYkzzu0sYEjbUKZGNBrV7IJJMI6OXHtAk3P90jyWSpGcfk0PU2LsHzfsQDLFLDPpgh5QxwWe5ITi74JuHuw/vQbYe7t27t0vs+uA+aTHoBJp/UpL3Pt3f2QWRGDZP6MNPoZNI/X2a7u2NHzK3HuyQGiD7TIA+PSDWI424v0efE8+S/JEAQUTu33v4cI+MuwjbPeIlGvvuQ5qGj9Jrsjd798fE2kRwGvlD6DRC7B5sBCmHT/foG1Lm++iT+G8fypGoSd2iU1Kmn6LN3h4N4wEjv0OdEos8IPm4B111MN7fIZklcpIIEJvzgEgh7N4jLU+6do9UOQv9/j7xG3QTURYSfo/MBcnXPaIFWYkD/oh4ksT3IdEcSgSvkRIgvUOcQoruHiCRaD64t0N8TrwArMC+sJwHpMJIqezuYAZ3x/c/RWeEAgn2Q6idnfH+AY2BxHzv3i7UIloRt5IufUAE2AEHszkg6/MpGO9TmMF7rD927j8g6SEqE1uJ3D0gbn5wn+STOJZ58wFNDTgWVoJoQGYZdpu0AX1OUvWQ2nA/MHOf0nhINknr7OyADe7dp872ib5EATISDwgWoUVUeZjeGxNRyfzeu0edkZyRfwSjskdyQw0hHeTR7cIHgPyQ4aHJ3Ie+Dj8i3qeP6HcIJWFFmocYId0Zk2A+APkfEAoHnxLrbZMyIhTJ4JMSIVl6SKpve28MEWLNRoqblCd9tkusQLSi0ZKCJO1CLLR9j+CB3DQmkI8kgD4iAcH/yMiSmkCrfVIANByyD9Ca1Ee6TeaU0Ni/T3xAthjqlj7aIT1BoolG1HI33SYSErdDRvY+vQ8Z3CbRoQHdw0RDNIiL6CMy9jQtxJEH6IOGdDAmtoRxfkjcu7v38AE+ImVPSmH3gNyWPdKF6fZDIlnno+6LEfAHfbR2e3g97A9nrz/oT/ukedAn4L0ombsz1JsfUqP9uSVPsMMC4MsOo1AosDeGDSNDAC9iH5qM3iO+fkBo7ezTe2QhwYafPgw+2u/1ePCASbEHtUWgyeTcB8+RDqbeDsD7cFwo6MBsEEuRQoL+JQtPdCZ5JT+D1B0MB3ksJPv4DAJM8kxkpom5j5GT/r5HfsEDEkSyKQ8ottqGcvn0PsGHQ8Oalj8jDULg7tNYSaOQdtmG80fuNYksEZGsPbCDs0dqiZQnKVqaVbAi9XEf7vnOLjkMhOW+vEsDpxkmDQ0sdwU/4qg9yDkpPurpHr8Lj+tTsnXkNBDAPW4nuoT01QFpXNDugGSfdB/CAVCAhY7sMhlU8snIMBxAB6IZKH6PnF3YDtIZ9AmRnGaKVBT57A8gTQ/HcMLIksIukHZmfof5oUklnfgp/DPGYo/mGwoTXh2cHHRJ2ghWnfxl6psi1t4M7oIByTEhVU540HfgXeIHIv2nUHYkGvuw2F0+ovD5ro2fjx5PquXM+5UD6lf5ebOnMfVHaVXP8poiKLyIJpGGCIRv1RBR8K0aIgS+VUPEv7dqiOD3Vg0R+dqGexsaIrtwK4icg7gVSElV3AqoZDRuBfVB0HIjUPR/u6mUTMqt+peEy+2gcl7mdlA5fXM7qPdu3xQIuPnf2JTzRrfDldNLt4IqWahbQZVk1e2gck7rVlAxLK/pRqhA4HYCLcm0WyHATW8n1JyWC5uizesW6cKj78p7+tdmILebckkB3q4pZwpv1VQSirdrynnH2zXl9OStKM5NbzeP9/aR7LxdU86J3q4pp05v15QzrLdrut9r6vHDt2/HHZLNvV1/nPS9HcXR9HZTLink2zXlTPPtmnJC+la4ctPbTbmkt2/XlLPgt2vKyfLb4Yqmt5stSb3fqqlk6G/XlBP5t2vK+f5bNWVcw6Zo836cLGsLt+pPliBuRXFuersplwWN2zXldY9bNd27fVNZSbndsLCoEnLH+1NcVmxuhRo3Dfnm/fsD8306yCa3NIeQ4U9DNnl/TGRt6nYj5yWs2zXlla5bzZ8siN0OKq+b3Q4qL6/dCqqswt0O6qdB0424AoHbqRcM68Ht1MsDXiW8XdN9LCbealjc9Ha+PDe9nWYAuzz4UKMO9nwQmon3BwLDfPChKkIWYW81clmrvV1TXtK9Fem5qZv7jVCBayjU3hBvqV7g6h18qMsO1/Ig5JevAQTDGeSkWwKBm38wyElxIPxDky53F1WZT9dlTr9+cTLPF8U0K1+39Xra4pOn1XSNxfej5PHd6aI8Sv4fnr6POqAhAAA=</t>
  </si>
  <si>
    <t>2F70D2D0D12C3F6631B11D40306E228B</t>
  </si>
  <si>
    <t>JChemExcelt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vq/Vfy/9Iv+a8X3r+dNh+l7/Y++2h7b/xg9+Hug4c7+wf3H977dP/+6TbhQUS4d+/TBw9393YP9g527lH33Y/u3Uu3d8f79/d37+0+vH/vwb0H9+8fyNvb3bYP7kU+o3Z7408/fXDv/sHe/r1P73+682CP2+19en//YOfBg/sP9u7vHOwcMMxO008PDvof3Uv3xzs7u+gPIPZ3d/ZpRu/d23+w++n+wYN71PW9h5FPPh3fP9j5dIf6Pfh0/+H9+w/oE3o3aLM/vv9p95Odg4ODezv3du8/fEBfPbxF7zToyEfd9/Z6Q3vQH2zvrV3C+lMiwkP6+uHu/s7ug3sfpdd7EI/79x56z8H9dGf84EG6Lf/S1/s7/qPf+B8Rm9JHnwZQDtIu4Ie76fY9okoAjdmh026f2z0IPvsUnx3sB59FmkWg7QLfT+/tH+zuPNjd3f/04f2HO58Svgd7Dw92P723d+/Tvf2H+zSr3Y8+3e+9eYAeaIroX+KB+343B+n2g3FAAnx0MN4PP+u3AqdHgEET7XQ+o54PgndJsdy1muXo8aRazrxfWdW8ys+bPdU2H6VVPcvrzz7aw4toEmkInWQb7m5oCM11K4jQb7eCCC14K4i7fsNNEKFUb9WQcDy4VUMa9cNbNWQ1fquWou1v15SNwu2asu24XVM2MbdrypbodpPEBut2UNmu3Q7qvaDpjcS63ayKQb0dAmx3bwVVzPOtoIoVvx1UNva3gopheU03QgUCt+SBh+Jl9JvyD9VAd40fRL/2fKS7zoFKHt8l1+wo+X8AuFs/1LYJAAA=</t>
  </si>
  <si>
    <t>4D6969C38B7B8BE3DF1B51DD7439B0BF</t>
  </si>
  <si>
    <t>JChemExcelP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L9MT7z/z1wv9/QX+LT9K3+199tH2vfGDnf1PP93f23twb2dn5+HDdHtvfO/BzsOD+7s79/cf7O18eq//0R59RuS8R+/cf3hw79P9/Z29g/3+Zw/uR8F1Oz2IfnSLFx+mO+O9h59Sn7v3DnYP9nd2DtLd8af03f29vU93dnb3dvbv3U/3xkGbBw/30n1678E+gd659+mnB7u7+/f7H9E8f3pvd+fg4ad79/cffrq7/zD9lCDtP/j04MH+g3t7+7sH93sIPLj/ICXu2N33m336UXpN1N4f3/v0nvfQVN4b33/of7S3T9ju3A8+ukdj2jvwP7r3IN2mju9/6j9C/73gs4NIu4MeuD2mdtjqAah9717wWaSD/VsiEmlHA48OrPvu/fuRd+/3MaY+SGpJxu5aITt6PKmWM+9XlrpX+Xmzp4L3UVrVs7wm7YAX0STSEOJ5q4YQYttwb0NDiPqtIEIh3Aoi1MatIEK53AriPb/hJojU9cNbNWSNdquW0HG7t2op6vF2TVmL3q4pK9vbNWWdfCuKclM3nRuhsoa/XVNQIDpT/EO5/64xR/Rrz1TddXYseXyXLORR8v8ALKhATT0HAAA=</t>
  </si>
  <si>
    <t>7B4E7B3692D872499D7F16D0BB65C8CC</t>
  </si>
  <si>
    <t>JChemExcelK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jd/yjNyxwYvLle5TSg1Pz3gv/9kv/P/32Uvtv77KO98aefPrh3/2Bv/96n9z/deZB2P9i5n9Lg7t379MHD3b3dg72DnXv30+398d6n93YO9h7u7+3t3tvZubd/ur37abq9Oz7Y292///DT/YcPHtz/dP8BPn/Qh9AH+ukBffTpzr0H93cP7t+7v79zn3Cgl++n98Y7nz68//De7sOdB/s7Dz/lD7d7IO/1P7v3oP/Zp5/2ut7fT/fHOzu71DmNef9gf3fn04/S6z3wyP17D73n4AG1fPhw/+Huw/2dg0/3dx7sPpSB74wffOq3fPiQKPlwZ//+gwef7u3sHBx8+umnQiOCuU/f3dsJW98bH+wHn3xKXeFV9+ymn453Pw0/IUC7wSf7gHTf/2ivj93Bw3Qbb0bwfkBMeNdy4dHjSbWceb8yW77Kz5s95cyP0qqe5TXRCi+iSaQh+PdWDcHlt2oIWbhVQ0jMrRru3rYhBPBWDSGmt2oIYb5Vw/sQ+aAlmogKOfquvKZ/DY+TdcatutuHZhnq7tu36w5aKZz790d5TzTb++DBP5Rv7xrVS7/21PJdp7OTx3fJGhwl/w9kPHFVKQYAAA==</t>
  </si>
  <si>
    <t>8F0F15D766233C22559E7606D597B7E4</t>
  </si>
  <si>
    <t>JChemExcelY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jSk/RFin9P0i/1p/tE/ys/St/tffbR9v7403sHD3cPdh7s7Ozv7T18kG7fG+8+3H3wcHf/3v7Ovd2HDx/QZ3vjnd29nYO9hw93P907ePCAkKDP9h48vL+zu3twf+/e/YP9+5/i3Qd7n3669+Bgb3dv/9Pd/fv76fbO+P6n+w/vf3rv/v1Pdw/2H+w9xGfU1f17BwSNAOzv7Hya7oyp/YP71MunD6jV/Xv3UiLyQfARQ9u9f39vn/C7t7dLv3y6T6jsjvcPDh7uPdi5d39n/97ewV7/o12Ae/Bwf//Tnft7NOAHDw/og/vUYH/vHqF2sPNw59OH6d74wc6nD+7vPHhADfapjwfpPvV4j8ZMfz2k9+/t0Sf7ND4a0s6DT3d2CX56b7y3v3v/4MHup/d3Hx7Q+NODMX3lt/kovSaCEzH2DnY+3TnYpaY0JCCxQ7882D24t3fvARH3gCix8+n+wQOalnv79x/u7D64x8O5v/tg7/7O3qc0Nw8O7n2Kz+iX/Xuf7ux/Sq3u7e7do1fvPyQ8Hj68t09zSnB3aUS71NtDGsE9/KA+QcR7Dw/u7ezREB/c+/TB3r2HgPbgHnDf3fmU5uvB/Yf78c/2xjTn/meEyf54Z9/77NPb4EFDvzfeeXiAyaV5uvcpDYwa3X+we+/B/QcP9kC0gwc98hCkLn0+PUCHOyRdd614HT2eVMuZ9yvL26v8vNlTkfsorepZXpNewItoEmkIwbxVQ4jvrRpCyG/VkCB+equGUBi24d7mhge3ggjlc6uGrKJu1fLg1i1F592uKavGWzVF/7ebSdGztyKoqOPbQWWtfTuorNxvB5VtwO2g3guaelD5h0rKXWO06NeeQbvrrF3y+C7Z0aPk/wEVJG2bYwcAAA==</t>
  </si>
  <si>
    <t>9624FF7BB4AD9479897B7E10D0267A0C</t>
  </si>
  <si>
    <t>JChemExcelN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t9kZ6k5t/+f/r5R+m7vc8+Ohh/ur+z++DB/sO9hzv4JX0wPnjgf3I//XR8717Y5v74/qeb2+z34Oyn3b7wycG9nXv3dx8cPHjw6d6ne/dSIj7BeXjv3sOdg08f3Nt78DAleu/f2zm4d+/Bw909+h8RhD7aOTjYvb97//7ew4cH+wcH6cPxp7uf3v/04f69vZ2DBwf3CPb+wYNPP314f//h/qcPDx5iZLs7fv/3aBwPdvc+Pbi/f+9TQn9/HyO792BnZ+fe7sODnXsPHuzt30/vjQ+oi73dnQfU+MHOpwfp3vgBwd3b3X24f3/n4e49eu8escXe3s496v5gZ/fg/sF+uj++f3DvwcH9+/fv0Yv3d/c/Sq+J4tTn/Z3d3U9371P7+/v30XB/99N96vceutynSe18srdL8HcO9h7cf0BkoQHdO/h0P90d00h2iHREqL3de/e7H+wfPOy9du9BujOmTnfug/APCIGDPfqEaPjwgAa3d2+XyLy/m26TDOwTXfcf7N87uH/vYH+XBrS9S68+PHhA7x18ukuf73yabu+NiVoPHhKhCdqnn+4Ta9LLD++DoJ8e7O7ce7i/d/8A735KxKRx33tIFNr/9H6/2f6nfeT2e9h92seOQN7vYUeT0kNuhwT38V0rh0ePJ9Vy5v3KgvkqP2/2VDY/Sqt6ltekQPAimkQaQoJv1RByfquG0Aa3agidcauG0Cy3arh324YE8eBWDaHObMO9DQ1Z6d0KpOjGWwEVFXo7qKxpbwX1IGi5ESir7ts1ZQ1/u6ZsCG6FathyI1C2LLdrygboVv2LnbodVDVnt4F6P2jqQeUfKtN3jR2mX3s2+q4z4Mnju+QaHCX/D22W8zU2CAAA</t>
  </si>
  <si>
    <t>86B476B6D0B8F170551AA9F3E8425ED2</t>
  </si>
  <si>
    <t>JChemExcelR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B/8r9R/876P03d5nH90f37u3/2D30/2DB/d293bvHaT7452d3Z17D+59en//YH93Z/9+ujf+9NMH9+4f7O3Th5/ufHpwEPso8mIX+sNbNNrf7X2yl35K3R3ce0g9Pdzd39l9cJAeEKC9nQf7D+7tPPz0gGD3Pum9dD99SIDvP7h/7+D+3oOHn+71R/bwQfejB7spzfO9e58+eEioHOwd7NAfvY/2P0qviZrb++NPdx96z0G6TYM58D96kMZa3RvvPAha7afbe2Maid/sXr8dPtsZP/g0+GyfBnHw6YMHu/sP9j/d29vfvf/wdJv4ZXd8/17QEATo9NFr9Ol97vX+zv3d3b17e/Rzb/f+PYJ3n3t+sOM9xKNdgPug6L0HD/b2dmky7j3cfbD7gF+mfvb9d/ciI/l0r0+FT++TCN21MnT0eFItZ96vLFSv8vNmT+Xqo7SqZ3n92Ud7eBFNIg0hfbbh7oaGkNFbQYQk3woi5P1WEHf9hjdAfHCrhlAyt2oIVXQrHFlh3Qqk6LVbARX1dzuorCVvBfUgaLkRKPp3s34DRXdvN+2iw2/f9HYzCuMQnVL+oWJy15gl+rVnsu46e5Y8vkuW8ij5fwDZGWtuRQcAAA==</t>
  </si>
  <si>
    <t>6472BB714E48D7EC0253CD567C797766</t>
  </si>
  <si>
    <t>JChemExcelA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fgozQvc4zuzfUqJ2KlJ+mX+v/ufy/055f2t/C/L/k/fbf8KH2399lH2w/G9z69v7f7YP/h7sP9g/0Hu+n2/fHB/b2Hnz64v7v36e69nf176fb++GB//2Bn5+D+wwd7ew/uH6Tb98b37u3dv79zcLBz7+DBPRrB9t74YO9gn168f+/h/t7uwcE+Pru3t3/vYJ/e2n/4YGf/03iz/fG9/Z0Huw/uE9AHDz4lWsb6/HR87/6DHerz3sOd+we7ePHT8cGnu7v39nc/JVzo5U/7+O/2wd8H/gf3Pv303v7ezqcHhOIDvLkzPtjdI2B7+we7hMPuwT18dm/ngPp8SETa/XT/wf0H9DKx3u6n9MH9B/uf7nxKANPd8R719JDwor8OHt7HJw92aKB7NPidT/d3HtKc7o33dveI3g92GeC9B71G+/vUCP3sP9y59+nD+/v3Hjzcj7x3b7y3t3P/Hn14797DhzSB6f74AY2NIO3vPbi3T3NJIkJfH3x6/9NPH+4SHR+izd7ewaeEJCF/8PBgh4bSf+3e+MHePpHoU2qxv//pp8Sr3ff2u/0TJai7BxjAAf356d79vXu7/Y/uRXDqDvfg0x4G+/fTh+OHewGkj9JrsO/e+OH9g4N7xER7xIQHDz/9FDO7t//wgN7ae0Ad7OyQ0FE74iPi0of3d/b29u4f0KDAmg9o7j69T1S/9/DTgwPlit2Hew8Pdu/fp35Itmmuifif3vt0B9NNvx08SHeoB/r2wd7Ovfu79Nt94tedMTHX/fuE8YMH93bRnCb34cHBg717xGHET8TnDzGTDx4S5z8gxiRsDh5isER3Yhni4V2i5D2Qm8a5s09/7Dw8ePCQyLY//pSYkGB8+ukDMAxe272/d3D/Hg3zU/qxw4iSBHyKNrsPiCYP7vEYQ/qIrO3ukXzs7ZNg7dM8HcRJRpxB3EbiQsLwgHTEQZyKO+NP7xHT7zzYe0i47xDM25DiXmQAexDlgz3qfnf/0wOSJXqLpILY/gF0zN6nD/ajlO/N0MNPbz25++OHD0mCd+6RVD0kZt7rkYfU9/6YCEKzcf/BwT0iMCn3+2Miyu7u/oOHpMEIUGyGiPkf0FcPqP9PCTxJFhk0sjZ3rbk5ejypljPvV7Y/r/LzZk9N0EdpVc/ymgwnXkSTSEPYjVs1hDm7VUMYPdtwb3PDT28FEQb0Vg1hZm/VEMb4Vg3ZZN9qNGLZbwVUHIDbQWU/4XZQ2Z24FdSHQcsbSL/rZhMt0URcoKNvy2v61zBi7N/cqjtxgz60PwC5HR+Iu3UrmqHpnmOFjTLFztvtmrKPd7um7AreClfxGG8HlR3L20Fl//N2UNlNvR3UvaDpRqjs+N6uKfvHt2u6c/um7HEPsed3b8ee4rLfijbc9JbcAaf/dopC4oRbNQV33AvlfxAqRx2xpvxDDdVdE1TRr72A666LxpLHdynOO0r+HwPh8PcDDgAA</t>
  </si>
  <si>
    <t>0B1F57FDEA4E6831CFB5728CFF5F73BF</t>
  </si>
  <si>
    <t>JChemExcele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2v/vy6HPSv7hvta/yvTko/Td3mcf3Rsf3N95+PBg58G9+3t7ezs0gvvjvYcP7x0c3L+/f2/33t7+w/TT8f0H+zt7D+/v7ux/uvPpwaf30wfjBwcPD/bv7+4+2NnZv//wfvpwfG/n/sHOzsGnu/cf7t//dJ8+Odh7uLP36f7+AbXce/hpinna3394sLf78N4+dfjpQbq7N75378GD3b1793cePNi/v0OtgNS9Tz892HlIP/b3H9BH++OD/U/v0Zv39x7s3HtABN79dHzvU3rr3sOHD/Ye3vv04ACt7u3d232w9+mn99HhwX2Ap7Ht7X76cI8wu7dDs0NIHOwSTp8++JRQoL73U+IvtL63u7N78PDevYOde4T8gwf3aUREg08P7u082E0Pxnv3Ce2Hnx482HlIs/RgTP18uvuQOqKWNGyi3IO9B/v39giB+zv37z0ALe8TRXb3CdaDT/fuf0qkfLBDb92n0RD97u3vpvtjoui9/fuAcXDvIdGWhr9Pg3hAaOzu7xLGNCxCYPcBzQnN1g5x270xQ92lj6nZ3j1C+N5478Gnu/ce7hBYgk/suDsm9HbvE5F2d/dovPfvpTug/4NPd3aJ4AT94f5+ur1D07RHI+fZ3UUf+GxvD/P8KbHCg4c7Bw9BJGBx8GBv5/4D6vpg78F9MMZDAkzTSQN6QKRhUj6gmbt3//4BzT1hdgCC7z3c3SNciAYP7u3s38O07O3vEX0f3iNo9x/u3PsovSZ23N4b04Tf3z3YIZba2SHghMy98e6nNEvECp8+uE+zcT+lZjTk+7v3iU67OwcH1COa0SBpah7QqHZ37x3sotnDBw8+3aex0nzfJ3TS7d0xzdce8drevU8f3sO46KM9ohcxJTEiMQWJAL1I7Hl/h5ieuA7k/RSf7RJu94gj9h8QeiDdPSLnLk3tvb3792leSWTpox36jVC6RyKwT8OlN/fHREPQjJp8SgMg0d++T9O+S3xJM753cLCzv4dXiQEOSHaI6/buEW8+wKs0yIfEuCQK+w9p1vjVT3foa6Ic4bpD/+CjgwfUG8Ej+SRWeYg3P6X2Ozs0T3s0jHv8CWH+KdFif2cXBE63Px2T/JJgE2dDQPYB/sF4d++ABIZGRFxIbMbtMB4aJP7/kOFDHA5ojol0+weQP2BBk0pyTkpjn8ToIfdJqEOXkCq5f3/34UPQkZhnDwrmwYN7+3s7jCvBIWrQvB3ce/AQmNHACcV7xK479z99QCMB+N1dYhh6m7B4COoQ/90jkpAckojvM/0/He/TtJFeIkl8sL8Hun5KwrJ38CmmDoKPKafx0GQ8uE8ctbMDXcFkvXdvb++A1BMxNHW7xx/RYIiZSIsRzp+SgbhrLcTR40m1nHm/ssl4lZ83xMgwGWRgqnqW12TrPpIWYmyOvv34rveX/BEHcS8AMdRwv9vQg/7d2/UF23arvmABP3BcsKC36gt29lYNYY1tw70NDdlm3wqkmPZbAeWme7eDyo7C7aCyP3ErqAe3bikOyq2a3r91S/F4bteUHaPbNWX/6VZN92/dUhyyWzXdu3VL8fA+UADFRbwVZ3DT2/GbOJy3asqjCLnIw/uWoi2O7a36E//3dgNG09txjXjTt4PKTvftoLJvfiuo4sLfDuqDWzcF394Lp/z9WQzCd+9DDQWE/d6HsgnU0L2QTW7EhH+otb1rgjn6tRfo3XVRYPL4LsWXR8n/A91e44V7DgAA</t>
  </si>
  <si>
    <t>295D3B4BE7D37B3E7F240CEB9CAEC4F5</t>
  </si>
  <si>
    <t>JChemExcelW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Kv992ftpfgt/d/+5T7/8KH2399lH27ufjvd2d/Yf7Nzb39ndObh38CDd3t0fHzz49MHD3b3dg72DnXv3d+mze+P7+/d2d/d2Hn66f3/vHg1ye3dvvLPjf7bPnz140P1sZ/zppw/37+09fLD/6d4+jXX74fjevfsP7t87uL/34CF9RtAOCNjezoP9B/fo1QMi1van9NrBvYf3P915uEvYPbjf/2i/997Owyj0CA6RF+/Ti/sPdj/dP6Ax7O3eo1b71Gp3596De5/e3z/YJ1Kl23sE6sG9+wd7+/ThpzufAgviv3v3PJrtxT5L743xN720d/DpzsHDB7un20TIbruH99NOF9RDB4/dtIPr/qdphzgHe2mXpgdphzT399IeZQ7S7sQSx9L8Bzjef9BvtRulVpSbYlzX47CP0mti0YPx/qcPvecBjWHvnv/JQdpt8zDyyYPx7r1P7+3tHDw42H2w+/DTe4Czj4YPvN8+HT+8t+M9u/TJ7qfdT25usz/+dO9rvtprc9+gdouWt27En+O3+yEpzcef3gb6PcbM/2RPcCWmevAgBEwq+v5+OCW9jx6QAr5rNfDR40m1nHm/skp+lZ83xBZQyaTAq3qW12RLPpIWosyPvvv4rveX/BEBAUX84SD2AxBDDWE7btXw3m0bEsRPh7D/9u2wf7ABxC0JAFN4K3RhMG/VkM3qrVqK9b1dUzbSt2r64NYtxep/4BwwZiEPfQ0goETINu8/leK43G7k7N/Ypnthf29u2R87SLfrj/2ooL9NTfduxz/ild2uKTtvt2vKPt7tmrIreLum7DHerik7lrdryv7n7Zqym3q7puzN3q4pO723mlhuervZAnveu+VswdG+VUvxx2/fdFAc4zLNP9TY3TWxCv3ai2PuuiAneXyXwqej5P8BJkYusFoNAAA=</t>
  </si>
  <si>
    <t>7F3AFD887F3F15A2570F6DED4EDD9C03</t>
  </si>
  <si>
    <t>JChemExcelh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Kv+90J9f6s/wvy/x30fpu73PPtq+P753b//B7qf7Bw/u7e7t7u+n2/vjnZ3dnXsP7n16f/9gf3fnAB89eND56N54717w0f10e2/86acP7t0/2NunTz/debB3L/IZvUvUvHfv0wcPqcODvQMCcj/y2QO8C4wO9h5SNzuE473T7V3uZo9a7jzcOdg9oHcf3v9UPu+C+PTTyGf7+GyHxvqQ0P90/9ODvd3dA36/2/Teg/5H99LOeD49uJd2CbYf+aT32kHaIf29h5FPMNaH9x/ufHp/b2f//v17O/tA9aP0mubuwfjTh8GTfjp+eI+A3H/46b29nYMHB7sPdh/SgA/Ge5/6o7hPDYml9sef7qX3xjRxe2Oihf+AGPf3g48epA/G+3t7NB2Yw3v3H3yK2SAK74wfBHgII9zbCT67B4bZedD9LNYuAu/B+OE+8cDOvb2DTz+9R4Ma6PlhBOKDeM/dz0C8+w/v0RSDlw/2793f405AJJ8MEOq7VqqPHk+q5cz7lcX8VX7e7Kmkf5RW9SyvSR3hRTSJNIQ+uG3D/ds2vH+rhtBAt2oIPXWrhtBmt2oInXerhqwZb9VSFKhturepKevZ20FldXw7qKy1bweVlfvtoO4ETTdCZXNxu6ZsVW7XlI3P7Zqyjbpd0/3bNz2A1btd0wcwjrdq+kBMaL8l/1CxvmsMO/3aM/p3nUeQPL5LvsZR8v8AL24SK4cIAAA=</t>
  </si>
  <si>
    <t>30760D370AAED950CD2BE59930D8D558</t>
  </si>
  <si>
    <t>JChemExcelX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Sfplin/7/72w/0qL1/r5l/zfi+wjIWB5Ms/qC4K1k369/7Z3UyLVu73PPtr+dHzv/r3dnf2Dezs7n366/+lBun1//PD+/v29e/fpk52D+wf30+398f6nnz58+ODB3sHu3r19IgB9tPPpwf7up/ceHnz66f379z5Nt/fG9w92Dh7ufLr36e7Bzr0He/zZ7sHevZ2Hew8/fbC3t39wsJ9u74w/fbj/4ODe/b39vXsP7tGn+Ixa7O3s7dI3Dx7u7+98St0SDxzc36Wu7z042KH30e/e+IAAP9jb393Ze7h7cEDv3hvvPdjdu0+gHj7YJyRpzgi9B/cPCNL93T1C+OG9BxjX7v0H92hIhPVDGsgBOth/SD0Suvd27xOWO/eByc7O/v7eDnXw6acPHhKOO3spsfYB0WR/5x7R5eG9+wfp3vjTvZs+6b/Vg37/4YODlGh58HD3Pn30YP/+vYOH+/TJw4f79+jF+/cfHuzf29mPtKGpo9HsENno04f3Ht6PfLI/vv/pfUzFvYMHD3fvEWffG9+/t3//wac05w8xdQ/orZ0Hu/cI0f17D/d27z3YBV1oGu/vPSDqUcOHNO0pCez9XR/4px+l18RBNOm7uzv034O9B5/u3yeZoVETyQ9oDnf2Hjyk3/bSHZDm4c69nQc7B3s0oQ8+BSUOiFH29h7s7NIEfwo6UL/UHxFnhzDdo9l6cB8T/mCfpvwhcdSnGPw9TPju/gNqsnvv3g7x7B4JJk34p9QVwdm5f5+Y4IAnnMb94GCXPidQOxjY/fG9vft7Ozs7uw936X8PdwHs4N4DgrsHPtvfAdPeGxMpwLO7D3aJUvufAjNipfufEm/tUxeEDM8lDZpm8P7Bwc7D/b2H9z5l9rlPg9zfoXfv3yfM7u+moNzBLs3l3v19+nuHcIt8tDfeuR98dK//Ucoj39l/8PDTg/tEZcKf6H+PZPDhp/QRCcHegwc0AXsH/msPMQE7+3uEzb37+zTDnx48fPAQ0GmOHhLff0pf7u8R9oTWvT2i64N9mi2Snj30CDbZ/ZToTR9BLEmOiCOJcT+9t0tAaYD743skiTs7BP4BKRHSlSS5u/f3PiXBAiUPCGWgQNr4rlXHR48n1XLm/cr6+VV+3uypiv4orepZXpNhwYtoEmkIRX6rhlD3t2oIo2Ab7m1oCNNxK4gwMLeCCDN0K4gwVreCyCbtViDF8t0K6KdBy41A2ZTerilb3Fv1vx+03AQUlvt2sy6G/lbdsy/gmgIq2ojfcfRteU//2gzEccVG1Njv+ND+2HG5XX+f3r4pu0K3oxo8ottxjThWt2vK/tetmoKMt2zKUG/HN9w0ZIaNwwo1hjdz373dPIqDeSuKc9Pb6RNw/1445Q6ZdFotL8mBZYf+i6fPP/I++MmsXJMnum9gd9DnH6rj7xp/nX7t+fJ3naOfPL5LIcRR8v8AmYQNxF4MAAA=</t>
  </si>
  <si>
    <t>50AE5931DB46B9B9AB2EB6E49BB0BEEF</t>
  </si>
  <si>
    <t>JChemExcel+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vkhPbvtf+VH6bu+zj7ZpfPfuffrg4e7e7sHewc69+/fT/fH+/s7Bw72dhwf3d3Y+3fv0dJvw2Bvv7e3s73+6s/9w7/7Ovd17/Gn//XuRzx6k23vjTz99cO/+wd7+vU/vf7rzgEbY+2yP3t0f7+zs7tx7QJ/sH+zv7hyk2/cJ3P6D3U/3Dx7cI5D79/of7fVf/DTtohH/5MGDT+/d//Tg3sP9nR0a2H0a1v30U8Js9969g939Bw/u7zy895AH23t9P40Mq4vI/bSL7W7vk73eWw9ioB+O7+8GlPgovaZJ3Bk/+PSh/3yaEltjHu7ToNyzC5Lf2+k03b43Ptj3Pzo4ADU/3Q0+S7c/He/e9z96cB+fPdzzP7vfb/ZpH9in8U4jw+ihm94b7zzwP3gAgofgH4C8B/4nB1+rzUGvs4MHPYwO7vVb3QP5SQfctUrg6PGkWs68X1krvMrPmz1VDB+lVT3La9JeeBFNIg2hPm7VEErmVg2himzDvY+kxes2r/Pq6I28pX8NgoAqu1VfUHhBX0MNoRZvBRHK81YQWcXeCqRo4lsB/TRoecO87d5uhsUA3K4p24lbYSrm5HZQ2ercDiobp9tBZRt2O6hs6m4HlS3iraCK4bwVVLGvt4KKYXlNb5qteFP+oarhrvEl6Neen3HXOSHJ47vk3hwl/w9yXsyg+ggAAA==</t>
  </si>
  <si>
    <t>E107AFB817FD9D6919653DAE45DB0FAB</t>
  </si>
  <si>
    <t>JChemExcelS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i/R1+iX9d9L570Xs9/Kj9N3eZx89GD/89P79vQf393Yf7D+8v/Mg/XT86b3dg/2Dew8fPtzb3X+wR7TYe3iw++nDvQcHOw/v7d87oDY7n/qfPEj3x/f3wjb3CPL+/sOd3fuf7n16f3+HBrRHoHcOdnd37u3TO/c+/TTdJdAPdu/tPtzd+5Teu7ebbtO03KP2D/Z2qPuDBzt7D4kk2zQZ9Ovep9RkZ//TB/cOHkY++7T/9r17kU7up9t744N7+wf36etPd/d3afzp9r3xg/2dnX0g++mD3U8P9iOt9tGMuntw7+H9ew/2Hxx8+nD/HtrtHezQ0Pep84NPd+7v87sP7n+6++n+/Qf3d/bu7T+4R+32x3uf7t3f3T04ILLcu3+PmoG4hN69nd17D/c/3X3wKVod7D7YOSAMCN+DB/fv4yMa3r2HBzv3d4mkDwmP3b3x7n4wcx+l1zShO+N7e5/SB/doHnYe3D84AE2I3Hv3dz7dpVf3aBz3024rjGx3/OmnNPwDQvfBPZo0mkMi8c7Op8Bvn97c2SeuoGY7D4NXH/Sh7fZb7fVbPcDU9JqBSYKPiJP2d4JP7kUb7dL03rtPJNnbv7+zc/+AgB982sPh0z2i7D1ij/sPiCUfPAR5DogbP713sEfv7tMEMms9PDjYIya//+mD+w/v398/wMTvE4/fI9bbPSB+frjzKfMMpu7BAYHbJbZ/+AAT/ykR8cH+AbH/AwJK5CZ4u5/S/NKfhM094q4HPPPULYkIycTOg4dEDWJe0h93rQI5ejypljPvV9Yor/LzZk+VykdpVc/ymjQfXkSTSEOonls1hIKyDfc2N7x/24af3qprqMRbNYTivFVDqNdb4chK+FYgRVffCqio9NtBZc1/K6gHQcuNQNG/m8yNTdni3K4pG6Zbocq0ut3ci6m7XVO2iLdryobzdk3Zvt6qqZjh2zVla32rphjWLZsyAlEe4B+qLO4az4R+7Xktd51Lkzy+S87SUfL/ACumAG1ICQAA</t>
  </si>
  <si>
    <t>AE664F59E6CD58C2A298896160906DA0</t>
  </si>
  <si>
    <t>JChemExcelXR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Dz5K8zIHFd5cr3Iianrzf19Gfv/S/md+D9t8mb5Iv/wofbf32Uc740/vHXz64P6Dew/vHdy7t0+47Ywf7t97sLO3t/twZ29/d/fTB+n2znhvd3dnf+fgwf7uvZ179z+9v0ftdh7ee3hw/9Od+/fpO6Lc7vj+/XsP6K8HB/d27n/66T18dHD/4MHB7qf3Hzzc/3SfPrk3vrd7QG327u0QsE/pq3R/vP/g3h71unfv4OGnu/c/JcZ4eO/ezqf489OHu/s799IHY+r8YOfThwcPD/YJ5IP0YHx/nxD/9P6ne58SmjRDD8eE9r3dh5/ep97u3394kBJ77X66t3PwcG/v4P7DnQMi9+4eIfDpAfW1t/tg//494H1v/ODBp5/u0IB3dw9292mSd/cJg12ix8OHB7t7O/sPDvAR9QTkCcO9ezSD9N7up5/e3z94eO/+HoHfA3CA2Ll/sL9HNLlPU0sfHdCY9vb279//dPdgj2aasNrf2X1wf+/gYO+AuIqEZG//wc7OwwcY78F9Yq6D8YODB3v7O3uEKtHmwUMiwKf39vYfPtjdffiQOifmezCmL+i9T+89oAnb/fRh+ul498Ee/Xf//s7DvXv37x8QIakjotj+fRohEeA+0Z8+39vdPzggYDTnD+7RR3tEB/pg5/49kJ1Q3CMM7+0/oHeJIA/vfboPpHcefvqAaL1DbfeAAFGEiLj3cG+Hfjw82Hmwm+5+Or73cHd3F/3ReO8/RKMdmuS9A+rr0wcH+wfU6D5N3e69hw8eEjmp6UMm3MO9Tw9o7MSN9x7uk0xBdew8uLf/6e69+8Q49zDjoM0OMSBN+sN7RKaH413igL2H96mDXRCQ2uzsEF2JI+hV4sJdIgq9vospPzigebpHc/LpmDht5yEx8sPdh/vUA2j5cA8CcJ94bJfIR0z5gNh4bwdMd/Dpp/TW/TEgPKD/Hj4kvj14eJ96Iy5+uLtH8/aQ4BMPEtaf7qLFzkMh3/5H6TUJ2vY9It/B3qc0YQ93aLr2Pz1It0lgDoiVHxwQMp9CFiBpNDSZ+gN6+/6n9yCQ9+jrB7sP7+/t7BFg4sUxjW1vZ/feLj7aB7573Iq+3b23RxJCjEnzilYP7u/cw0fElJjW3d17n5Jw0Hu7mG28R4x/n+YGH5FM7kNoSYBppsBtB/f3H6IVDZsY8N4uPiLSQbRpXogfDu6BkDTXLO2QqJ2H9/HRLhhiZ3wAliEhoU/37jO7QwBJju8/fMAv8hD3iH8OCDmSkXuf0v9BHNI5/CaRmsSbZIA+e0DI4tX7xHg7OwcHoBihwO8+IF7cpxlKidh4l+j3EHqFBsWfkXYgYSGx3iOOJrnf3sOrxEHgC9JvD3fRimaPFBORiDiKRoxWu4QEyQB9QdNFw0EzYgniwB30ScCIPQCNJH5vh8a1u/fg030gtwudQQqDpJbUASm9Bwxv98HOQ5JQ+mz/U4gb4FG7A/DXLjEJMS7epammETz4lLiDJDbdvo9hEWIkYaRnPz1g5B5Av93fIQV2j0SPpm+HdAdxLJGayEzg98EcmAXQgzAkRO4/YD38gMmxA2127yFUA6bvYJ9YgTq8h1mA8iJV9ikUzO4DEle8SFjuksDvfkoMcB9Cdx/S8ymhRt2TbD7YJwnDXFL/RBwSxPv3ID6kKGg+yIZA7ZGShuLfxStELRIIUmzA6iEpowcPHhLbUuNdcDG9R9qb5ok4lYScgMPwkD6hsXyKPkl8H0L+Sd+QWsXMUW/A8iHJD/VImO+Ri3DX+ghHjyfVcub9yk7Dq/y8IVGF00AuRlXP8pq8nY+khbgbR99+fNf7S/6Ig7gXgBhqCB/gVg3hw9iGeyFSb26HFHygW/UFT+kD+4Kndau+4I99YF/sz92qM3H7PrA78Rtv1x+7l7dryl7o7Zqys3q7puzT3q4pu763a8oe8u2asiN9u6b7vabedHz3lpMDh/x2zCC+/e2acghwu6YcKdyuKQcUt2u6j7jjA2nD/X0wEGByO46SIOkDpU2irNv1x8FY0N+mpvduySa3b4kAcNBy3JK+YOB7Iat5r93S/ECW74VM+DUwQfwasuf7Y3JvH4HwreaEm96Os6BX74W66v3HxzH5IJDbjo8D+1shLfH/rZpKmuB2TTmbcLumnHS4VVMM65ZNGeqHsgmP4kNVE1MtZKD3x4Rn6T25gn+oN3nXpKvo114q667LcyWP71IG7Sj5fwBZybsJXRMAAA==</t>
  </si>
  <si>
    <t>D2136A06257EF84FD8557313DAA5925A</t>
  </si>
  <si>
    <t>JChemExcela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NPzvWfql/vai8435XNrQX+VH6bu9zz7avj/+dHfn0/s7Ow8PHuztH9z7NN3+dPxwf//e3sO9vZ379/fo4/5H9+6nvTcPeh/t7/bffJBuH4z3Hhzs7Bzc29+7d7DzkCjU+yjdfkigdj89eLD/6f7ezsHDfYK+T40+ffhg5+GDTw8efnqwsxf9aI86pP52D+7f36H3P6UOd8ef7jz8dHfvwb17e/s7D+5Rqx168f7De/eok/3dvU8ffkp0Jw67/+DB/v37uzv7u/fv3Ts4SPfG9x7u7u/tf3pvb2//3r0H++m98YM9anDvwX2CtLu/87D3ycED4rCd+wcPDmi49w8e0vj3008JEIHZffjwwYO9BzSa3gf9dx4Q4E8Jvd3dh/fpIa55SG0eHuzt7O3v3ju4d/9+/4PuO/spycK9h/f2Hz68R4PY3b1/8GlvVPdiVNvdH99/4L93/6P0eg9y+Cl9RuPd3z8gGh7cf5DujB/u+R89eAgCgxVoUggJ4oVdkgGaB5pc7zPib3S8F7Sj+bpHXXif7Ty832u3c9ADR1PRe/PTPiL3euh+upveYlD793qtaNa+dqsIXlH6fC30qcveR7dC4tNP+1gQJ/Y+OyCu37sXwu9+wjTcIaV512rNo8eTajnzfmU1+io/b/ZUk36UVvUsr4nN8CKaRBpC396qIbSybbi3oSF0960gQsPfCiLswK0gwlrcCuI9v+ENEB/eqiHM0c6tWoolu13T27dk03i7pmxBb9eUDe3tmoIAt5t3Mdu3a8rW/XZN2Qm4XVP2FW7XlF2KWzUVz+NW7CcOyq2gYli3bMpQbzex4hndDtd9OFC3g8p+1u2g7gRNb4R6Sx6Ak3dLHoB/GOUB/qF69a7xXOnXnld717m8yeO75EwfJf8PXWXcXGgLAAA=</t>
  </si>
  <si>
    <t>CB29632A6760689E0A9AC225D6039B12</t>
  </si>
  <si>
    <t>JChemExcelx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9ZeXObB7c73KabDpl+lJ+kL/7/+G/77k/+O/Fx+l7/Y+++jBeP/+/r39/U/39w/uPXiw/zD9dLy7t/Ppp/fv793b2Xn4gDrvfbKfdl876H0SA7Q/fnDw6cODT/d3dncPdj998DDyyb3xvb29e/cf3vv0050Demkv3Rvv7z7YfbCz8+DB/fufPri392m00QF1/eDe7sN96vvBHjd6cH/300/3CJ+9g53de/1GNBCa4oNd+nT3/kPCdPfgwae9jz49SHfGu9Tb/YcPDw7u7T548Cma7Yz3Hn768N69g71dAvbw/qd793t43TsgNtp7GGJxQGM+2Nm79+BTeu4/ONj/KL2mmdgff7r70HsOCNrBfvDJPRrBvZ3OR7vj+/uEzE66vTN+QFTynv10+9Px3t7Dg737nxLiO0TEg9PtXQzx/r0AzAOCvLN7/+DgUyL1vXsPiOIPCOiDT/1WD9HF/gO/FY073d4dP9zfuU9D2/l0n2h7/0G6fW9MdKMuiBMIxr0H1Gp/vE/EObh/f//h7g7N9H20IrJ5rehFTHbno/0x9YdOiYoPHxK/YFT3Ht7bJcY6wAw/3KNW98cHNB27e/cP9veIzPd2+0jcuxeh0S6J510rn0ePJ9Vy5v3KAvsqP2/2VGY/Sqt6ltekafAimkQaQrJv1RDybxvubWgILXEriNAlt4IIjXMriNBLt4J4z2+4CSLU3K0asjK8Vd+iM28F9MGtW7ICDpuijSj3o+/Ke/rXZiC34wZR9rdryjbhdk3ZdNyu6d7tmwJqyEBfgzZszW7XHwYcco3Xw7dv2d89WM0PRPq+WN0+zvxDdcdd4xjQrz2n4a7zKJLHd8lXOUr+H0xHfFXHCAAA</t>
  </si>
  <si>
    <t>4C5E52F6BD14E19B95CCF5574B9A7D2A</t>
  </si>
  <si>
    <t>JChemExcelj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78vg7/kkxfpi4/Sd3uffbQ/3tnZ3bn34N6n9/cP9nd39u+ne+NPP31w7/7B3j59+OnOg53+R2n3tftEkXv39h/sfrp/8ODe7h6h2fng3sPeSw96cPfu9eD0AO3fv59+Su8d3HtIrzzc3d/ZPdhLDwj23s6D/Qf3dh5+erBH5Ol+st9968FBD8797lt7u71P7qUPCaH7D+7fO7i/9+Dhp3uET2dku3sfpddE3G1C/eCh9zxIt/fHn+76Hx2k2/fGOw86H+2NqTf/o3uRZvei0HbGDz71P6Jh3hvff3Dv4af7O/u79w6IhA9Ot3cxqYTb7v1PafB7e5/u3XtIn36a7o7v3wsgomGIzINeo/v7QGWPwD88OHh48ODTe3sP73EnQOfBjvfsPiR0DvZDeN1hYIZ374efdN/aBfvc2/Vh79wn+bprBezo8aRazrxfWeJe5efNngrdR2lVz/L6s4/28CKaRBpCNG3D3Q0NIcC3gggxvxVEKINbQdz1G26CSF0/uFVDaKBbdU0NH94KImuzW4EUpXcroKIbbweVVejtoLKmvRXUh0HLG1G93byLhr9dUzYEt0KVm7pJ3QgVMxCdVv6hMnXXGDj6tWf87jrLmDy+Szb3KPl/ABR9zMSPBwAA</t>
  </si>
  <si>
    <t>527BB060465ADD522D0F3B2D32A1CE45</t>
  </si>
  <si>
    <t>JChemExcelJ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uV/154/7pPvjSffJS+2/vso4Pxp/f3Hz58eO/ezoPd/d2He+nB+N7u3r3dBzsP9/b3dvc/PUg/HR/s7zy4t//wwe793Z0DQujT8f7Dg537ew/u3dvbPdg5eJA+GH+69+nD+3uf7t4/uPfpDiH2cLzz8OD+vf0H9z59sP/ppw/u0yf7+7t7u58+fHB/597DfSblzv1Pdz598Omn+/TWbnpv/GDv3s6nB5/u7ew8OPj03v1P6aN7Bzv36PeD3QcH9x9S57vjhzsHBzv7e59Sx/f37t9Pd8YPHjx8uLN/78HB3v0H9/b2PqVGu3t79w8+/XT30/v3d3b2D/bTvfH9h/u7nx48uEf47Dygz9L98b19H4M96u5TQuEBDZXHvHdvj9Ck3oJGfcS7bXZ7oHc/Sq+J3p+OP723e3CfCPtgZ4eocABg93b26dNP9/b26RN6k965v080vPfp/oP7RETCavfBfSL+Hg2cxkxDpdHs7j349OA+TdmDvR0aEg/wYJeIsvvp7j3679MHBGrnYO8hDQYDpjm9jzY7NAE7e/Rjn0hDXNUFTszWQ6GH5W4Pdr9/mr0Ill1SfUq8s/epx00P++TEFD/8NMD703R7Z0xvPyCsH+zuHuxSu4P+Z/v7JHh3reQdPZ5Uy5n3K4viq/y82VNp/Cit6llek8rAi2gSaQiZtQ33NjSEZN8KIuT/VhChJW4FEbrkVhD3/IY34Hhwq4ZQYLdqyGruVkiKNrwVUFGat4PKuvV2UFkF3wrqw6DlRqAYlZv3jU1Z9d+qf256uym9d+uWsDa3m30xTLdrqvbrNk0PhpryDxXpu8bw0q89o3zXWezk8V3yBY6S/weuNeRfJwgAAA==</t>
  </si>
  <si>
    <t>1C4E72E92FE2872C49033524BEFDE8E7</t>
  </si>
  <si>
    <t>JChemExcelC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by3wv+98v0y4/Sd3uffbRN4/r04c7evXv7ezsP8N/+6fbup+n23vjTnf0HD+8/2H147+Gn+3v78jlhfu/epw8e7u7tHuwd7Ny7fy+llp8+uHf/YG//3qf3PyUQ93sf9V7b70P6lAjzgBD5dPfe3qe7Bw/u7+5yj11Ye/c+Sq/3MCG7+w937j3Y/3Rvf2dn996DT6n5fQJ7/95D/9knCPd2go8+jbXavkcIfbrzcGfnYP/BvQcHDx8IIXbGDz4Nmt5P740P9oOPPk33x5/u4Z9d/+MDmrK7ds6OHk+q5cz7lSfxVX7e7Ok8fpRW9SyvP/toDy+iSaQhZts23N3QEDxxK4jgnFtBBH/dCuKu3/AGHB/cqiGY+lZdP2DW70PkH0r8u0a46Nee4N11Upk8vkvyfpT8Px4RqCwLBAAA</t>
  </si>
  <si>
    <t>DAF727CC3DB003B8EDA5839E5537D394</t>
  </si>
  <si>
    <t>JChemExcelPA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SE+8//Svj9J3exjovXv3Pn3wcHdv92DvYOfe3qdp76P9dG98/8HD+5/e33t4b/fT+/v3dz+lj3Z3Oi/ujO9/6n90jz7ZOXjw4OHew/s7+w93Pt29t5tuE/gHnx7c29852P90597DvXvpNoHf29178GB39/7BvYe7Owfp9r3xw4P7D3f2d+/vPCRs9u9Ts/3xvZ1Pdw4Odu/vA+bD+2i2++kufbu7d+/+/QcHOw8B/9OHD3Z2D6jh/qf39h7sffpRek0j3d4ZP/j0ofccHKDnezv+Zw8Bcm/3/u7Bw72Dg/v3dvZ3HqBjGtXBLkG79+ne/sP9e/f7n+3332T4D+49vLdzb3f3wS6hfPDwUzQjPB58ur9HQzsgiu3ymw/vHRD+Dx5+un+wt3sPw3hw8IDAPHhAo6MhE30xgvsPdj6lNjsP9u7f3935FO327hF97x/s7u18ukd9gHPuWtY5ejypljPvV+alV/l5s6fs9FFa1bO8JlbAi2gSaQimu1VDsOatGoKBb9UQbH6rhnu3bQipuVVDyJZtuLehISTwVhBZTm8FUsT5VkCN1N8C6oOgpQeUfyib3DXaiH7taaq7To0lj++SgjxK/h/cDD80PAUAAA==</t>
  </si>
  <si>
    <t>6B2EF057CD33E20A453D5BC48D6D1B22</t>
  </si>
  <si>
    <t>JChemExcel8w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Gv73Zfoi+PuF9+9J+oz/e+F9Enz/UfpuD1Nx7969Tx883N3bPdg72Nk9OEj3xp9++uDe/YO9/Xuf3v905/79/XR/vLOzu3PvAX2wf7C/Q43u03v7D3Y/3T94cI/epWF2P3nQfevhvR7oB+mn9MnBvYf0x8Pd/Z3dT++lB/TW3s6D/Qf3dh5+erD78OBWbR5S7/cf3L93cH/vwcNP94isxDiffvpw/97ewwf7n+7t7316EPuo+95+D/aDSBsCdP+Ahkot93eJfvfv4aPdHb/VfYJ0/9Me7IOHB58+ILj79w8IQkrsSzQinHYJ0N6nn+4T8D3C4N7u7h71v39/797O/XT33tifpXv7u2j14EGn1e54757/0ae9iXvQm4K0ywEP7qfbu+OHe0Sfg729Bw8I94MHp9vE8Nt74917Ow8e3qfJIFCAyJ93IfTmef/hXq8RCQ3Bu7d3cLCzv7t7//7ew/39/QPTz/179x4+oBd29oHRvU9j/UQYikbd++jTTz9Kr4nTtz8dP7y3457ddPvB+IH3wc7OQdpttPOg34ro83C8t+9/RDhDT+3e0OxBpNm9OLTd8f373c9Arq/b7t744FP/M+p2d3/8aTDWewPtPh1jsnYfjHce3N89eEhTdp8mhui3Sxx+7yGx8b29eyRPD/cfRD7b77/KhHg4fnBw/8EOmkA4PgXbxUazQ+38z9Bub3xw4HGCNNtDn8SXB7sPdh9++jDdJo300H+TeqUhB6Q56Ld6eL/XjJT+9j0SXf8jkl3wrz+Xu6BWp93OAYGjIQQsRPqKRIwYlNTCg3skZPfvPdh5oDxO1HPPwYNPiaFJE3kfPew2eqhMdLAPIboP5faARfM+mbm71s4dPZ5Uy5n3Kxu+V/l5s6e276O0qmd5TVYBL6JJpCEMlm24t6Eh7OitIMLa3goibPKtIMJy3wrint9wE0Tq+uBWDeEu3KprOAw7twIpvsftmrKLcqv+xZO5HVR2eG4Hlf2i20Fl9+l2UHeDpjdCvd2cit92u6bs3t0OV/YCbwVVnMXbQX0QNN2IKxC4nSxjYvduxwPizN6+6e14gJvebmLR8nbzKn727ZqyO36rGRCv/VZQxbm/FVSJAW4HlUOFW0HFsLymN0K93bze20eMcisEJJS5HVSOeG4HlQOj20HV+Ok2UPeDph5U/qEG864JIunXXoB510WfyeO7FNceJf8PzS8PxPMOAAA=</t>
  </si>
  <si>
    <t>388E2640108A833CF96C6BA81565FDD5</t>
  </si>
  <si>
    <t>JChemExcelw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v++TF/Yf91/L+iTL+nnM/7v5CMZfnkyz+oLenUnHf5vl/6/ves++Ch9t0dvjO/t3NvbffDw4GDn3v17D3f3P02JTvfuffrg4e7e7sEefXwv3Rvff/Dw/qf39x7e2/30/v59Gsv+eGd/f/fh3r29g737D+l1arS7E7x2P90Z3/80+Gg33aYe93fv7+7sfvrpg529ew/2D+5Ru52DBw8e7j28v7P/cOfTXQKa3hvv7BwcfHqwT1DvH+zv7+1Tn/f3d/YJ3b2He3v37x/s0qzu79//dG93f/fBg/uExi61OSCs9j99ePAA6N1/SID2Dh58enBv79OD+/f3dncPHhCq9w729h/ee3iws0ODB5wHe/v79z7de3D/4f5Dwix9MN4DQHr2D3Y/Pdh5SG12qP2nuwfUI2FAw/t0/PDBg92D+7v3Pv107x5hnR6M79NI9g+oJxrI3oN7BGf33sHu/YOHD3Z27t+/R63pNYJIiBDldx/uPCSKEz6f7u/u71CXn+7tfPrg/kfpNU3O9u6YyE2fPfyURkB47D1Mt6ktUZEGRUQ8eLhHXd3b2d958Cm+eXDvIYDSiIiWNCXb+2OiPvV2b4/Gtv9wf7//0f10+/6YCEWTsY+x08f3+/APIs328RHh9WDv4NNPd6nZLrB4MN7ZJSrRtNLHRE568WBM87OPmX7w6b0He/jg/gOaUvqemj68RzNCr927t3cfGD18QGT5lJB/OP70U2LEXeKDhw/2P93DJ/eJZQ4e7NJkE0MQZ26TVO8QTnvEUMRL+8QX6TYRmDDc38Hk3SOWOcBHnxIzUX+ffrpDDE+DAxY0M3s7+zSF90B6DIcmaOcBDWjn/qcHe8QGvSm4d580wl2rEo4eT6rlzPuVdcSr/LzZUzXxUVrVs7wmXYYX0STSEMrkVg2hcmzDvc0N798KItTXrRpCyd2qa2p4cCuIe7dtSDg+vFVD1r+3QlLU9K2Aija/HVRW+reDyrbhVlAfBi03AkX/t5t3sUm36p+burm/kVa3m1QxhLduuufm9camt5vXPTG+/Zb8Q2X6rnEJ6Neeu3DX+RLJ47vkpRwl/w8lXGhOwQgAAA==</t>
  </si>
  <si>
    <t>63217D593AE5C208AFF91077C48CE62B</t>
  </si>
  <si>
    <t>JChemExcelb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n6Zf030nw35fpC/r3Bf/+mn5Si49k4OXJPKsv6MWd9Ob/dun/29Tju73PPtob7396sPtg/97+/sHDe3sPCbt744Od3YP79/Y//fTB3u69vQeRT4iK9+7fv7d3/+Dg/v7De5/eSz8lQA/3dncf7O7ce/Dg3sOD3icP0gcEZ+/g4c7Bvb29nfv79+6lDwnOp/c/ffjw/v7OPYL/MPJJ/63uJ7u9tx70ev+098k+wXmwe3/n4YMDosDu/gHN1IPx3r2wzf0xQfU+uUef7O3do6Hfv/dw597Dhw/up/vjBw/3d/b29vd2D6iPg/vUZn+Pvvz04D59dO8BzfW98d6ne/v3Dx7s7D188PBg/96Dj9LrPXD2/t79nZ3dXXr93u7Op59+mu6Ndx92Pro3fnCv81Hvxd3+i7339vcJ2fs7/kf3e43u9wDdv9fvLt3eIVHaf/jw4ODBg/ufEvfs79/DhwcH/of37/c/u0efEePtdT+7N753jxjtYPfTT3ceEry9dJtJe7B7f496fnjv4MHD6Ee9F/fT7U/HO/s7D3Z27z3Yu39vd+8hNXsw3t+n3nYxkTs7D3eo1f0xAXiw9wCT+fAhjY7k/K4V9KPHk2o5835lyX+Vnzd7KvwfpVU9y2uaR7yIJpGGUBG24d7mhvu3ggh1c6uGUEq36hqq61YQoeBuBRFq8FYQWVneCuT9oOUmmKJ9b9eUlfSt+uembio3QmWVf7umbBluhwAbkNtBZTtzO6hsjm4Hdf/2TQH1dhwgdvB2uD4Uc9mHyj9UVu8aA06/9oz7XWf5k8d3yac4Sv4f/TjSqG8IAAA=</t>
  </si>
  <si>
    <t>E0893EC2CFF202F92C2353DDA6760743</t>
  </si>
  <si>
    <t>JChemExcelP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4r8ve/+6/57xfy/o8y8/EiKUJ/OsvqCXd9Lb/bdL/9/e/Sh9t/fZR/fH9+7tP9j9dP/gwb3dvd17D9P98c7O7s69B/c+vb9/sL+7cz/dG3/66YN79w/29umzT3c+ffggJZLeu/fpg4f0ysHewQ790W31IAKo+8mDtNP9fg/w/XuE6vjezs7D/fs7ewcPDh7sHNw73SbCdls+QI8P9j/d2d958PDhw/1PP/30ITf8dPzp/v7+/Qe7uw8f7t2/d+8g9vp+ZAQPep/s99/79NPuRyAYDcdvs59u74z3dj69t7dDQ9h9sPvw/r37PLBgCHvpdpfWn/Zb3f8ovaaZ294ff0oj8p50m8h54H9ykPZaPei3oj7ujZlo/ot7RPXgowcYxINPu591XwW47ruRHvbv9cHdP6ApfHhvb+8+/Xdv5wHxzAOdrPv7O94DEt/b9T/Ze9BrtIOP9vb3d+99erC3e39vZ/fTT2Xu740P7gcvH4ARH/of3UOjfR85GkT3vU8jY9h7mD6kObz36cP7Dx9Qp/sP7nOfPZqQTnp816qYo8eTajnzfmWd8yo/b/ZU7XyUVvUsr0k34kU0iTSEcrpVQ6gw23Bvc8P7t4IIdXirhlCat+qaGh7cCuLubRsSjg9v1ZD1+a2QRMvdW8EU43AroGJDbgeVTc3toLJFuh1UNly3g7obNN0IFQi4ud/YlC3m7ZveblrRdM/N68amMM+3m1ix5rciFjeNTiz/UPm/a9wR+rXnqtx1fkzy+C55SEfJ/wP59IrcPQkAAA==</t>
  </si>
  <si>
    <t>D8338898AD3787ABECD93B09B4F8CD0F</t>
  </si>
  <si>
    <t>JChemExcelT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9CT9Mn2h/+Kn+Q9/f5l++ZEMsDyZZ/UFvbCTDv+3S//f3v0ofbf32Uf3xjv3Pv303oN7D3Y/3b9/cLCb7o3vf7rz4P7u3s7OvZ2D/U/37qf3xvuf3n+4v7N/cHBw7+Dgwd6DlAi+F7TaT3fG9/f3Dz69v7N38PDB7s7+vXR7Z/xw9+GDT6nRp7t79/Yf3vuUXnzwMHix98nuAXW4u7e/f2/n3t7e7r1P9x8+uNf/iN47eHBAXe7e33nwkCA8eEC437vvN7oP3A8e+h99mu6P7z3YuUfDfXhv/8G9h7v4hAB8ukv/2/n0008f7uzTJ7sP7u3t39892Ll3b2f3Qfrp+N693d2De/f2Ht6/R5S4/1F6TeTbvj++93Dn0/uf7h88ePDpAyJluv3p+OD+/b2De/f39g4I6M5eun1ATLe7++nDTx/u7z58eG+v34iIFQG1T/TbfyDY7j18uP8AH+3ToD99QHD27n368D59tDd+uN/7aPdB56Od8af3/I8+fUAztvfpwwd7ezsHD/eIGPdp0jAb9/Zpqoja9w4ePDw46H3ycK/34t6nRPqHBzt7NB7qbO/+/s5D0PngwQ6Ra2eHZmKH+HtvfLD7cO/TXZp1em1v794Dkpq7VmyOHk+q5cz7leXoVX7e7KkofZRW9SyvSd7xIppEGkLgbMO9zQ33bwURwnurhhDxW3VNDR/cCuLubRsedBuixes2r/MqnVbLS1IlrBW/ePr8I++Dn8zKNamLfQNZ3tjYzcNbjZA13K0wF0V4K6CiL28HldXq7aCy9r0d1J3bNwXU27GNqP3b4YqmUY7gHyo8d419ol97tuuuM2zJ47tkMo+S/wdTGciYTgcAAA==</t>
  </si>
  <si>
    <t>9F2E022941DB6AAA9BE2339C0E415065</t>
  </si>
  <si>
    <t>JChemExcelb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pMU/35J/8nvr/lf+flC/3/ykQy8PJln9QW9uJPKf7v0/+1d/SP630fpu73PPtreHR/cu//w4f7DT/d27+3f/3T/IO19dv9+ur0zvr+zd2/3/sH+zr2dT+/vPfw08tl+5N17/c/2d9Pte+PdTx9++mB/5+AeffzpDuFKrXbvfXpv72D3/t7u/Z37e+keNbq/s79H8O/tP7xP790b7z88eEBf793fffDg/oNPH6T79B612Pl0/8HOzv1Pd/f200/pvU93Hjx88OnBwb179EX6gN57+OD+wcHDnU8/3f304B59gib39h7Quw/vHXz6MH1Ibz3YOdjZ2Xu4t3fv4R4+eXjP++ReejDm9wnM/f17u3sHBylx0/6nB5/u33uwf7DzcHfnwV66uzfeeXh/Z/dg98HB/t6Dg539dPfemAZ5/2D34OEDItPD/X28SH8dEAz69+GDew/vf5ReY0YOxp8+PCC63bv3kADu7+yl2w/GROTwo0/H9w78j4jMRIj93kc7Dzov7o3v3+t81H0x0uO9aI+3w+t2sAiJ+0RrYoadvb39vU8Zr/v3Pn2IOf2UJvEhSdL2/fHBgx1iuAf3DnZphsCtD8Y7xC17Dx58+nCfeOfefYDfIba8TwB3PyVGubd3H8327x3s79Jnn957iPfxEXElTTQxwMHepw/3CAsi/sH+vZ39B/sPiDcIb5L7u1bwjx5PquXM+5U1wav8vNlTZfBRWtWzvCaNhRfRJNIQKuNWDaFYbMO9j6TF6zav8+roRN7SvwZBQDHdqi+or6CvDQ0f3AoiYX9wq4ZQmLdqyGr1Vi1F+96uKSvp2zVlXX67pqzyb0VQsQy3g8oG5HZN2c7cDoF7QdMbod5uVsXA3a4p28HbN41OLP9Q2bxrDDj92jPud53lTx7fJZ/iKPl/AJqkoKhvCAAA</t>
  </si>
  <si>
    <t>D4C6BAEE086E64DE29388712AC6CE549</t>
  </si>
  <si>
    <t>JChemExcelR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pPb/Fd+lL7b++yj7b3x3qcP9u7v3995sLvz4NNP094nu+n2zvjhvXv3H9y/d3B/78HDT+nL/mf799Od8f7Ozu7OvQf3Pr2/f7C/u7sX/2x3/ODgwf2H9x88vLe7e7B779N0b/xw99P9h/c/fXCfGu58+mA/3R/fOzjYefCAYH+6D4Tokwf3CKGdnXv7D+893N9/mN4bf7qze0D/v793b2/3/u79BwRp997O3oODnXu7+7s79N096m73gY/CzgGwv/fpwwNC+9N7+/TewcO9dJum997OzoOd+/cP6OWdew/vgxgHO7uf3ieKPNzb2//0IQ38Hg2c2uzd/3T3YH/v070H+Oj+AQ1p597evfv7Dx/u7PGbu7uf7h0c7O1QHw/p3QdMs4MHNKx7ezs7e7vUyf30gEbuD+rgo/Sa5uXTMb3xKbWhF3Z29g8w+J3gA6Dhf7BLQ7/30P9k5wENnUboN9qjCSGq+B/t7AGx+we792lK6H/7NLiH9zBxn95/uPPp/v1PAYNGi1d3dx8e3Nunibl374Cmham2f/CQ3tl/SJP06e7+PWah+/c+PXhAM7J3AC4B2fao372H+wf39/eJyjTT90C3vYNPH35KBKOZ3b13796DyGd7kXfjXfRQedhHmYbdH9qn+xES7ONlkt67VnyPHk+q5cz7leX5VX7e7KlIf5RW9SyvSe/gRTSJNITg36oh1MOtGkKJ3KohVI1tuLehIRTSrSBCbd0KIpTbrSCyCrwVSNGUtwIqCvVWUB8ELTcCZQ19u6asyG/XlPX97ZqyWbjVqMR63A4qG5nbQWVbdDuobLJuB/V+0HQT1E+HWvIPFdW7xirTrz2LfdeZ8+TxXXIUjpL/B4FxTeFECAAA</t>
  </si>
  <si>
    <t>3B1FC44C2510397ADF2A28C2E9C03B4A</t>
  </si>
  <si>
    <t>JChemExcelX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yp++8F/Wd+/9L+/FL//TJ9kdH/PhJilCfzrL4gADvp7f7b3sX/6L+P0nd7n320vTPe29/bP3iwu3tv5/7DT/cJw95nu/fow93x/Qef7n766d69/YODB58++JQ+2xs/3Hl4sH//3v1PH+zef7Ab++ig/+qD/kf37/W6vXfw6acp8cTD3d2Hezs71Org3sP9/XRvHCB3L703fnD/4P79nb37eH//0/3eJ0Ty+wRob2/v4b0H+/j04addOHv3e53tHPQa0RA7rQ7uPej2d/9+ur1Pg7lHf+4/OLi/T50e9D8iMtwnMjzY27n36c7OvQe7Dw7idH443nvg4/4gJe7/KL2m+dsZ37u/4z33AGD34KH37PMMPLzvf/YpdxS2I2r3oVGjvfCTvfGnn4af3Bvv3/M/2QFtPw36O8Cc7O/5H91nUEGrfXS3639yD0O9t+9/tPPp/d5nn/bfPOBR7z4MUGXGexigT8j2PpNp6FCM2tEQ/I/QbYyKvXb3QVkSvU9paoO290nh3LUa5+jxpFrOvF9ZBb3Kz5s91UIfpVU9y+vPPtrDi2gSaQhdZRvubmgIjXYriNB7t4II7XgriLt+w00QoWxv1fCg2xAtXrd5nVfptFpekqZlg/LF0+cfeR/8ZFauSXvuG8jyxsZuHt5qhGwcboW52JBbARVTczuobJFuBxVNHSdshMr27VZQHwYtbwR6O3YQu3qr/rnpwa2gon83qxv7Z1t+u/7R1E3rDYK4F51V/qEK4a5xV+jXnitz1/k5yeO75EEdJf8Ptnvb7l0JAAA=</t>
  </si>
  <si>
    <t>C4D047E0097A0509FC9FFA254293BEBE</t>
  </si>
  <si>
    <t>JChemExcelPw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uvm/L+m/8O+T4JMX+Puj9N3eZx9t74wf7t57cP/h7v29h5/eu3efOt4Z7+8+fEj/+/Tg4NP9Tw/2CNHd8YP79+4/fLjzcOfTh3sPdh/cT++Ndw4e7D042Nvdu7+3Q1+n++P9vZ2H9x/cu7d/b//gwcEBTcyD+/uf3vt0//6nuw8I0n76gN46uLd7//6Dg52d/YP7D9MDeos62//04cODe3sHD/fTh/TW/U8f3CPQn3668/BeSrO7c/DwHqEIwAcPPyWE9ui1ezv39nY+vX+PKL17j1769MHu7u7Bg939+zv37kc/Ct6iHh/io529ffr6wb37hM4uzRwx2/17NMx9UOTBvYf3CaM9emn//sH+7v19EAttCKH7O5/uPdyj8RzQRBGkBw99SNRqf0zE8D6iVmDmzkefjj/d9z+iET+gSeh8dDB+eL8D/v6YJuQe/Y/I8+DezgOA2t/bpznap492dnd3Dvof7QP6g/sPHhD57+/RAHb396IfRWDd3CFBf0iNCMCDTx8Qug9IBPaIpfbu7+58+uDhp3sH9/doNHvgKOIRGsgBjW5v/8FH6TUxJE31LkHfp8neoXmmB6S+d6/z0ddr9enXbfXgVq1ui9cB8Yn/yT59srMXAv+UWPD+/V3MyP4BUXyXPnl4b3+HRPABvX2w92CfPtn91P/kvsjSp3s0izvE5/v7JIB7O8ScB5/uffrp/T2C2PtknwT54NOD3fsP6R2SUOLlB/2PaMIIoX2gcrD3ELO41/sEkvM1xx97b4+EokPweyQUN7Tah8w9vN/5qIvDvVthShbl8V1rD44eT6rlzPuVDcSr/LzZUxvxUVrVs7wmJsaLaBJpCMV+q4awN7dqCKt0q4awXbdqCAt3q4awg7dqCGt5q4ZsU2/VUkzv7Zqyhb5dUzbkt2u632uKNuJPHH1X3tO/NgO53fSJX3G7pux+2KZ7NzW93SQyrrdsClzDGfeo8e1b0oYdp1v1J/7V7ZqyG3a7puyt3a4pO3W3agoW2wun/P1pI87jrfoTH/NWzMBNbzfD4rHerik7trdqKv7v7Zvech4P4E1/IMXFHb9Vf/f2xWvvU5x/qA25awIS+rUXrNx1kUzy+C7FSEfJ/wN5wyqTPw0AAA==</t>
  </si>
  <si>
    <t>92EC17153A91EFC687D646018BC23753</t>
  </si>
  <si>
    <t>JChemExcel2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Gv73Jf3/hf39S/s5/fdR+m4PRLp3796nDx7u7u0e7B3s3Ns/SPfGn3764N79g739e5/e/3Tn04f9Tx6kvff20+2H492D+/c+3TnYub/38MHuw/3TbUJ8e2988PDThwcHezv7Bwe7e58e8MddAPfuUTf3Hzy8/ym9fG/30/v796nVHs1M0CrdGd//NPhklz7aOXjw4OHew/s7+w93Pt3FZ9s743v7u/d3d3YJ9Z29ew8AbWe8d7B/8On+HkG4t08D4naf7u3c27u/s7dPaO7c30EXOzufEqj9nfv7+zufHtzb2XmIYRC4g4ODB/v3Hnx6b5c6SvfHO/v7uw/37u0d7N1/SEOkT+59yt/f29vdfUgDvE/Mc7D3cGcHg93bvXfw4F766fjhAyLYp/ceHuwD4Z19+ujT+/f2Pt2793D//gHRbhc8d3Dw6b379+4/3H94f/fB/Y/Sa5qvvfG9nYf+A0re39/xnt30YLxHpNnd2Tv49OHDvf2H92QidsYPPg3e3aN+aUr27+1SXw+I5A8f6NyEEHfuY/idjtPte+M9kOTh3gFN+87+zoN0e39MU3Ow++m9vXufUsdE4/5n+/03D9Lt++OHe/dppqjBQ6LDp9TqAbHI3n28Q/TaJR5Ktw+IRYhoB58+2CU2vEcUJ657CCD00f2DewcPH+6j1f7ug/0H+weYiQc0vUD/wb2H93ZopMSYe+DGdHt3TDP38D6xwd7Op3v0KbPDA8Li04ef0nD27t/fAbjd8YODB9TFgwfEkwe794EujYC6f3Cw84CaHtBk4yMi7wPiLnrrgJiUpP+uFf+jx5NqOfN+ZX3wKj9v9lQlfJRW9SyvaYrxIppEGkJx2Ia7GxpCvdwKIpTQrSBCVd0K4q7fcBNE6vrBrRpCP96qa2jRW0FkXXurlqKSb9X7g6DljUDdjG9syqbgdk3ZYtyuKRuWW42Km95uQmGdbjejYsxu1z/bvNtBZdN4K6hiQW8F1RjaW0DFsLymHlT+oeJ/13gK9GvPi7jrXIzk8V1yXo6S/wcOZetU2AgAAA==</t>
  </si>
  <si>
    <t>0B024AC3A9165DD32C82DE3847D7F52E</t>
  </si>
  <si>
    <t>JChemExcel8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t9kZ7wfy/4//j3S/2/+Yb++kiGXJ7Ms/qCXttJ4/9t79I/u+6Dj9J3e599tDd++GDv3sHBvf3d+zu7u/v3093xp/cOHuw83Nt9+OmDe7u7O/fSnfG9nfs793Z2Hj442L+/8+DTfYI23tk7+HT/4c7evYcHew/vP7wf+exeur033n94b+/Bpzv3H+48eLD/8P6n6fa9MX2//+n9e/v0+YOHO/v9Zp/2OkUPPdwO0u4AHvRfvB8bwO7e+N6e/+KnKTHMg4MQ1u0+ejje2w9BHYz3A6w+TT8d0/j8tz5Kr4n+RLP79x76z266TT182v2s2+7gfrQdffRgx39AtL39+wcHn+4+2L1378H+7sN9Qu/gYJdIsfuQGu/u3d873SZ23O62PLhHL9/f98EN9HB/P7033jkIW9I80+z6ON8DzvcOdnfu7+4+ePDpp/d379/bi362O969f/Bw/+CA5uje/gERmbCjefdb9V8kniP8Ht7f+3TvwcP9/d1P9wjAQeQjkuK7VoyPHk+q5cz7leX6VX7e7Klof5RW9SyvSf/gRTSJNIQCuFVDqAnbcG9DQyiTW0GEyrkVRCimW0GE+roVxH2/4Q04PrxVQ9aZt2q5d+uWooRvNSB0f7sJhzK/3YyLzr9dUzYNt296u+nkprebJ7FHt2uqZqvflH+oRN01RpR+7RnYu876Jo/vkl0/Sv4fHILAwfMHAAA=</t>
  </si>
  <si>
    <t>D7795D01CD1113834FA5FBDD7FA70538</t>
  </si>
  <si>
    <t>JChemExcelC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LFv+a/L/X/Q//Rd+VH6bu9zz7a3h/f33u493D34YN7e/fv73x6P419dG+8+/D+p7t7B/d39/ce7Ow93E+3d8cHn+4+vHfvwd7D+w8PHj7c/zTd3qFXD/bu73+68+DBg52H9w/6rx582n91r//m/Xvpzvhg5/7+3j69uHP/wc7Bzn7/o4N0b7x77+Huzr1P790/oD6IivfG+w/2HhzsPbj/4MHuvd37e/02+7GP+u91P7nXe+2gjybNUe+jPfro/sNOfzTmXfry4af3Pt3f3d0/oNHcB20e7AYfPky398b7B/5nxDq9dsQ6PYAyqk8fBB3fTx+MD+4Hg/govSZeOBjvHOw/dM+n6afj+/vhJ/fHDx74nzzkNvf58/vp/njvnv8tz8Wn/ieYr08fBhD2093xw737O97zgMh17yD4iKRgGx8Gr97b7zXcA2Ue7oU4bnfReAguD3El8nUH9yDd7lIg0ioG634Ei32gsXf/ANOxt3uwd7Bz795B/7P9B/F3wUC79/Z2Dh7QtO4+pBmOf9Z9l3Ah3Uea6q5VVUePJ9Vy5v3KuutVft7sqfr6KK3qWV6TjsWLaBJpCCV3q4ZQhbdqCIV5q4YE8dNbNYTyvVVDqGjb8N6GhlDkt4LI6v5WLcUq3K4pGw/bdO+mprebIDFFt2vKFut2Tdmw3a4p27/bNWUzebumbE1v13T/9k1hj283sWLGbzVbYu1vB5WdgttBZd/hdlDZxbgd1J2g6Y3EivIA/1AddNe4VvRrz+2663yy5PFd8vaOkv8H6lOFVQkKAAA=</t>
  </si>
  <si>
    <t>1C0B048DEA45F3DEB092B0E71CA6286E</t>
  </si>
  <si>
    <t>JChemExcelkg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7tf5TmZY4Rvble5USg1P/vy8hv7hP5D7+9oP/MZyflR+m7vc8+2r43vv/g0/29vd29/YODTx883HmQbu+N7x98en/v4d7O/YefPrxPKG/vjvfu7x3c39k52N+l/w4e7KY0GQc7B3sPd+49+JSa799/uJfujunL+zsHu/cf3qdfDogCe+MH+we7Bw/2Dnbv7e99SrTZpxd3Dz79dH/n3u6DnU/v79LU7e/eJwj39/YfPjz49OB+r829HpwH+73e7u33kHrwoPfRpweR8Rz0R30vJeLQX3s7B/f2Hjx4+OD+fYLW/yzdvk/A7h0cPNjff/jp3n3QYftTAvbg/qef3n9AiN37lGY39lHvxfvxz/qodYd+f69HoIc9ssY++ZTeeri3t/8p0WXv0wd7fUL3Jmz/oNv9g0/vRdmByEwIf0qDPXiwc39v7/7OpykJ8cO9oMeP0mtw4t7404fEWA+IMg92iR/57d37u58+3D24f2/n4OAhzcgOIed/tL8baXYQaXev3+7+/X67Bwfddg9pZA8IMfp1d58+3N1h8t//1P+IJLXb6n6v0f2H6T3SYf5Hn/Ze+3Q39l4P+P4tSfFptF0EXK/T/R6ykY8g3vfuhcPutrkHtRAC3+1TYheyG2K1swtp27kfzBk+OtjzP/o08tn+g/6r+5CjgMWIycG2pO/vWoV/9HhSLWfer2wBXuXnDfEoLADZi6qe5TWZro+khdiOo+8+vuv9JX/EQdwLQAw1hKm5VUMYpFs1hNm6VUMYt1s1hAm0Dfc2N3x4K4hsTm8FUqzurYDe77X0Zurbt5s3MfC36k78gNsNAk1vN833ei2/xiDYM7kdZuzA3Aoz8XNuBXUvaLkRKDtOt2vK/tWt+hc37FZQxVu7HdRPg6YbobL/d6ummIG92+kKMOfeIHPcUjNBoPZup0lAxdvxhvi2t6IiN73djKNlqE/ef7jiad+qO256u/ndh9v+oZjB7X8/SecfarXumhiHfu3FP3ddcJQ8vkth11Hy/wAcOTdIkg0AAA==</t>
  </si>
  <si>
    <t>97DF1642FCD089D5C764671DF3B8FE18</t>
  </si>
  <si>
    <t>JChemExcelL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d2P0rzMgfSb65XOdEglf++TF/ob/jvBf0tP91n7lPz37OP0nd7n320N97bf7B3f//Tg0/37j94uEP974wf7O883Hlw72B3d+/BwT6hur0z3jt4eP/+vQf39z79dP/Bwwf7++n27vjBw/sPd3Z37j948HD/4P7Bp+n23vhg79N7n+7tPty9f/DgPj7Ye7D74ODB3t7D3Xt7BO9Bun1v/ODBwe69/fv39vc+3bt3jzrYHxMSO3s7D3bu33/48MH9h2i1t3eP/rr/YPdg58EuUQs97j7Y290jJD59QE0PGIu9fYL86c7D+/fuPfyUsKYR7H16f4fa7TykIe1Tc4yAhvjg/i41PTjY39/99CE12z349N49ep2+IUT2HtxLd8efPtz7lAa4d+9gZ+/TA8Jtb7z76cH9T+8TAXb3abT76b3xpw/2MZydnb0HO7uf3nuQ7o937+88ePjw3oPdT3ce3D+4R42ofxrb3j0a6/7DfYa9e+/hw52HhO3B/sHBvX36aJcQ3tl/QN/sP9j/9N59eu/+Q8Jln+Zg9/7evU+p1R4htbtz7z4BBGXvf9prRB/dH+98unNAKO7v7+1/SjPZ/ST9dHzvIdF85/6nhOL+w3ufpg/GD/YOiEqfHmDqadCRT7pvPUgfEtzdA3qIvPd2d3YefJReEyvRhO3uf0o8cvDppwdMMsMO9+8Rd9E83t85wLQ+fECU+vTg4f4ukZpg4zOar093iceIYveIEnvgCOIucMPe7n0CRmQgaLsH9x8So92nMR8Qe2L2D2hmdujz3XvEhJ/uY6ZplnYf7BMOewf7D/doLsDSIPoeTQQxxqf0wf7evZ2D/b3dXWL1h7t7DGpnf/f+Pg1/f2eHWJjmgj679ylxHL35AEMgvHbH94mN9h7sEQAw3UPi5/vj/Xv04r2He9QbcQ4+eXD/PtHr4b17oMkDGvcDYuedvXv7NHLiuF1SCPQR8TxxH8ElMu5/SkgQbXfu069E1d2H+wydNBr4B7Q52L9HQ91Hs4O9hzQnOyRED3bApdsHhOo+ScXDhw+JnagdvQmOo74IkXv395iquzQjBHwHvEMjom/pM2JekiUSi91Pdx+SmEPSaEruee3uPeR3iVjeZwfcBcTAwes32x+Atk/z1IXW+4wU712reY8eT6rlzPuVVfGr/LzZU238UVrVs7wmk4EX0STSEDrbNtzb0BCa/VYQof9vBZEafnoriLAlt2oIi3OrhrBLt2rI1utWLcXI3arpp7duKVbzVtTcC1reiKmb9E1N2VjfqqXY9Ns1ZdN/u6bsIdyuKTsSt2vK/sbtmrJbcqum4r3cqimGddumQOB28ypu0+2Yhb2r20FlJ+x2TdlXux0Ce0HTjVDZ+7tdU3YSb4cA+5K3g8ou5+2g3g+a3gg1ygP8QxX7XeN+06891/yu89uTx3cpIjhK/h8WDch7LQwAAA==</t>
  </si>
  <si>
    <t>3D3A6874CF8C5CF5B09FEEDB2CF2E5A8</t>
  </si>
  <si>
    <t>JChemExceli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vXsfpXmZA8s316ucBp3Kfy/o/1/q7/5/L/y/yo/Sd3uffbS9N95/eO/T3d2H9x7cP7j/cI967n22l27vjnfvP3x4b+9g9/6D+w8ODj693//swX66M959cO/B/qf3dj7debCzu//g3l66O76/82B/7/7+3oODhwe7B/fSvfHB/u7uzv79/YcP9j7do4H123QhPdzZ7X128Gnvxf0HfeiRjyLI93E/uE/g9z+9v7dLcOnz3YMH9w6o2c7Bwe69B7v79OLDvU/36dXtnfG9T/d3Dh4+OHjw4NOdhwBHPdx/uPvp/Xt7O/cIVaLYPe71wQ4hcX9///7BvYOH9x8yte/tP9y/d3+P3t07uM+v7n16/8Eu/U097x3sPUwfjHf2ghHsf5Re0/zdGxOqD+7v7Nx7+GDn4d7DvX0a7O6n/kf3HtAw7j3sfEQoE1Z7+w8ffrqz95AGvI+Z3xk/3A0+/LTf8P7OvWjDbif0UQSVLsL37qX74/0HwYv9Rn1Ie73X7jEp73fRvzfe3SO63P90d2+HppxmGJ8d0If3Pn2w+ykxxqf0S7p9n969v3P/Hk3+wcHezoPddHt/TPz78N4+Jnnn/t79PYZGPR4cPNz59NOHu3sko9QpfffgU5pRYond+/uffsqI7Ozs7T/YuXf/4X1CEty1Q1rhrlULR48n1XLm/cp64lV+3uypqvgorepZXpOCw4toEmkIhXKrhlA7t2oI5XSrhlBht2oIRWcb7m1ueHAriFCat4J4z28IiGghmvrou/KW/jUIgrXzrbASJX4rvETX3w4qm4RbQT0IWt6I6u34Yff2Le93Wcej77dvR20xerfrjm3j7ZqyCb1dU7a0t2vKBvl2Te/fuqmY+Ns1ZU/gVk1BgXhT/qF66K7xbejXnt9z1zlFyeO75G4dJf8PHuPBaIoJAAA=</t>
  </si>
  <si>
    <t>AA4A5198AFADC7468031489590D0C9D0</t>
  </si>
  <si>
    <t>JChemExcelKR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Dz5K8zIHFd5cr3Iiaur+e5F+6f31Jf8f//mfm0/Ddi9sO/n3tbz5Ufpu77OP9scPHjzYv3/v/qf7uw93H+wfpN1PHqb3xvv79+iz/f29e5/ee0Ck2qN529l5eP/e3g4aPji41/vowX7vvXu9T+6nO9QbdfTp7sODBzv47UHvo3vp9s74/v0He5/uPdy7t7u3c+8hoRD7rPsmjaaL1sMY7j20DnofPeij+uluur07Pni483B/b2d//+H+wf7epw/6n/VHRAwVGTeNaP/Th/S/hzws+v4Ane7sBO32dgiV3fH9/fBTGtbO3t69nb17D3Z29u/vfIpP9u/vfrpzf//gwd69gx2eyIcH93Y/fbi38+nuzn1ib+rygEA8uLdDP/b2HnxKH9Fr93bu3fv0YOfg04OHNJKDdPve+N69+/f3Pt0h1IjWuwd76fb++ODTB3iP+jgghqFX74/3H94jxPb4/4C/P75/cLBHTHT/wcHDew8Y1A4RfXd3797Dnb1PP7338B7e29ulVx7eo7b3CLF0+9Pxg/1P93bv7e48oD4/xUcPaID3d/YePPz0/t7D3XskbPTeA8LnwcPdHZqMBwcPgDy136Vhf/rpwcG9+wfocXdMSBGUnR1qvX8vyoafElPs7t7b+/Tg053dhw8OSCRJM30afHbrj+6NCYPwI5rGBwH8j9Jrkj7ixX1CbY+YZGdv52AfLPzpjv8JzSNN0u6n9x/SvD8grqDREe69doRwH9jemKTC/+RTku79+/5H93uN7kfa0ATt+Z/sEcGI7bxP7qUPxvfvhZ/02/ThdN/aTR8SqcI23U/2I331ce6TjeaZmOHBTvDhp2AamsKdhzQ3u/dJMXzKzM1N7h08/JTp/DD6UffFfbDkvT2SSxLaBw+pwz3mUpKQT+99uneP5PIhCVKvFYS/02rv4X1Iwf4OcTuR7D5xwgMM6tPx3v59EmnCZH+XfjtgQbxHonpAYkUqjxQbhOz+w70DUgYPP71HWN/DKO+N6RdSKns08Hskx/eA/+7BfdJUpDzpq4d7D1iCdvb2aUgEmnTEg3vcAalzUvsP7pHmIiVxD8K4T1xzb/8B8SIpkgf37+OzAxLLA8KL1Mun9+7vcQf0k/5+uLP7gGR8LzIBEQYno7kNFUeCSv0+3KU3d+8RKvsHp9tEK/4KDUjvfEqk+PQ+Rv3wHn35afwVcg/uWv/g6PGkWs68X9lheJWfN3vqM3yUVvUsr8nTwYtoEmkIQ3+rhrDyt2oIL+VWDeHL3Krh7m0bwjUKGqKFOFhH35W39K9NSB0Mgfj27UA8/EZA7O7casjiAd6uKTuKt2vK/uTtmrLbeaumD2/dkoGGXPT+UymO8O36w3gHWeeWk8b0HZz52yKN+Xz4gZjAuw/Z5/0R4XBhEMgtEZGY41ZTIKHJ7ZpyBHO7phzo3K7p7u2bAmrIWV+DNhx73a4/DPhDOQvx3TCQ2yLNQeKtkJZY8nZNOeS8XVOOTG/XlAPYWzXlYd2uKUMdVE23JKPE1LfrDwP+UNXEBP5QBuIJ/VDVBDHf/1DdBF8k5KyvgQiyFx+Ih6Q+bjWNkiGxTfduauqY48amUR3CP9Q7vGtST/RrLy111+Wsksd3KRt2lPw/U9dCxCkTAAA=</t>
  </si>
  <si>
    <t>459F180DEB81F1AFDE92D0FB3CBF3B54</t>
  </si>
  <si>
    <t>JChemExcelJ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f9e6P/ld/Nb+Dv+e51+Sf/RZ+VH6bu9zz76dHz//v7B7t6nD/f2Dx7c239wn0i1t7e7e+/e/Qc7n95/eI8G0P3kQXpvfHDwYP/+/v7+wcG93b2De+keAbr34MH9e3sPdnbu7e3ff9D7aL/72oODdJdA7+w8/HRv5/7ug/vUS++TvT4gQrL70cN7vRfvfZpu79C037t/sPdw99NP7+8d0DCGPtwd7+8/2KOX7x3sH+wcEPqxj/bGDw52Hu7v7n66c2/n4OAhzdz2PoHbp1YEifp8SBO4fZ/eJPgP93fuPfx0/+GnxADbn44f7u7Rt/v3Hu7cf7j/8CDdfjA+2D3Y3b3/YO/B/YOHD3ceRFvFgEX67KJG80Yd3Ds4wOzu4t2HxHvbD8c0dK/Pg7TDAvfvp4TXwcE+Nd/dv7d7/97DPeKABwd+mwfUhqjufUITtzfe+TR47aP0mlhsf/zp/U8f3H/w6b2D+zs0RbvMBu6TXRrk3vjevv/JQ3AG/el9xAwVtlKOCj66n4b97T78tAfqXkq64l7wyc4+M8aDezSqvXuf7u4/JGre3wNZ9x50P7s33tn3P/u03+xBH9qD/f6bDzCV9w86H0WA3aJL4QGi/94BicXBvft7pE+Iie/vBK3uA7O9+zRln+4+3AG3HDyIjP3T3VsSiYZFkrdD/LRzsE9yuL9L/BDtN5wGYt6H1AV94310Hx/t7d/beXBwn6Tzwf7up/dJjvdIKmj8nz4gbO/t7O2TciXkSDfftcr56PGkWs68X1lbv8rPmz1V2B+lVT3La7IqeBFNIg2h1m3DvQ0NofxvBREm4lYQYUhuBRHm5lYQ9/yGmyBS1we3aggbd6uGbAlvhaQYzFsBFbt6O6hsfm8Hla30raA+DFreCNTN+8am7B3cvuntplR8jVuNSlyS20Flz+VWUMXBuRVU8YNu15TdpVshwLjejgXEAbtdU/bTbofAg6DpjcO6HQ8wsW7HAxjV7eRavM1bjQpN792SBdA0ygL8Q5X1XeN10689j/yuc9eTx3cpEDhK/h+snc3YJAwAAA==</t>
  </si>
  <si>
    <t>A1B0C8A0D66C55F46F59F96D0F5C897D</t>
  </si>
  <si>
    <t>JChemExcelg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P3/XujPL/m3F/zvl/ZT/P6l/vsio/99JDQtT+ZZfUEgd9Kv89/2rvlB/32Uvtv77KPt3fHDvYd7uw8f7hw8vL97//7D3XR7Z3z/4f37+zsPDh7s7t27v3d/L90ZP7h3sHvv4N69/Qc7+/d3d+7HPuq9eW8/jfZwb7z36d4BfXRv58GDh/RO9KN9gvbp/QcHu/f3Pt158CkRd/vT8c7OvX3q9/6Dew8e7N17QM0ejHfu3aM39x7u7n768ODBQzTb+9T76ACwHtx/cP/+7sODT3fuPTygiaYeH+w92CG07u/t7T/YfUCt9sZ7ezsP9u/dp7936X8H+3hzb2fv4YMHOzSgg3167/6Y3rq3t39vj0a5/+mn6O7BvYcPDu7vf7p3f+fBvZ1dfLRLcIkoOzs79/d2DnbTvfHOg92D3Qf79z+9f28PbWMf3Rvv79zf52Hf+3Tn/sFeug/gu4T9zs7uwcGnxJpEhAd71NsBIbv7Kb2aPqC36Oe9h0Sa/f1PDx6mB+MH+zt7u/fo409pmMS0kEWaMZqKgweE1YNPe23u3aIvAtRHcZdodD8ATX19lF4Tg+2N9+/d2yMGoFnbv//wgDiCZnrH/2g/7TYCcx08DNoc0EfEUv5H+/f6zfb6zT69Dx7c3/2UpvABjZTYc/f+p5jr3QP/s0/R7D6449N79+7f26Vh30MrYu6Dew/v0djvE5uAH3buHdwn1jg4uHdA8yuctAs52D/Ypzkn3kSrg0/3Hjx4QBz/4P6nhInw8/7e/Yf37hNjPfz04UNm1Ht7NAn0NbHhzsEBs/in+w/uHxzcBxMS04Hh7u/c26U2NCai7z6x1wGpzr09kqaDhwc7+w8+7VOVhkizuR+StU/oyGvfXKPe9Dzs4fQpWYH7u5s/ATtAbe2Odx8Ggya9f9cq/qPHk2o5835lS/AqP2/21Bh8lFb1LK+JKfEimkQaQoPbhrsbGsKw3AoizM+tIMJI3Qrirt9wE0TYvFs1hGW8VUPYz1s1ZCt7u9GwMb4V0F222bdryqb9Vgg8DFpuBMq+wu2asktxq/656e0mVByU20FlP+Z2UPdu3xRQb8cB8JccB2xqKW7WrUbFTW/HAeywhU3RRhzHo2/Le/rXZiC3m3FxDm/XlH3I2zVlV/N2tEHT200jD+t20yj+7e0QQNOoJPMP1c13jUdPv/a8/bsuFEge36Ug4yj5fwDnFqXPgAwAAA==</t>
  </si>
  <si>
    <t>037912A762D5A168A94142F8A9D553B3</t>
  </si>
  <si>
    <t>JChemExcelc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zX8v9P/470v+Xf77vT6SYZYn86y+oFd20s3/be+mux+l7/Y++2h7b3ywv7+79/Dg4N7up5/uHNxLYx/tj3cfPDjYebizs//w4f4u4Rn7qPsiPtsd39/d2b+/8+DT3Xv3Dnb2H+xGPvs03d4hcJ8+eLD76b2H9OXO7t79dHe8e//ThzsP9g/27u0e7OztHcQ+6r+58yDy4cNP073x/sOd+weE2f7u/qf02/303vjg4YP9fSD7kCB/eu/TdH/8cO8BdfFgf+8BjX3nPn2yez/8ZG/86X1qvrN/78H9Bwd7+/t76cH44MBv9OlH6TXR9974wd79+wcH9z+9v79HxLpH7+4ehJ/sjvd3g08EfwK7u7t/bx99P/x05yE+PHgYfLgbbxgBeIte70WA3d+P90qkvBd81m/Gg9j79IB6JxbZ29+79yl1hcknFtk/2Nm5d3//wYP79/f2Ae7B/qe792kKHhB57x88YGba37v/8AHRmXr6dO/eQUryS9J214rb0eNJtZx5v7L8vcrPmz0VwY/Sqp7lNekJvIgmkYYQVNtwb0NDiPOtIELobwURquFWEKFAbtVw77YNoY9uhSO01q0gsm67FUhRgbcC+umtW4pOvX3/bs43QmUNfTuorMhvB5X1/e2gslm4HdR7Q035hwrKXWPD6NeefbvrjF/y+C6Z1aPk/wH/gWARcgcAAA==</t>
  </si>
  <si>
    <t>86FA4B39A8DC482E32DA445A39AB9DEF</t>
  </si>
  <si>
    <t>JChemExceljA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x+leZmjtzfXq5yQT81/X9J/L9LXH6Xv9jDO+/sp/3NvvHPAv+34z710b3zw4N6nDx7u7u0e7B3s3Lt/EPtof7y384B+2du/9+n9T3ce7KY79Mmn9/Z2Dh4c7D7Yffjp/oNP6bOdj9Jr6nabu6Q/U/rt4OD+Q7yz8+nBpw/39k+3dz8VlPbG93Ye+s+nhOXBfucjanov+Ajv7XJfR4/vWpIdPZ5Uy5n3K9PwVX7e7CkZP0qrepbXRBS8iCaRhiD2bRvu36ohJu5WDTG9tuHe5oYPbgWRuj4IGqKF8NzRd+Ut/WvTMB/G+uIfSu27hrvp1x7n33VikTy+SwJ3lPw/5R/SaIwDAAA=</t>
  </si>
  <si>
    <t>9338E35A0BDAE092F097DAA0E62EB6C9</t>
  </si>
  <si>
    <t>JChemExcel1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t/9Rmpc5MH1zvcpp4Cn+e0H/f82/fcm/f5nK5+6/L/mz3+sjoU15Ms/qC3p9J73tf9u79A+N/N3eZx/dHx/s7H167979hw8f7B3cOzhI98ef3j/Yfbhz/9OD/Yf39tJ74wf37+3s7O49ePjwU/qHcN8b7x0c3Huwv7e/f/Dpwd79+5/GPoq8uDN+sB+0ut//6CDd3hnf29+5/2Bn9+HB7v2HO3sP9u9HPtyjgYwP9g52Ht5/+GDn0/393Yf0ESGy9+mnDx6g5529HQKOzx7uPtjZ39nfvffpg939BwRtf0x/3v/0092DT3fpx/4uPjrYuYdv6YPd/fuE7van472HO58+uEdj26FBEHW2H4zvPXj46S51sLu79+nDB2hEGO3c+3R/Z/fTTx/uHDxMt++PiXT3d3c+3Xu4e3API98ntA4ODmgku4TZHjHL/fGDe9QJ9ffp/j0azj0iGI1tn2Zj98H9nQf3H6T9yXk4fvCp/8nDj9JrmsWd8cEuQD98sLtDFKQuQa89dPVwl2hPw75/cA/02qdvH96/R6R8sL/74FMm9sODoB1xx5jm7yEN5d4D6mxvn1iWJJWo8ODBzs7Bpzs7RLd+K2L+PrB7oP7Og13q81OavU8xCQcE7dP9+0Qhmjwi8P29/Xv00d4+EeTew/sEcO/T/T2GtkdEfbB7sLf76f29+zSxxGf37hFVaYT3DogIe/cB7OG9Bw92mQVoxvfv7RNq+/eJUXaJ/IQKTR7z3s793U8xjXtEhIcPD/Ye0qu7xFP36b37xH17RETqgH7uHFC3D4ia+/ufPqB5oVmgIdOk7O+RSDzgQdGsEkb3PkUHDzD2e4TtPcLiHvEegSDWAk8R+zz89P7+DrHfvYc7u5gDarb/gAZOY3oIXHdI59y1Sufo8aRazrxfWQu9ys+bPVVEH6VVPctrUp94EU0iDaGubtUQSu1WDe93G6KFqM6j78pb+tcmEJ/eqq+92zYkiA9u1RD6+lYN92/bEOrfNtzb3PXuzgdSTqzMrfASY3QrzLjp7dhETNvtmrIFvB0CbChvB5Xt6e2gstm9HVS2zreDuh80vUGm9gZn/Nu3m3HxF26FGTe9tVrYi044/1Ctc9f4SfRrz4e66xys5PFdct2Okv8HLF8m59YJAAA=</t>
  </si>
  <si>
    <t>B8B91A61C668220651448C29DC9459E1</t>
  </si>
  <si>
    <t>JChemExcel8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sPP0rzMseg3lyvcqJR6v/3gv770vvb/918j5+v6Rv5L/jro/Td3mcfbR+Md3b2dh7sP7i38/DTA0J9+9Pxp58e3Ht4/9Odh7v7O7sPHqTb98f37u0/2P10/+DBvd293f3d3kf3Htzvv3kv7YLfeZhuP6Q37z+4f+/g/t6Dh5/u7d+LfkTz/umnD/fv7T18sE+f0Ofp9j4B29259+Dep/f3D/Z3d6jLPWr14N79A3rnU+r304eELXHEvXufPnhIaB3sHewQ5JSYKI183Hn7Ac1qv4/+4LvjvJ/2h9n/pP9WH3KXEJ+mXToc9NrcS3c/He+GbeiTh/d86tFHB+P9B/5HNHwiy274Xr9R7KP98ad7wXtE8/29h/5D8wDMd/xnl+bh4EHQ7CHNwf5e7PPIRzTbDz8NPjr4KL0mLqa2n+7d8z7fo9n+9J7/0QGYgFrtO3T2BMcHD+57zfZ4LPv+Zw8/1XbeaHZlzPv+Z/cYwQP/o/3+m/fvCW4eIvs91Pbv/yw2un9wm1ZRUD167T/o04vm81btDFn9j/aVht5nmLiH9/c+JW7f39/9dO/gQCbu3gFJ5y7pp08/vb97/97Op5EP70U/2x3v3j94uE+A9kgAD/Y/5cl8uBc0i/b66Xjvwb2HezsHDw52H+w+xIsPxqQ4wim/3Uefjnc+7Xz0cLwbcNR+pEcyXXet7Tp6PKmWM+9XNmav8vNmT+3ZR2lVz/L6s4/28CKaRBrCCNmGuxsawjbeCiIs6K0gws7eCuKu33ATRJjtWzWEcb9V19Tw4a0gwjHYuVVL8Sdu15Tdjts1Ze/kdk3ZibldU/Z1bteUXaLbNWXP6XZN2cG61VSJH3Y7qOyu3QqqeHW3girO362gYlhe041QgcDtJla8zlshwE1vN7Hiv96uKbu5t2vK3vDtcIVDfMvZQtNbzhbc7dtNgXjpt2u6D2f+dk3Z57/VsLipm4Ibm95uCnhYUYHhH2pa7poQin7thVd3XeyVPL5LUd1R8v8AUanWvfENAAA=</t>
  </si>
  <si>
    <t>DA651DE4104C85A499B773BD0B58A937</t>
  </si>
  <si>
    <t>JChemExcelQ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yX9/4X+3//tS/7/lx+l7/Y++2h7b7y/s7/z8OHuw929ewd7e/v7af+zdHtn/PDew/0He7v3P93dv/fpwQP+bOfe/t7B3sGnDz7dvbf34ODBg0jD+/hs/9N79w/uPzzYP9j5dO/Tg710m+hJXz64v/fg3r17nxKEe/12Dx6mNIc7uzv7uzv3d/YODujVB7GP9sZ79Nenu/fv3ds7eEhY7af3xg92Pt2/v3N/92Bn/+HO/r10f3zvAcHf3X/w6d7DnZ2De5E2EUC744NP9+49eLj3cP/hQ3p9d2g8+w+Jag92d/H5w52HRIt740/pnYP79z7du//g/qf79z5Kr/fAlzTwB7uf7u0+4G8f7hEm+7v+R4zcwcN7n+7QBDy8d+/+w/sPMMxP94NWIMb+zu7BvZ2d/U8//XR3d/chk5uQevDw04cHB/v37u3vfnrwKdN75+DTg3u79x8+eECD/5Tn+f79/fufEvzd3Z2Dvfuf7uGznQd+uwc8L9SX/+5uSiTY291/uLt77/7Ow91Pd/c+pY/ozYOdg4OHNHEH9Hx6EOn2AF18+vDTXZr63U/v7e9wr/eIlQ4O7j/Yv0+UvQeOSrf3x/f3d/b2iWzEUff2aGT3x0T1PZoI4tJ7NGP76adjYoJPH+zt37//6af3Pz3YxSxTi537NIv3aQr3PyWRu2tl7ujxpFrOvF9ZCF/l582eyuFHaVXP8ppmCS+iSaQhpPVWDSHTt2oIyb9Vw93bNoQiCRqiheiio2/LW/rXIAgoolv1BXVlG+5taAildiuIrPpuBfLToOVG0rEuvV1TVrm3a8qa+VaoigK/HVTW87dq+vDWLcVwDDHFd2/HFBhDyBXvD0Ms161wBnVDlvE6iPMx/1AZv2uMMv3aM9h3nTVPHt8lP+Eo+X8AQ8rsskMIAAA=</t>
  </si>
  <si>
    <t>6CC246A676505628752596B60A1F698B</t>
  </si>
  <si>
    <t>JChemExcelD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pr/vqT/8POF/dv85v9nWnHLj9J3e599tL0zvn9wsLv/6c6nOw92H356cPAw7X/2IN3eHT/c2z3Yu4//7z94sLf/aeSzvXT73njv/v37O/v36H8P7j+4/3A//tk+9fFw9+De/t6nezv3Hjy8n27fJ3B7B58SrIOde/RVuv2AXvz0/v7up58+PLj/8ODT+xHc9tOd8YP9+/fv3dv5dHd3hyA+6H3y6X66N955QNgC34f3Pr1HGKf3xvu7e4QEofXg0/199NhttQtYB/fu3dv7dGd3l1B4SOgBiU8f3Nuhdg/v3b+3u/Pw/kMQ48HOvf0DIsKDe3v3HtzDIHfHe3s0XHoH2N/bo3d3xnsPDh7c393Zf7hL1CB6pMSiO36nhMXBvv/Bzj3C9d7e/Z2HB/fuA/7Bzm66P35w8PDB3v17B9SGUHwAbt95+HDn4b2H1NMDIg198vAeUe9gf4/Ide8+dU/ywAS1H31624/ujXcfdmDtkHgFrT5Kr8FT98f3Hh7QvO7v0gzt7j5gtji43/to56Dz0e6Y5t77aJeZ8cGD4DOe8E93QboDIg3BOGBSd17di7zab7ZzEO2hD+7TPsLEHP13P42OIoIxkZjYeu/Tgwef3qef9z4FH+x/+mB/7+DB3gOa6gNi5L0xscku8f4O8dP9nQc7nxInPLx//wCshw9JCogTwGQPP31IrxKH3j+gNrv3dkkA6N1PP7334MG93if3e/0/OKCPdh8SY1I39/dIAPd2mIb0HgkSdUDA9/Z37hNSe3u793dIXh7u7O3vf0p6i8dMnTygwRLf7u8SZx/sH5xuE434KzTYoa72DyDQDwmRe/Tlp/FXSNveter26PGkWs68X1n/vsrPmz1VwR+lVT3LazIceBFNIg2hqG/VEOr8Vg2h9G/VEKbBNtzb3PDBrSDCzNyqIYzRrRrCPO0ELdFETODRd+U1/WsQhti8W3UnpnGov2/fsj8Aud2kigm+1SRw09tNLBvzsOnXoBp7BLfrjx2H2zVl/+J2TdkNuVVT8VZu1RTDumVT8X8+kIziQN2qP/hht2wqLtmHosY+3a2Yj5s6ZbERNfYOb9eUnchbN713S2Y4EJe035R/qMa+a7xr+rXned91bnny+C45/EfJ/wOo/EexDAwAAA==</t>
  </si>
  <si>
    <t>88C7766238C473E6036B68D2073C4D0F</t>
  </si>
  <si>
    <t>JChemExcelL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a/76k/9xf8kn4N/1X8v8+St/tffbRp+O9+wefHjzY/fTTB/c+fXif8Hgw3r93cO/h/U93Hu7u7+w+OEgPxns74Sefjj/91P/kIVHv3r19ArN/8ODe7t7u/r3eJ/fT/fHOzu7OPero/v7B/u7Op+neGP3eP9jbp88+3XlAw6Q5uHfv0wcP6ZWDvYOde5/uUau9+/f2d+4/eHh/7+G9gwd7+6fbhOh2t+l+5KOD9N74wcHupw8f7D548Onew33Cmt7+tN9Put3B5tOH6XYXZRrFdmdg9w7S7S499qMfRV7swU8fju/v7+082H9wb+fhpwfUKvIJMfLBg/sP7t87uL/34OGne/sPenP0KX3y6e4BQdyhSd0H+T5Kr2nGtw/G9OZ9gvbg3sHOpw+I+7apB+p/f2fv4R5NwcMDEJK6ePhwd/fhPs3c/b2dvf5HxKfbJDKfftppdo9Q2fzmHj7rvrkbabcfaXcv3u7h+N79zkc00gP/o/vRVr0O7n+ziNz7uogwfTvEJL2Azx4+6LcLP3uQ9iZ6jzTVXauqjh5PquXM+5V116v8vNlT9fVRWtWzvCYdixfRJNIQSu5WDaEKb9Vw77YNoVlv1RD61zbc29zwwa0gQpffqiE0/q0asl24FZJiPm4FVKzM7aCyMbodVLZZt4L6MGh5I6q3m06xlbdryib1VqiK5b0dVDbQt4PKdvxWUMXc3w7qp0HTG8Ru75aSzG7GrfoXb+R2UNH0dvOK/qPTyj9UU901Dhj92nPO7jrPLXl8l3zCo+T/AWlsWhovCgAA</t>
  </si>
  <si>
    <t>2744319194B8788F0266CACCB6347B2B</t>
  </si>
  <si>
    <t>JChemExcelk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J1/7qf8t/r4K+Tkn98+VH6bg80vHfv3qcPHu7u7R7sHezc+/Qg3R/v3dt7uL+Hj3YfPNz5dP90m3Dc7jYlXHqfUbP743sP9x8+3NnZ3dk7eHDwgF7+NO21e5DujT/99MG9+wd7+/c+vf/pzoOd+7GP9scAdO8BfbB/sL+782nkE+rx3v6D3U/3Dx7cow72008JzsG9hwTi4e7+zu6De+kBvbS382D/wb2dh58e7O08jHzSfet+F/C9h73O93tIf/owOrQeAZigBGv/waf7e/sP7n+6/3Bnl2m1fW/88N6Dg729vYc7+4CzFyXhfoz8D9LtLj4H6XYPa56lYGgP7n+UXhM/bH86frj30Hvo9QfjT/1PHj5M0erejvfs6sR3P9sff7rH3xx0ANAXu/4nBxj2zoPgo3sYDE2P/xkNcGf8IMDn4CHRZnd358Gn93f37j/YpXl6eE8o2W1Kc0M02yM63KOWDx7sPnyw++BAyXt/nybu3i7/5o9j5579/F4ADC/t796jrg/2793bOzgg8g70u4/p+3R//1Nqub9DPEf/N912gXbH/DAG8FNMy4MAzf3+tOz3W90nnXXXKq2jx5NqOfN+ZS32Kj9v9lSRfZRW9SyvSVPgRTSJNIS6u1VDKMVbNYTqvFVDKNhbNdy9bUPo61s1hFa/VUPo/ls1ZAtxq5ZiSG7XlO2Nbbq3qSmbpdtBZet1O6hs5G4HlW3h7aDuBk03QmXrerumbIRv15Rt9e1w3QmaboTK1v9WTcVJuBUC4kvcDiq7HLeCCgp4TTdCBQK3E324O7fjFvGIbtdUHad+U/6hGvCucfHo1577d9f5hsnju+R1HiX/D8Asm4qRCgAA</t>
  </si>
  <si>
    <t>89051CEC46ECEB8BD3EA8BC9A7F6D8A2</t>
  </si>
  <si>
    <t>JChemExcell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Q3/e0H/fZm+pv/Tfx+l7/Y++2hnfP/evf0Hu5/uHzy4t7u3e+/TdHtnfLCzs7fzYP/BvZ2Hnx7Qb/3PqL/uq/vp7vjg0we793cePNi5f//h3v7DyCe9tyLAYx3u3E+398a79+4dHHx6/+E+wTq4/2n6YHyvA/82nxyMH+74nxzQvB3sBW0+Sq+JOtv3xvcOHjx0z8GnwOLT3YN0m5jmwQHwvLfjt3h4cE++Cz7U14LPQK+9e3s73rOX7o3x773x/f29dH9MBAKw+/v0yYMHuw9Br917D+4d7B+cbu8+SPkrNNg5ePApCHJ//+H9ew/v0Zefxl8hRrtrOe3o8aRazrxfmfVe5efNnnLfR2lVz/L6s4/28CKaRBqCR23D3Q0Nwcm3ggh+vxVESMWtIO76DTdBpK4f3KohRPFWDSGwt2rIYn2rliL5t2vKCuJ2NELT200QN41OEf9QlrprFB392lOCd52GTB7fJd17lPw/GPwFzJcFAAA=</t>
  </si>
  <si>
    <t>E426479D5CC637FE223DAE82DBE689BB</t>
  </si>
  <si>
    <t>JChemExcelI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+939z5K8zJHz2+uVzkNJH2RnnT++zL98qP03d5nH20Ttvfuffrg4e7e7sHewc69g710e2+8t3N/79MH9NHBvfv3dz893d69n1LT/Qc7uw8OdvfvHzzcube/zx93Aex/2vvofro3/vTTB/fuH+zt3/v0/qc7nz580P3owW7/NTR6uPPw4cODT+/tPLy/u/MQXX6a0gyk++Odnd2dew/o5f2D/d2dTyN9fJRe0xA/HT/ce+g9D9JPx7v3/U8OCNqnu+En98YH+/4nDwn+PeDifbI7vr+/4z276cH44IAotL/78AH9uXd/j/Hd3hk/+DR49QGI/CkheW9v997u3oOH+3sH3JRA3gta7kfeBrp7xCB3LYccPZ5Uy5n3K7PMq/y82VOu+Sit6lleE6/jRTSJNARv3aohOPBWDcGnt2oIbrYN9zY0BM/fCiIk41YQIT+3gshSdiuQ94OWN2C5u3urlvsi215LNBGdcfRteU3/MjD4h3LFXaN06NeeQrrrtFXy+C7pwaPk/wEa/U5pIwUAAA==</t>
  </si>
  <si>
    <t>35F84D7E80C690EF49EBCD37D9B7D643</t>
  </si>
  <si>
    <t>JChemExcelb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PLfl/pz6O/B/z5K3+199tH2/fHOvYcHO/fvPTi4f7D76e7D023CeZtIeO/epw8e7u7tHuwd7OzvfBr5bC/d3ht/+umDe/cP9vbvfXr/050Hn0Y+Oki398c7O7s79x7QJ/sH+7tEJer43r39B7uf7h88uEcQ96nTT+nNg3sP6aWHu/s7RK7eJ7H37kfBd7G43//o3gNA2znYf7hzsHtw8PD+g53dT3n4nZHeo5F2Xv70/oP+R2kHj53dtIMtddkZ0oO99IDe2tt5sP/g3s7DTw/ot94n99OHBOf+g/v3Du7vPXj4KfWYkhR8+unD/Xt7Dx/s0wf0cbq7R+/d293do7f27+/dIwbcvTcORnK//8leurs//vTBzv6DnXuE0M7BvQN671MCtb+7/3CfWOLep/vU6AG994BeuX9w78Gn+6D77gG9t3t/58GDnfv3H+7tP0z3SDR37u8eENIP9glvYu9eo4/SazDep+PdT3e8Zx+z/fCe/9G9dPtgTGh5D7Hcw/HefucjosWDg6/1ZqRVFwv+KMT13m1bEWH3Oh8NIHG7ce36jb/2i53GXRrs91t9GgF5v//mp/03FUv/o+GZiCFOaviu1cNHjyfVcub9yor5VX7e7Klu/iit6llek0XBi2gSaQiFahvubWgIPX8riLAGt4JIDT+9FURYlltBhP25FURYqVtBZFt2K5Bi8m4F9NOg5UagbENv1XTv1i3FKN8KUzbdtwPKFv52TdkRCPpHG3E4jk7kPf1rGAh7ErfrD01vxxfil9yuKbsvt2oqXs7tmrIzFDT1qPHd29GGgbgJ3tgfO123a8q+2e2asgt3u6bs6X3ogAHkdjMsHuXtmrLjeaum4p/erim7sbdvGp1H/qG6/65x4OnXnnN/13n+yeO7FFMcJf8PHGIvW28MAAA=</t>
  </si>
  <si>
    <t>48022748D5222C634AB11591BA65D0AA</t>
  </si>
  <si>
    <t>JChemExcelCB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v/6UdpXuag1JvrVU6ET4f/+9L+/0Xn8y8H//LfPSkDIPzFR+m7vc8+2vt0vLPz6c6nD+7v7dx7eP8+kY4+2nuws7fz8N79vd379z/dTffuj3cODu59ev/+g/vUiIZJn+zv3rv38NP7ew/2dx4e7OOtTwnCpw/vfXqwc39v7+ABPtrZ3zv4dH9v58HewcP7B/fSvf3x/Z379/cO7j14sPfw/oODT9O9e+Pd/f1P93f2Ht7bu/9w7wFB3x0/2N3Zf/iQcNg52P+U5mJvh158sP/wwe6DPXzw6T4+enDv4NN7n+4T7ruf3qdZ2H04vn/v/qf36BP6994utdo9INbd3X9IfxFyn95Pdx+MDx7s3Lu/v3N/99NPH1BDvLbz4N69+/cfPiDEDz7dS3c/He/f+3Rvd+/gPr279ylx1u798d69e3u7Ow/39ncfPrz/cBet9nYIrXv3H+w+vEdd7AP6/s7BzoP7hP3evb17NOW7++MHD2gke/cI+U/3P31I4O+N73/6gAa3v3//3sHuPWLg3b0xEfTBAb31cJ/oQYjujh/u0EDR18HDXWI+em135/6n93eB44P9B8RXBJymBKAe7u3t7u4Log/29x48vL9D6N/be/DgU3x0f3cX80cjePCQQAJRwuYhBnlvhyhLMkGkuvfg4UMgRB8fPKApJMoc7O7vEPx79w527hGJaW52dh/sHOzu3d/f39unbtK9vfH+/d29vb19Yo2HhP0eJpUmhD65R4y1B4LgI+pk5+D+zsP7n4LfDngGD+4/JHI+2D94sEvzgY92aPZ2D4jkNJMPdnkC6duHBwc0ZQ/uY8wPx/eIBoT1AbU9OHiIT3b3dj79dPf+zs5DohApAxrfpwfEnsRW+w8/Je6TubkPeu/s3t/fJeD3AfxT4ssDarRLQ9+5z0gRLe/TJO8/wMwy79HkfUpstUd8fPAQQ94dE/ve3/uUKLe7+3B3Rwjz6T4xJNGX5uiAlApBxyvESZ+COA8OmLEe7NLsEiMQmQ+IufER0QPCtgdWIqzx0QEJFU36wcNPHxC4AxCZWP8BzeZ9ovk94jumO4ncLs3ig/vUN0SOeGZ/99N7JF97n9Jk7oLs9O2DBxC2+wTqAWRwB+JF/Li/f2/3gLTc3gGNeX+H2PpTGg3J7EfpNSkH4tI9wmiH2IZAEaeT0NHs0/zv3QcLgMdTGjYJDfHQvb0DwoqkPd3eGX96b+fBp9AeOzvEJ6Q8t3dJP9D03SfWPbi3f7BP2mD7Hk02of9g59ODB5j/dHtv/JBYibQP0Y1E7VNS59SKKErzTZjukbTRROCzewdgB+IQcApp7O39Mck9CT4x273dPRKhdPv++IC00cEujZbIQ6yZbhNlaebQABx7AGxJij+lXz4lNt3/dAc9ksQSYz0gBiOxo4b30eGDA+JsIjMYZ4f72z3Yp+n4lNiXZpjYkPqjuSWlCTZ9QCxzHwPC5BODEAfs7OyS6SBKPCDepZ4OSCFB9X2KZkTWXagk+obUrxDn0z0i2B6BJ1Ck+9CMut6n/9MHpPxIBYDYDx8QVxJBSXeQViWZoc9okkiNkB4H35IK44bggf2HB+BkmhySQOJsIscOqE3/e0i4p9A6JMc0dQ8/3cFkfIo3d4l5d/apG1K3+w9I0UF07xFTQxvfozGQ4tkZE0VJW0BlkyYlYSJOJiLdu096DOaF9DYpAmIOogXpAaIwSe8BSeGYZJDMDbEeMejDhw8PUmg6Un1kBHYhT8J6xCc0eCLtA+I1DJN8jh3iIIjOpwRgH5aJPiIWoCHcI94g0XxAsPag54nJdgjhnXskJzTBJGA7pPAJhd37NHf3SafsPNzdJZEjOHskVSmxCo30UxLq++AisvZkOu4RRkT7PVJ/mPIHZCtJo5DiJWnYJdISINLLZFXw2X3C4n56QIbjPgi+f7ADbbOXPqQ2xFvEdaTT9qjHFCqNNDpYgiwLfUQDOfj0U5qKB2QkSPkSacBfxJNERGpBEkg90KwSBnsPDx7AWEGlgJ2BPokZ8Qwp/Yefog1N5APoPDIbB0SE+2Dfh6QxyW7QMIgnDnYBfv9Toi2pT2IiEqR9UJhmm5QVjPwOCZN8RvqZJus+zAINY+c+eW13rdt29HhSLWfer+zHvcrPmz115T5Kq3qW1+SA4kU0iTS8122IFuIqHn1X3tK/NoHYv1Vf8Mlsw72wrze36wtu6a36gvN6q4ZwcW/VEI7wrRqyu3yrluJV364pO9+3a8o++u2asit/u6bs8d+u6U6vqTe3377dTHN/t5trCUICztrY9HbzLSHN7aAiqrndlEuAdLumHEfdrimHW7drylHZ7ZruI3i7XdOd2zflcPB2TTlqvNUUcNPbTazEoLdryqHqrZpKRHu7phz43q4px8e3a3r7lhxw34qsjOqgKN/WQIA04Yy/PxCeilCle6/dUqlIaiEYuffaLW0Q8hIekK+JCSc3bjVdkgO5XVNOldyuKWdUbteUEy+3asrDul1ThvqhVkJyQbfrDwP+Jhho/3ZqBgZsP1QzXg+35HoY6Pshm3wNIEiMhQz0/kAku3arkSMfF3LW1+iOk3i36u4BUn0fOK+aKuz3xj/Uy75rMqv0ay/retelZJPHdynZe5T8PwML4EIIFgAA</t>
  </si>
  <si>
    <t>5FEAA5293B7FAACA06E91EB446CF2BEF</t>
  </si>
  <si>
    <t>JChemExcelih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977KM3LHFR8c73KaVJS+e+F/uz+92Xw75f2c/z3zP72Nd/OPhI2KE/mWX1B2Oyk7/Pf9u6NTd7r9b2P0nd7hMT44NMH9x/s7j98eP/hDv3cT4lDH/of3Xt4kO6OP73nf3afAI737n26u/Pg0729vXsP7u0Rl2zvje9/+vABQdzf3/n0/r37NFvb98YPd+7tf3r/gP738N69h8RZ2/fpXfT18ODBg73d/T3qdfvT8f0HOwd7+7s7D+/vP9ynSex9dK//5kG/A2LLHiIPovjGR7p/b3fv/s6nBH334MH+wUG6N37w6f7DvYcP9u/t7X/64ID4s/sRobZPwA4+3TkgNHbotT0SZvpy7+ABffpwZ++AOLX/yacE5/7DTx/s7hw8uLdz8HAvPSAwDz/d/3Tv3s59Gg8N8CG9de/eHo1i7x69+GmsTW/An37aJ8zO/fhnvVnrE2tnP0LACJ330j3iqHu7D/Z2Hn66e3+PaItPdj4NPyF22vE/uZfuHowf7B3sEMnvPfz04cPdnb1098H43sP9e59SgwcHRKEH9NGnBGrn04N7RLOd/Xs7pFF29+nFBzs7+/sP9veIL3fv0Vs+uSIf3eu8RfP/IAq7i0EMzejw7hHD7uzsHNwjau4+oI+IYfaIxR7u7dynd0mDRj4hDqKu7tMfD3Z2d/fAZvcJ0qf794i8B9Tj3sG96EfERffojU9JWj799AFRP90jFiGJfUizs7f/kAZOKDykFx/QeA+I3nv37oGx+60iQ47Q5Rak2uvT6tPoR90XP4VYfpRek3La3h/v7+3cI369t79DDe6Bf3cOPv30PlF1b/fhw52H+9GP9sb3dv2PyOLcptl9FpCw2af9Zg8Ij53xgwfBZ3v4bGcnePXBpw/7LdFJtyUxYAQm2cBey/sHB7v9lp/y25Hed8f3SXfsE688ONjZIdGPdCMAw5dJKz3ovQw9c5uX4+OG1HUB7vc+gmq9hyl3KD9I740P9oOPDkjbfrrrf7Tfb9SHdI/07e798LUf8diPeOxnnccejO/v+DxG7vld658fPZ5Uy5n3Kzvsr/LzZk999o/Sqp7lNUUaeBFNIg3haN+q4e5tG8Ilv1XDffK9bcO9DQ0RdNwKIkKTW0FEAHMriAhzbgWRg6FbgZSY6VZAPw1abgTKQdjtmnKsdqv+94OWG4Fy8He7poAaTjzaSBx69Ebe07+GgXCQebv+OBYNmno9fPeW/QHI7Vhml2Pe2zXl0PhDUQOQ23GJhOC3a8qR+q24hJvecu7R1M39RgQ4PXA7BDiLcDuonGy4HVTOSdwOKqcubgf1ftB0I1QkO243sZIvuV1TTqvcrune7ZsC6u0mVvI5tyKWpH1uB5WzQ7eDykmk20HlXNOtoEpK6lZQJXN1K6gYltd0I1TOhd2uKafMbofA/aDpRqj7SMLdrinn6gIE0EZV3S1tgCT7btcf5wQ/UNEykNvxjeQeb9VUUpQfiBoDuR2bSCr0dk05Y3orNuGmt5x7NL2d6ZY07e0Q4Gzu7aBy0vd2UDk3fCuokkK+HdRPg6YbcQUC0YnlH+r+3zW5ffq1l/e/6xYFksd3abnhKPl/AJv31EWKGAAA</t>
  </si>
  <si>
    <t>DF6AAA1704DD6FE8BC727ECBEA2F6916</t>
  </si>
  <si>
    <t>JChemExcelM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Dpl+mJ99+X+v+hv91nX36Uvtv77KN74/sPd/buPTzY2Tk4+HTv/r17aeSj/fFD+mD34OHe3oPd/b2Dh71PDu6nn4737j+4T6/t79/f37tHY3hAkHb3HjzY/fTTew927n3a/eD+w95L93qf7PXeun8/PaDu9x/e/5Q63n14cO9h/5M+oP0u0g93e5/Q4PfvP6RvDg4efLr78AF1tTe+f39/d2fv/sOHOwcP7+3f/7TXaJ8aUZ/7O/cJx72DvXv3+tToDf7T3cgoiJH37h98eg897ux9un8v8kn/rR6did8foM896nx3b+fhp/TR3pjeoD8f3Lv36f3dew/2+60OelgffJReE5dsQ4B2aWTUz/39h58+PHiQbj8cP3jgf/QpPiIcw48ejPc/9T86SLc/HX/6sPNRt9WDKKxuj/RiD7GH9NneeOfA++zhrd8kTXG/02x/fK8Da298sN/95N6nnz689/DB/v7u/Yf3aQrS7XvjT7vQ98cH9w8eEKUPPiVm2d95CFIQy98jDtzbJZI83L8PYDs+qgMdhm12+412Po3h3hngw1ibDpq7vbEw7O6YSaVt74zv3/Pbkb68axXm0eNJtZx5v7IGfZWfN3uqRD9Kq3qW16T68SKaRBpC1d6qIRSybbi3oSHU9q0gQrnfCiJMwK0gwlDcCuI9v+EmiLA7t2rI1ulWLWGndm/VUkzd7Zre61IdTcTYHn1XXtO/NsLYdXO8sTs2vLdryvZ5CLVv3xI1NvC364/9gNs13e81/RpUY5/jVlwHUuzdjknEg7ldU3Z0boWA+EO3g8pu0+2gsnd1O6jshN0KKrjRa3ojBW7ZFLjejpHEUbxdU/Ynb9f03u2b7oiH+j7syT/UKNw1Ljj92nPP7zrfPXl8l6KCo+T/AbdKdgIxDAAA</t>
  </si>
  <si>
    <t>1735FF6A7F2EB0E432C9011CD3C39D79</t>
  </si>
  <si>
    <t>JChemExcel6R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NMy9zUOXN9SonIqfmvy/TF/bfF/bTE/tX+Jm8Ef5m3gxbPkuffZS+2/vso+2d8b1PDx7sP9jbP/j03v3dB4Rw7zMa4M744af7D+/tHjy4t/tw7+BTosXeeO/hwae7Ow8f3t/Z2zmg39N740/v7e093Nnd/fRg/+AhESfSqAuKeqRWuzsHuwc7+/v37+3sHdzfB6gH9+nPnQcPPyU89nb2093xg3v+iw8Ba/eh/9HBw/tAf+9g5+H9fep5lyDcv/cp8Ph0f2d3jxDbfbB3j76/l+6Pdx8wngc79x/u7BMX3B/vPMDAdz99uEvI7j3cp0aEwv7Dhw/uHTw42KdhEKSHuzS0T3d2Hz6khp/u3KePdnbvPdj/lJC4d/DpfcKZQN27f5/Q2dmjDwnEw/TT8cHBg737e9Ru92D3U2KAB+MHD/f29/d27u0/oP7uP7hPH+1++unOpw8+3dm/9+D+vT0A+vQevX/v4IDgEok+JZQe7D0E0IefPnxAz0F6QHjv7qE7ov19TNfD8adExr2dT3d3HzzYOyDIJKD0/g6NYGfn3g5RYI8aHRAi9+7vf/rw4aeENsG5d3+HQD24jwkj9n0w3t8n+uztf0rQ6cU9gHlAZN7bf3D/YJ8QuP8w3d0b0wQQgvsPHhCpQaPde+O9vXv3CblP7x88JPQ/TXcJ7U/9jwil++O9ew/3P7338B7NCc3fPbz48KHfah/giRVpRu7T3/cf7BAFdj+ljx4SNQj1XZr+Bw/S3QfjvX0i9gFjSzPFre7tE8XuHzx4sENEPeBGn35Kne0egLEeUH8HRMz71OP9e/cf7u3tP9zjj3YeHoBXaVA0NQC0BzhE9Z37+8TgAETc8ODT/Qf794jtDh7irYO9B7v37z0g8MRpB/v46N6n1N3OQ/DZ/YNdACKBerD7cHfn3oODHdJFRIKDvd1790hidgjtA1ITuw/HREPmrh2i6C5GckCDu49pJPLS3H1676P0GsJLXxD1Du4TW3wK8SKm2t4jmXjgf/aAPyMx6X12q3a9PkjC9vbGJN7eZ5/SZ/fG90jI93dpVu7fJ3bc53YPabT3CeY9GubBPfpof3xAnPspEZTUwP0HDyMf3Y9Aw8g+JTNz/z5Nwac7DJA+uk8I798nCd57QM2I7vQZCRHJM5GeZpBIeg/IHYzvkwzvffpg5x5NxQ5wo3m+f3BvZ4fmjOhNSoFfpb72d+kdkkaadLQjMaFJ3yXykx64z0Ml8TogBofWuP8ppHT7HlGO2pN875IM7nxKw7pHcnEP1NzbfUD9Qpvgs32SGdI392nG9zBf93bHe5A6gv+QuH7nUzS7NyYkDx4QyQgYSTB/RCrq4CENk6SA+JU+2h+T2D44II6DwgLZ7n1KqmDvU1Ie90i17d3HJNBne/fukd67/yl1SizLbz4kqSB1BeEhuuCzBxBjYvKHpB+I+x7wR7voi4TnIaQIgzog7rxHSouY/CFGG/mIKHSPiPbpAb229wCK8gGotk+qg7q6f0BcTLpsl3GLtKPPiKikAx8+ILVCauBT7mMXzHDvUzIEpMUxehKmfSgwmqWHUMX0ESlLmj5ClIRkZ/9ACELCRqaEZov+f8Cjf0DGgOQd6vAeae1Pqd0+OTs7kFJ6l4R3F1xOCIO+pK0fEgdAE6DZA1JQNCU01Q9JE9JHpOtIckmgiXo0C3v80aeQXYKzQ8KKRjTvD3Z3iR3JYDx8CLLtk2khDiD7ALZ8APajke8+JOtwADoSFuTt3LXuztHjSbWceb+y//MqP2/21AX6KK3qWV6T44YX0STSEH7LrRrCablVQzhdt234adAQLcS7O/quvKV/bULqwQeCgGt4K3ThQNqGe5sb7u7cCqR4o7dryk7rrfp/ELS8sf/bTb84y7fqX3zq20Fl1/t2UNlDvx1UduRvB/Ve0HQjVCDgOGBjU44gbtVUAo3bNeV45HZNOWy5XVOObm7VlId1u6aMwO14QMKqW82WRF+3g8pB2u2gcix3O6gc8t0O6v2g6UaoCBJvxwMSa96u6b1eU7R5P+0oMe3t+ttH6Hu7phwh364pB9K3a3rv9k2BQCj2X4M2HNvfrj9OAdyqqWQKbsViklC4HVTOO9wKKuN6O90BMu6H3OER7tu3I6OkQm6FmmRMboWaJFZuB5XzL7eDymma20HdD5puhPoAiZ/bNb0v+aF+U/6h7uBdkzqjX3tptbsu55Y8vkvZvKPk/wGBA3Kj6RMAAA==</t>
  </si>
  <si>
    <t>F4B6CBD4153F7CA651777AF87EF34787</t>
  </si>
  <si>
    <t>JChemExcelm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6Ij3x/nuRfpmelB8J9uXJPKsvqNVOGv63S//fJlDv9pgSn376cP/e3sMH+5/u7e89OEi7Hx3spXvj/Z2dT/f29ncf7j3c2f/0Xu+T/f5rD9PtnfHep58+uHf/YG//3qf3P92h/0c+PLhH6Iw/3dnZ391/uP/p7sN7n+7v0Wd744f39nce7lOLnb3dTwm1yEefju8fBIh8lF7TuPbGn+4+eOg9jOCD4KO9dGd8b+dgx3uoGaGyd2/Xb4dud3b25Js9v7lAiPRz0Ae9c18B0Fc7NP137fwfPZ5Uy5n3KzPEq/y82VOe+Cit6lle03ThRTSJNATn3Koh+Ms23NvQEFx4K4jg1VtBBEffCuLebRtCQIKu0eJ1m9d5dXQib+lfgyAgYLfqi8UwNk7+oRN41wg7/dpTBHedlkge3yX9c5T8P2zwAYKbBAAA</t>
  </si>
  <si>
    <t>5581D7A980C123EB4D7EBF3431E7E0C7</t>
  </si>
  <si>
    <t>JChemExcelU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epF/Sfyf632v+94X92/z3jNvx7x+l7/Y++2j7/nhn797Opw8f7N27t/fw/t6DdPveeP/A/+gg3d4bP9j1P3rY/4he3B3vPuh8tDPe+/TBwcHO/r39Bw8f7u4e0BCp2cNPH+x/+unODrXa3z3Y7330IPLqQ3p1b3z/3s7+3v0He3u7e/f20cW98cGn+7s7+wf79x7e390/OOh/cr/33j3M9cMHDw7uPfz0/oMHhGv/k730U3prd//TezsHDz7deXCfnv5H3ddo2rr97/c++XSvP5Iu6E/TB/QWtd7b23m4f+/+/Yf7vSZ71PuDT8NPHozv7QSffJRe00QT49NH9+/t7Xx67x6hsvfwwf20+yHhQ1Nx71Mi0N69vYPd+w93DnYeYmLv7ewd7N1/uHt//+GnD+nT3mcHDx+AJ+7vHzzY3ds5+PTg3v7+zgNmnZ0HfjsiB00tdeB/ho927n/68N7DB/v71O39Bzs7O/uE3969B7sP9ncO9u8Tprs79/vvPtzr98HsebDf7bb7GVDeH9878IeWkkTs3g8/+XT86cMO+Afj/U87H3VbPeiBwjg7/RFvdrF/uPNpD1UMsjPwh0yfgx1//u73P9o/IO1016qno8eTajnzfmV99So/b/ZUZX2UVvUsr0mv4kU0iTSEYrMN9zY33L8VRCjJWzWEKr1V11C4t4IItXwriFDet4J4/7YNoed3btVSTMbtmrJluV1TNkC3avrg1i0Z6O1mXQzf7ZqyfbzVPIkZvR1Utra3g8pG+XZQ2XbfDur9oOlGoWNv4FZNQde927GA+Ba3wpWb3m5ixVO5XVN1aG7TdH+oKf9QtXbXeGj0a897u+tcu+TxXXIaj5L/B7dO2pxQCgAA</t>
  </si>
  <si>
    <t>F11C489C86DA4CB6F53694661D36BD46</t>
  </si>
  <si>
    <t>JChemExcelq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pr/vqT/3F/D/31p/3uRfSRkLE/mWX1B0HbS9/9ve1d/IdTe7X320f54/+DTe/u7n+7cv/fp7oNPP033xg8f7O883P1079OdvU/v3Xv4IN0dP/z0/sO9/YcP7u3eo5b371Gr/Qc7OzsHew8f3j/Y3X14kO6M9wnEg/2HD+8d7Ox8unewm27TXN/f2d85uHdv79P9/fu7+3sP7uPT+/f396mH+w93Dgjyp/TZ3njnU3p599N7B/t793cO9vHR/QfUwf7DT/cPHuzs7d2nZvtjArZDnezv7+3Qi/fS7ftjQnZvf/f+wwc7D+9T52h1/+DB7v2DvQc7n97fefCQXrw3xlvAd/feLuF50If/6T6a3X9w8JBQ233wgAZKDBGDf398/+H9e/Tm3r37+7s7B33wD4nQNPaD+/TpAdFr/8HDg4PIyB8S2R7ef/Dg/sG9vZ29ffptZ69P7vQeUftgl2Dd39t/sLt/sJf25+3++CF19ZCGvf/pwwe7D/fTB2OaBwK9d4/+eUAQ0k/H92lOCc7uLs3FvXsPCPLDAyItkeqA0PqUuHl3vP/p7gFB3v/004cY+r0+QT9NSUx3DwLgH6XXxE8gBCFJE0TTQzQhMbo3vkeAMcb9Bw8eEHbgHhrtLjjoAXWxv0ccsDN+QHgf3Htw8CnBfLhD8kY89vDeLvV2f2+XmhDBge7+wb39vYMH9+iznfvgzXt7D3eI9tQtOJHkcHf86R6x5i6IQJ/uPgABQ7R27vfQur/fQ+v+pzG0wOg0/6Dgp0Tfhw8eYGIfPnwIjAjQg4MHew92wV/EzfcwOMw/gb0HpqAv7+3u7NAE3NvZ2d9jIdknVPcJEn1AQvLgU/ATzcF9YqAHn+6T7DzYw6s0ThrCA+LUh+AX9PCA0CZk9wm/3XtEDTDiPRI1vEnssE9CHOn00zhyvUHcj/a6MyYi0+h398EQ+wQzggpNcn8QLMBg/x1SESQB9yAU++MDojkpCWr4KViSlAZp77tWfR89nlTLmfcr6/NX+Xmzpyr9o7SqZ3lNhggvokmkIRT/rRrCPAQN0UJsy9G35S39axOI+7fqC0bINtzb3PDBrSAedBu+P/YwiLfqi83mrVqKdb1dUzbCtyIK2+lw9r/WaHdvxxjiFtyuKXsPt2vKTsbtmrIvcjvS7AVNb0TgYIiK370dFXnAIdd8DSDsX90KaXHDbteUvbXbNWWn7nZN2fe7XVN2EW/XlD3JW80wN73dDDOugzN8SzlhMg7O8C2BQA/cC2f4RjbhH6r+7xrXn37thQV3XcyQPL5L0chR8v8AEzj3CqkMAAA=</t>
  </si>
  <si>
    <t>082A72727C13D5D174FB065CCEF988BA</t>
  </si>
  <si>
    <t>JChemExcelfw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FP+9SOXnl/Y3+1/5Ufpu77OPth+Md3Z2D3bv3zt4eP/hg92D++n2/fGnnx7s3vt079MHDz59SF1s74/v3dvfv/9gd//+w/3dXXx0j97befDgYGePPri38+Bhur1L7z3YeXjwcGdv7+D+zv7+Xv8zenOHgN3b331I7xLInZ2D+Ge76GDv/kP6+N6DXfrtfrqHVg/vHex/em/34cOdT3fTewD/6e6D+wR7j/q5T9NB49l7SJ1+enD//u693cgn/bf6kLvd33uQPhwToTxAH6XXRMGd8cNP9/Yf2ufBg3RnvPvQ/4jeSrvNDj7tNXvYa8SYEY7hR/33iMz39h/c37HPbgzUzf1FkYoA394jpvc/2vl0uFmnxx1i/LuW848eT6rlzPuVReFVft7sqTR8lFb1LK9JZPEimkQaQmZu1RCSdauGkL9bNYSU3rbhg1s1hMTbhnubGz68FUTWHrdqKUrmVr2LLrodVFZZt4PKmu12UFkB3g7qTtB0I1RWqbGm/ENZ9a5R6PRrT9nfdZYgeXyXbMxR8v8AdlbJbX8GAAA=</t>
  </si>
  <si>
    <t>07FF84A09C63A15BC7C831EAFEF141DD</t>
  </si>
  <si>
    <t>JChemExcelh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OW/L9MX9O8L/s18Rv99lL7b++yj7Z3x7sHew739g90HB7s7Dz49IHg0kHv3Pn3wcHePvjvYube3n+6N7+3du/9gb2d/58H+/Xs7e+m98af09/3d3U/37j9A+0/T/fHDhzsP6cuD/f2d3XsP+o0e9ADtHqQ744cH9N/ew92Dh7sP9j4lSL2PDlLC9N7+vQcHn+7t0MeE6YOHBP7e7r39T/cf3n/4KXrYA3xq8uD+vYf3Dh7u7+7s00f3xg8efPrp/qcH9x8c3D+4t7t3j2Zr7+G9vfs7Dx4+2H/4YHcXnxzsPnz46e4BDXn34NP9ezSag3s7O58eHDykIdFo7n2UXoNixDP3HuxTw4f3Pt15sPNg9yFwe/DpQ/+5n1K7hwR7h2ixt0803Pv0XrpN2O36n0Wa0Uf74737nY/uj2nUN7bqgd/vw99nbB8QiT998GCXSEuj2CXgnz6keT+4/+nBPSLLwf7uvft7NF274/ugI1Fh/2Dn0/37u5ib3f29vYc7xDMPiGD37+2mPZrsHRBf37WMffR4Ui1n3q/M6a/y82ZPmf2jtKpneU0SiRfRJNIQInGrhhCcWzWEeNmGe5sbfnoriBDVWzWEQN+qIcT+Vg3v3bYha5FbDRv6ZfdWMEUl3QqoaK7bQWUFdzuorAdvB1XV5W2g7gZNPaj8Q1n6rtHr9GtP5991BiF5fJdMzVHy/wAUqT5thgYAAA==</t>
  </si>
  <si>
    <t>6C847014305BACB86D3F3FC17EC92E72</t>
  </si>
  <si>
    <t>JChemExcelC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PcilZ+v0y/pv5PgP/rko/Td3mcfbd8bP9jZv7+z+/Bg7+H+wf6D3U9Pt6kDGt29e58+eLi7t3uwd7Bzb28v3Rt/+umDe/cP9vbvfXr/051PH+yn++Odnd2dew/oA3qXfot8cp8gAez+wYN7BO3eg/vppwTp4N5DAvJwd39n90G/0QEBuv9p+MmnNCfdT7pwDqj7vZ0H+w/u7Tz89IB+Sx8S5PsP7t87uL/34OGnhHvkk/5bXch7KfHDp58+3L+39/DBPr209+BBurtH793b3d2jt/bv792j+em3+ii9Bpn3x5/uPvSflCh/sN/56Hat9saEZ/jR7vj+veCjfW62GwV5f/zwvj+3++hl7+DTe3s7Bw8Odh/s0nDQ6p5gtGd+/3T88F66/WD8aQBPvtjrfPRg/EBe2PEeQufheG+fhOCulYKjx5NqOfN+ZbF4lZ83eyoZH6VVPctrEl+8iCaRhpCfWzWElN2qIWTxVg0hsbdqCLm+VUPq+uBWDaEjbMO9zQ13d27dcvdWnYtauhVQ0V63g8pK7nZQWRfeDiqrzNtB3Q2aboQKBG43paKrb4cAmrpp9aDyDxWVu8a40K89w3PXWaXk8V2yd0fJ/wNYgIEjCwcAAA==</t>
  </si>
  <si>
    <t>AA72B184D4BE63ACED48F83518E22EB3</t>
  </si>
  <si>
    <t>JChemExcelRQ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iv++TOWn+e9L/eSF/YR+Kz9K3+199tH2wfjew0+95166/WD86Z7/0f10+9PxzkHno/vje7v+R5+m2/fGDx4Ere7js50d/7MHD9Lt3fF+8CY+2xl/GuDxYK/fTvoI4X2a7owP9u95z95Bujv+dDf46NPYR/fGu/eDj/bpo4d7wUc0+fufhp98Og6a3NtNH9C4w0+6bfbuRxr16EWI744fBjjtfpReY5p2xw929x/c29l7+HD/4b3dhzu7INm9g92d+7u7gHKfxvLwfvzDHQK69+neg4f7+7uf7h0c7D2IfbQ33jv49N7Og51P7z98uPNw98H93kcH+70X70X63NuLfhZ5tdvBw3u3htYlCcGLfMYMs3+wv/Nwf2/33t7uHk1y/6NbjuHeDpjm092HDw8+3T14cLB7QAO6R+PaIVG/a2X96PGkWs68X1n4X+XnzZ7K/0dpVc/ympQUXkSTSENoiVs1hC65VUNonFs1hF6yDfc2NIT2uhVE6LhbQYQmvBVE1pe3Ank/aLkJJvTr7q1aipq+Vffc9HYzKUr/dk3ZNtyuKZuQ2zVlS3O7pmyQbtcUUG83q2LebtX0UxjBWEv+oeJ315hl+rVnsu86e548vkuewlHy/wCIHS7cRQgAAA==</t>
  </si>
  <si>
    <t>9260CC13D2AC8DC310BB26B5D57BA6EF</t>
  </si>
  <si>
    <t>JChemExcelp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vsyfUH/vk5ffJS+2/vso+298d7O/b1PH+ztHhzcu39/99PT7d376fbueP/Bzu6Dg939+wcPd+7t7/PHNIZ79z598HCXWu8d0Mef9j66n+6NP/30wb37B3v79z69/+nOpw8fdD96sJvuj3d2dnfuPaC/9w/2d3cigPDaw52HDx8efHpv5+H93Z2HQOJT4NZrScT/KL2m8Xw63r3/0HsOqKdPd8NP7o0P9v1PHlJH99CR98nu+P7+jvfspgfjgwMiyP7uwwf05979PUFmZ/zg0/DV/kcP0m1QYOfTe3u793b3Hjzc3zuwbz9AX/eC9vs07XftvB89nlTLmfcrM8Kr/LzZU174KK3qWV4Tw+JFNIk0BMfcqiH46lYNwX224d6GhuDRW0EEJ98KIjU8uBVESMWtGrLs3KrvhyJht4C5P9SSf+iM3jVST7/2NMJdpy6Sx3dJER0l/w9Am1/VpAQAAA==</t>
  </si>
  <si>
    <t>7A8ED16AD81732B76592767C32851405</t>
  </si>
  <si>
    <t>JChemExcelO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3u5HaV7mQObN9SqnsaUv0pPb/Fd+lL7b++yj7U/H9/fv3ft0Z+fB3qf3dx/uPUi374/3dh5+erDz8P7Owd69g4d76fa98cEDarN7sHfw8OH9g/uf7qfbe/Tm3r29vQc7D3Y/fXCwt5tu79KbB5/u36MW9+49fHBw/2G6M97du79z7/79e5/uHxzs7T88uJcSHR8+2N+/t7d/8PAePr1PH+3c33/w6e7O7s6n+3u796nV3nj34N6nn+5Qmz3q++HO/fTe+NP79/f27+3s7u9St/sPHtBHDx8+eLh3n/7b//Te/gN67eDThzt71N/Dg33q9iE12b+3++l9dEAfPjhAm08/9T/5lPrfvXdwcH+XgBKGOwcHhPiDh9ToADg83Ln3KQHa3hl/+uD+/u69vYP9vb2dPeoWYz7YIfjUw6cH9w72CAt8tk+v3tt5uHdwn3DYIdSJt3aIdLtE4ntE6PufUs/pwXj3gY/8R+n1Hnh29/7DAyLEw4f37u/s7e/RyzQN3ie7INjXaLQbb7R3/8G9PZo0mmOaxgegz4P7Bw928fn9PYyJaHiw8+kuzejBw08f3t/f58mgL/fu3/90b3d3Z49md59AHRDPfPrpp0Su/T0iGch4sHNvf2fn072dXaLdHs0QyIgp3H94f4+o8CkT8eGnRLx9Ij/x1qfUDfhr9+G9e/sPdz/d339wn/C9Bz789CHN2cHuPsi4A8Ju749396nP3V1Cb+/gwUNuRoy0S9TeoVnZvf/g/gN0QTAwiF2aTqL/AXe7u0/DvkcAaM4fPHgAKu6QxN61Inv0eFItZ96vLMOv8vNmT8X4o7SqZ3lN84YX0STSEMJ+q4ZQCbdqCMVxq4ZQL7dqCCV0q4ZQVbbh3oaGUGi3gshq71YgRTveCqgo0VtBfRC03AiUtfLtmrLyvlX/ouNvB5VNwe2gssW4HVQ2LLeDyvbndlDZTN0K6qdBy5sIEG/KP1RU7xpLTL/2rPRdZ8KTx3fJOThK/h8P6alUOAgAAA==</t>
  </si>
  <si>
    <t>3A2C1E46FA853452773858F754AF82B1</t>
  </si>
  <si>
    <t>JChemExcelF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Yn6YvU/Ptl+uKj9N0ehnXv3r1PHzzc3ds92DvYubf/aXpvvL/7cP/g04e79w/27+8f7D443d79NN3ufr4nn3ch3E/3xp9++uDe/YO9/Xuf3v9050H/g947aHNw8On9Bw8PPt3f2bu/v/MpA+++ubv/UXpNaG/vjB98+tB/dtPt++OHe3uEGUHe29nb+fRA8bt/L2i5T1Dv7QQfRVod0EcP9+7de3Dv4aeffrq3++n9fQZ3b3yw33l3f/zpbvBR/xOau7t28o4eT6rlzPuVZ/NVft7s6YR+lFb1LK8/+2gPL6JJpCGm3Tbc3dAQzHEriGChW0EEo90K4q7fcBNE6vrBrRqCu2/V9QOWgT5E/qHEv2ukjH7tSeBdJ57J47sk+EfJ/wOpQihNFAQAAA==</t>
  </si>
  <si>
    <t>1CABEE6D491642DCA77FE396F313CC26</t>
  </si>
  <si>
    <t>JChemExcelr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3f8ozcscHb65XuWEf/oiPbH/fcn/l0+e1B/JeMqTeVZfUNuddDfdif63vftR+m4PFLp/7+Dg0537e/d3Dz7dfbj/adr96H66Nz54sHf/3sNP9x/s7O7v7fU/urfbf+1+ujPe26E/dvd37t27f7D76c5e96P7Dx/eI1zGu3sH+w8fPNg92P/04cGDTyMf3eu/urObbu+N9z/d233w6cH+zt7DBw939+73P6Me7o0fPLx/cP/+Q/pi7/7D/Qf30gdjoOqN4KP0mgiyP96nP3YefPpQ/6WhPtzxP9mlT3bv+Z8At/umvfz7MN3eGe8+cB/Qvw96zXYPerB2+y8e7OyDIA92gw95nAfBR/f7n31K7fbHO3sBIn1o9/cJtx1i1ruWW48eT6rlzPuV2fdVft7sKQd/lFb1LK+JifAimkQags9tw70NDSENt4IImbkVREjWrSBC/m4Fcc9veAPEg1s1hNDfqiGrhlshiZa7t4Ipeub2Td1Eek35h7LJXaMA6deecrzrNGfy+C7p5KPk/wGOL2/HrwUAAA==</t>
  </si>
  <si>
    <t>30B148B54A9BAA16C2AA652AA7B3238F</t>
  </si>
  <si>
    <t>JChemExcel5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1Pz3gv//gn96/5Ufpe/2Pvtoe3f86cN79/fuPXh4b39v7979g9NtAkojunfv0wcPd/d2D/YOdu7t7/c/+jTdG3/66QN6ZW//3qf3P9359OCg99HDB7EXt/fHDx/ufvrppwc7e7t79/Y+3aNe6eMDovXDg3t7e/d3dh/u3n9wTz7uQvh0L90f7+zs7tx7QL3sH+zv7tzvfbIf/eg+gdp/sPvp/sGDewRuP/2UED6495Bwfbi7v7P74H7kk85L9x6mBwR5b+fB/oN7Ow8/Pdjb/Si9JmLS4O8f7H9678Ee0XR///4DQX9n/ODTh/6zn27vjelN/6F298Y7D/yPDkCnT3c7HxEyBze36sF6EH2z+9HDPmYH93gEmMcHOw8fHNBwP92hUe/v3LfDe3DLAT3AXO7cI9IdPNzZ33t4nyiFOb5PwnDXSsPR40m1nHm/sni8ys+bPZWQj9KqnuU1iTFeRJNIQ8jRrRpC2mzDvQ0NIZO3ggjJvRVEyPetIEIL3AriPb/hDRAf3qohVMzOrVpCIe3eqqXosVsNSNTd7aCyVrwdVFaet4PKOvZ2UHeDphuhAoHo3PMP5f67xm7Qrz2bctcZnOTxXTJlR8n/A4Sw9YnmBgAA</t>
  </si>
  <si>
    <t>17AFA975B9F2093919C426F5D6B7174A</t>
  </si>
  <si>
    <t>JChemExcel2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t+mZ54/70I/up+9iValx+l7/Y+++jeeO/TB/R8+unuvf29gx0Cvzt+eG9/5+HB/XsP7+/uP/j0wV7vo4P76c74052d/d2H+7v056cP7u0/7H10/9N0e2f84N69vfsPH9AX+7t7Dw/2o591X31wr9tnH4sHRK4u+v1P9vfS7b3xzqefPrx3cECd0s97+5GPPsVnD/b27326++n+/XsPHj44ODjgdnv7Dx/e39vbu7//YI9mafsescn9Pfr/p/sP9mng+wzuwYP9vYe793Yf7t17uPeAPiJW+vThw91Pdx7eu3+w+/Bglwa59+D+/u7Ow4cHnz7cffjpp/dAi/179N3ew0/pix3C5R6IQfAf3t85ePDg4d7DvU8fHjygsX+Kyfn0/v79A/rfwz3gsb+z8+nug4dEiocPqLP76YPx/r4/+AcEa+ej9JomGije+/TgIYb3kKhJXQFHwsL77EAw2vM/e3BAQO7t39vduXdw7/7OHg2O+HN3fHDQ+Whv/On94KN0f7z7sPsJjXBjmwiYTl/3CPMuRn189mNY0+BoKnc+PTjYvf9wf293h5mDaLy/u/vggKb03qeYunvj+5/u0dzdp/eJrDsP0erew12CRIzw6T2izn0Qb+fezs7BvU+JWWiWmA92x8QROw93Huzvaysi+87+pwf7YPWDh5jRdJvGvPfpzr29B4QVMTSa7Y/v7d0jRrl372B/797BXp+cpABoMtNtmuOdoCWpn7tW/xw9nlTLmfcrK6RX+Xmzpzrpo7SqZ3lNihMvokmkITTXrRpCv9mGexsaQgveCiJ05a0gQqPeCiL07q0gQjvfCiLr8FuBvB+03ARTjMLtmrLtuFX/94KWm4DC9txuzsVk3a4pW7bbNWUDeLumbCdv15TN6e2astW9XdP92zdlO36rpmLub9UUFLhlU3EgbteU/Yxb8dUuuyMxqPxDFdBd4yzRrz1H6q7zspLHd8l/O0r+H8bxerDbCQAA</t>
  </si>
  <si>
    <t>C1A01CBC42E75165A53ADC6EDDF8B5D7</t>
  </si>
  <si>
    <t>JChemExcelP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3qcfpXmZA8E316ucxpua/17wv6/TL+3v7psv9Tf+LvtI6FKezLP6gmDspDf/t70b/Ln7UfpuDzPw4NOd/fuf7u/vHOze29m5dz/dGe/vffrgwYN7uwcPD/Yf0q/70c+2d8YPdz59uLN7sLN3sH9v59ODdHtvvLe/c/9g5+He/qcPdnd37j2IfNZ/89O9/meESefVnYcP6LN74/sPCJmdnf1P9x8+3I01u/8AzfYPPqU/dx5S04P7u/fu4bOdXb/d3qf47MGB/9lupN0uEW+8/8D/aOcAGD/YCcBF2qELGtnD/U8f7j+4f4+eTx/s30+7ZCfOoU4f7tNw7n+69+k+KLef7hPVHxzs7n96sE/v7zzYJTZ/8Onu/sN7Bzuf7j0k+A/SB/Ta/d0Hew/3Dnb37u/u76YH9NbBwf29HSLP/Xu7Dw7S3b3xpzvBRx+l1zT5hO19ouL9fXz+cHf3PuZmb3xv1/8M5Di4732yf0Bzvz8Gmu6zh/FmHWD7B/dAoqBTvEqivRN8tL+zRzz3gJhg//7D+zs7jP1+v+H+g3sPU+pkJ2hItNzbOXhw7/7evYP792gO9oiUnz4g2u/tPbj36b17Dx4epJ8SqAc7RPGHhM7uwb09IuW9/Z0HezsgJ7E58XP3kwe9t3bu90B/er/b//2H9/oUO7gdYT+oGZGLFNxdq+GOHk+q5cz7lVXeq/y82VOt91Fa1bO8JsWAF9Ek0hC60Tbc29AQGvRWEKFnbwUR2vhWEKGzbwVxz2+4CSJMwK0awlDcqiGbk1shiZa7t4IptulWQMWE3Q4qW7rbQWWDeDuobDdvB5XN6+2gshW+HdR7QdONUNmu367p7q2bwjFwHLBR5tifuF1Tdjtu15S9k9s1ZSfmdk3Z14k15R+qf+4ab4x+7Xlqd50blzy+Sw7iUfL/AIaXqA48CgAA</t>
  </si>
  <si>
    <t>5A6E11E7C27D1CE6ED01F2053BB92DDF</t>
  </si>
  <si>
    <t>JChemExcelo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eO+jNC9zIP/mepUTLdKT9AX9d5J+yf/Hb/Kf+e3L6Lfy37P09/pICFiezLP6ggDupLf7b3t34Ivdj9J3e599tDd+eLB/sLOzf39/5/7+g/2098H+eO/ezqcHn366d//ew73d+wfpvfGD+16Tewef0lt7u52Pdsf04+Hu/t7B3oPdB/f2du7TR/d2Hn66u7v76f37e/v37qXbO+O9vd2H9/fu3793j1ru7hDld8cP791/eHD//sP7B5/u7nxKBCb2urfz4OGn9M89Qub+vry6e3/n4OHBp/s7O58++PT+LrB48OmnB3v7Dwjdg50H+5+mO+Pdvfuf7jzY2T0g9Pb27987oM8e3N99eLC7v/9w996nDx88+BTQdu8Tjg8O7j2k//bvEUds744/Pdh/8GD3/v2DvU937j8gjtjeG98j/PcJv4P7Dx/c29lPt++ND/b3Huw8fIAO9/eJBHiV6PDw/qcPdgi3Tw8e7u/j1Z17e/fodXpr5x7Iic/uHzx8+OnOwf6nDx7uEE6EHJFv99NP79OfRCJ6/z6NiyhLnd1Di539/V3gu0/o7u0R+vcPHuzuPLyHodIb90HrB/sPP93b22Eq0ZcH9x7cv3//AVHk4MEBPqP+9j+9R5QhdHfuf3rwAB8+PHj4KU3L7r2HD+jbT/cYu73dvd1Pd+/tHezvEhUx2N39B4TbfXqdiHWPSbK3v7e/s7uH4T94SNNFrfb3PgUn7O3ee7CHST0g5HwuevhRek3sR7pgn+bh071P92h6qfkBtTx44H/yMH0wfvjpwz2a+XugCNHo0/H9HeqL2IH+xjeRT3ov3R/vEaU+3dkFUXcP7j+gT/Z3aQ7vPfz00/17+ztEVppK4gz6mpj23t7e/gFo/+kOXqLJpGk8uIdG93d3ibjETPt79/eIXcDrOzvEdzTV94gF6E3w+qegyYMDkH6f2IMJT/N8DywPuj4kzger7D3c+3SXGI/oRdJBPdBn9IMA0Zu7uw+oFzDy3gOaDZoxYvW93QcP72PG9+/Rmw8hOAf06wOWMfqW5AifHzwkHt2DSIOWu5/uER88JK5hxrv34MF9kieaWRJmFkYa6sOH+xCB+/eA4QF/dvApSfXe3t4BCc3+zqeY3IckRp/u3/+UuPTTT+/RR/fH99Bkn9Clid8Dg9KMELPukkyQTN4jdk63D8DGLCbU8z1ikHT7IU3KzsH9Tx+SeD4g/tjDRxDqg3v08f69g/2H1OoBCeI9QnvnAMJ0cPAQ4PfvPYD0EuffI5YE0XbG9+7df0CzTnJHAyVlTgQnu3DXGoajx5NqOfN+ZUvxKj9v9tRYfJRW9SyviTPxIppEGkLD24Z7GxrC8NwKIszTrSDCiN0K4t5tGxLEB7dqCMt5Kxyp4cNbQWQrfKuWYqxv3/R288hN3UxubMoewq2GL47E7aCyv3E7qOyW3A4qey+3g4qmt5sspsAtm7LbdLum8KJuObFwum43seKr3YoC3PR2Qiqe3+2asoN4u6bsR94OV3Y3bweVvdLbQWXn9VZQxce9HdRPg6YbcQUC0YnlH6qu7xqfn37txQN3XbCQPL5LYchR8v8AGLa62qIMAAA=</t>
  </si>
  <si>
    <t>7D49E483959D05462F6A42D996E57C2E</t>
  </si>
  <si>
    <t>JChemExcel9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892X6IpXfuv99iX8/St/tffbR9sPxzv2DnYNP7937dOfewacP0+0H4wd7+/s7D/Z29/d2dz69v59ufzq+95A+ONh5uHfvYO9T6rT3Eb14n0A92Nk/ePhg5/79/fsH99LtewSLID882D94sEeg6MW98b2Dh5/i3U8PHh7cp4Ft00Td/3Rnd/fTnfs7BODBp9Tlzvjg4f2dew8ePNj9lDp4mO6MP93dvbfz8P69e/sPd+njlKbkIPjkPjW6d3+HOrv3kLp4uLv38IA+IvQe3Nu//2B3596n9+8T5QiFe/d2DnYPHny6++mnBPZBem9879N79/fv7ew8fHj/4d79e9TogL6//+kBUWVv9+DeHn2y/3CfhvaAunx4cED97xw82H3IY957SL/sU2c0Eq+zvX3igWvQ+d54d+/gwcP7uwf7nx7sPwSyIMX94LM02mx//Omn/md7t36z1+z+cA871PQh/XN/j8iMjx4e7Nzf36OJ2t/d3f+UJ/NTeuXTew8O7tPk7u892EcP93f29vd2HhDtiAr3Ht7j6aR5e3iPaEOEBHUwnQ92H3y6g+7uPdy/dx+Mtjsmyu7cJziffrpH1Nt/gD7u7X366YOHDw52iQt3CAVM4O49+npn597+g70HB/c+JcoTg97bO9i/d48Y8P7uA7QiEAcH1Gzv/gP6nPiBhO2ulbajx5NqOfN+ZfF7lZ83eyqBH6VVPctr0ht4EU0iDSGnt2oIabYN9zY3vH8riNAMt2oI/XGrhgfdhmgh6urou/KW/rUJxMNb9cW67FYtReXdrilrxluR+SBouREoq9rbNWWNfKv+RXHfDirr99tB3Q2aboQKBG7HF2JYbtdU7c9tmt4baso/VDTvGitKv/Ys7F1nfpPHd8mwHyX/D5m6Vz70BwAA</t>
  </si>
  <si>
    <t>90793BA23854FA620864D14F4368ABCD</t>
  </si>
  <si>
    <t>JChemExcel6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3YOP0rzMgdGb61VOA0xfp1/yfyf83wv96f33Ufpu77OPaMAp/r833tvb2d//dGf/4d79nXu79063Cfju+P5+us3/3h/fp/8/fHD/4ODT3Qe79+492N9LPx3v39998GDv3v7epw/2D/bTB+OH9w92dx9+uv/ggEClB+P9e/s7O/TZw939vXt7u9Ti/t7Bwe6n9+/tfEoNaTT9Ng/HBw8PPr23d3Cf/v704P5BSoSnb+7RCw8+3fl0/+DhXrq7N77/6f2HD3d3Hj6gvx/uHUQ/6r/Yg/5Rek2UkGHeGz94QHjs7e7v3ntw72D/gOjwwNFh5+ABAaFO9h/ev/dQiBR/ZXt//GB3f+fTBw/2P92/B5Km2/fGe/sP9/d3Huzu0ogJxAMAfUCv7N779MGne/v3H95/yB3RO5/uPfyUKHvw6ae7Owfp9t7403sPaEg7DwjEg3v3Hu6fbmOC6KWDg3v3AY/+2b9PM7n/cPfBpw8f7Ny/d7D34NN79MnOrt/o3qf00YOD4KN+I2KL/QfBJ/c/Tbd3xnsP93d3CT3Clf75NNaM+PuuZfCjx5NqOfN+ZY5/lZ83e8r0H6VVPctrElW8iCaRhhAN23Bvc8P92za8f6uuIYm24b0NDSGvt4IIqb5VQwh+2BJNRJccfVte0782wtjdvV13rGNu15RV0e2assa61ZyIYrsdVNZ/t4PKavJ2UFWb3gbqTtD0RgpEm/IPFY67xnTQrz2zctfZnOTxXbJmR8n/A4v8IZPpBgAA</t>
  </si>
  <si>
    <t>679ED3EB2BECBE94C2E2EE6D700A361B</t>
  </si>
  <si>
    <t>JChemExcelc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vkhP0i/p//jthf48sX+/8P6Wdl/iv4/Sd3ufffRw/On+w/3dB58e3Ds42Lv34F76cLyzd29n/97e/Xv39+9/un8vfTDef7i7/+Dh/Xv7nz44uL9DWH86vn/w6d7Dnb39T3f3D3Ye3qNPDj69v7tD/9u/R/Ae7BKp790/eHD/wYOHD/d2dx/QuIn4Dx88OLj38FN8ep9G9un405196uPhg5371An6+vSeD2YvvUeA9+nPA2p1nzqjvvbG9wnDvfsP9vZ29+7t37+/n+4S6E8f7H/66c7O3sP7+7sP7/c/etB/sQv9Ya/J/v10e2e8RwM/AEo0mN3dT/f3020C/+DezqcPH+zdu0fwiVz9hoQ+ffZg/96DTwmNT3fvfXr/3qf76c54l8i2t/cpUfzhvYMHe/uRdtTv3nhvh6hFrxAquzvUU+SzB+n2vTHhuffg4cHu3v1PD4iO+Gjv4b17O/cfPiCqfnpvJ4Icdbo7frATIPLgo/SauIJev79379Pd+5/e39nb2XmIbmnYD+4TP9zfv7e795AJ8PD+/QcHuwe7uw8J3s6nn3K3O7uffkqo3LtHg9hj4t2nSdvbPSBciU47Ow8Ylb2DB/ceHOzcu0cY3KeJJ6nc2TvYu/9wlxjh04cHNFvUwd5D6p5mgcDR20S4Bwf7xFL3dvfvPzwAP9J8EdzuewGohzvgmF6re+NPd4OP7qX743sH/ouxNvcJqaDN/njn4IC4e+eAZGh/f+eAOjvY76F0n34jNt/f373/8D5xO5jgHs3g3oOdhztEZqIX89TuPRre/qd7ezTbNFZQ/t79hzTcT4mgOw9p+pj0Bwd+u08PQNN7+8Fne3iXJvzBp3sP7u8c7BCDYIpokHs79/Y+3f+U/nz48B7zz8EeIU68d/AA7NFH5N4+6bu7VuEdPZ5Uy5n3K2vAV/l5s6dK8KO0qmd5TaobL6JJpCFU5a0aQqHahnubG96/FUQo51tBhAq/FUQo+ls1hDm4Vdf3/YY3dL27c6uWYoRu1bvYqttBZZN2O6hs+W4HlQ3k7aDuBE1vhOqmfmNT4Hq7yRcDfjtc2c7fDurerZvCa+g0RRvxWI6+K+/pXxuB7Dnu2Ngfeyi3a8qOzO2asr9zu6Y7t28KqCF3fA3asAt2u/4w4JBvvB6+fcv+QOBQodwIhH+oVr5rfFj6teff3nXOb/L4LrnVR8n/A+8l/BhyCwAA</t>
  </si>
  <si>
    <t>BF2023865196AE12D625823322C9805F</t>
  </si>
  <si>
    <t>JChemExceld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476M0L3OM5s31KifipCfplyn+9f/7Mn3R+0z+Cz//Mv3yo/Td3mcf7Y0//fTBvfsHe/v3Pr3/6c6D3XR/vLOzu3PvAf29f7C/u/Np75P7RON79/Yf7H66f/Dg3u7e7v5u+inBObj3kEA83N3f2X1wPz2gt/Z2Huw/uLfz8NMDGm/vg/47Xbi9JvvdJvforS5+9/qNeoB2ewjuPIh88mBMHTzY2bm3s/Ppvd39B/v304cE+/6D+/cO7u89ePgp0a0PuwdoP/JJ561PH/Sw7o9jvzvWtDN/1DIl7r9379MHD+mFg70DQn2v9xFxWvfFhxEydgf2aW8OeyjukxxdE189GBPVvAez/fBe+Am9+jD8ZH/86d7Qx/fGOwf+x8SGe+N7u2HLbqPddGf8IMTkU6LGwf39/d2HNLKD3Yd7O58enG4TP3Rb3vs03d4d37/30HseHKTb1OuO/9nBg367h9TJ/Z29vQc79+/t7D68/3D3PvexO96n7j4l6PsPPn1IZH/QR5DA3Rsf7IfgtokGu/4nhMin4937nVZE5L0bWj3ow4r0SHzUa7bXb0ZM0qMHPuvSI9LsfoQjHow/9ZvQiLp8RIr98V2rlo8eT6rlzPuV9fSr/LzZU1X9UVrVs7wmA4MX0STSEPr1Vg2h9m/VEMbBNtzb0BAm5FYQYWhuBRHm6FYQYbRuBXHfb3gDxN2dW7UUU3m7pmxRb4UoN73dTLJtDpuijdj/o+/Ke/rXZiBunjf2x37A7Zqyu3D7prebbcb1dtMoPsqtKC6uzK2gisdzO6jsGN0OKvtPt4LKw7qd+IpHdrum7Ljdrin7d7drym7g7Zqyt3i7puxU3q7p/Vs3RcvbsYA4s7eaLG4aZQH+oSr/rnHj6deei3/X+f/J47sUWRwl/w8OxUqYdQwAAA==</t>
  </si>
  <si>
    <t>6BE8B57B57988AB16B1BE16B212AD0E0</t>
  </si>
  <si>
    <t>JChemExcelYhE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PY/SvMyx8jfXK9yImT6ZXpi/3vh/W7++5JbhN986f0/+ulH6bs9mrm98c6DnU8ffLr74N7ewcOd3ZQ+uf/g4NMHB/f3dz69v/vp/XspTcn9B/c+vb+3t0+fffrgAbfaOaAv9z/d3d3fe7hP1KJWOw8+/XTv4N7u/sH+/n0a6MPx/U/v3X/48NP7OwcPH+wQeQ/G9+8fELB79/fv7e7tEmEejHf279/f3//04c69T/c/3TlIP6VPdu7vHtx7eO/Bg4cP7qX74/t7D/YJwt7Dg3t7ezuf0ic7uw/3DwipPXrx/qe7xDg7e/v3dwnLhzsEbZ+g3L/34P7+3r29ezvU+NN96on+vP/pwae7D+8ffHpAxH443rl//z7BPbh3/97+vU8PUnDnpzuf7t27f0DoPtzbf4BB3N/7dI+w3Xtw/9NPd/bQ6P79B5/uP7i/8/DePkZL49q59/D+w737+wcHOw93HjxEb/d2CZndg10a3P49DGNv7/69+zug68HuLjHE3vjB3qcEYOf+g/2dBwfEFkT8hw9p6J/Sv7sPaTT3090xjXifBkukpD4+JebaJiwxTgJDY9x9QPP34H4K1A92H+zfZ+I/2Nkn0u2OiaQPd4hWNByahgd76fbueJeoSlS5RwPa/3SP+thGvzvUzcNPD+7d26cZTXfv0Uf79Cc1uvfg04fEq7v7wO7BzsP7D4igNLAH+Gjn4e4DgkuzSDijy09Jhvce3DsgIj4EgdLdB/TJAyLY/Xt7+w/39/DewfjTe0Sme5iZfUKa3ns43r138ODhfeKZg5199HdAn6DvvU8f7NGk7QL2p3s7RKxPgfwusQNDIgAPdj+9t3//YG/3/h76+5QIQN3de0D47tGg93bGxMwHe/t7ew+IYg9Jwvd26aNPD+7v3N+j2fmUcAEKROQDYq2H93b2iJfRiOb3YP9g9/6nDx/QVD34KL0mudkHB+wf0IAeEofRy+k90mzEQcSLDx/SJO+B9jSBB/t7xBAPaX52dzFF+wf3aGy7ROtPH1Lj+5hLIvIDpuvewwc04wf47N5D/9W9gweYN6KM38N9fLZHc09fE4/sgPd4Lvf379EU3b9HfLVHUoSPCP9Pd/c/JaEjEhAlqYsHO3vEmw+JssQwNKfA7tP9nb0HBwRnbw/T+il9RrQlFfHw4IDmgWgH/h+TsBAJHzw8gDwcPKApJoaEIB4Qavd2dmk694jb/WHt3ycSke4gLtnfPaD+iAiQCVIVxG97ezSuPWIZakQcAR7YfQBxIvVzf0wv3LtPPT0gkLs7xBjjB+CQg4fE6jTlxFVgdGKIgz3wyn3CfYepuLvzgIT3HtHiwT3iyPv7PG6S3Hv3WZd8+un+AYZIBAYTE6AHpKkwQki3exMcNL4HiXLvYYj3iZT0KU0o/fPgU3qPNCdRlFTjvYf7NL37gP6QtBqxLfHywwe793bBGaS4iCwkkyQEe2Q69sb0ijePzD6EPHHvLikCmgKSS9B0P5gz8BgUKuaLpnefFBV1SHO0c5/U8L17BPPhwR7zGA2ISP3wUygBYg3msQcPDvbQx709cMoD5p1dmhziPNIvNERqmW7fG9PkEHV3SJ3t3j+gge+MSc52aZp374EF7oMYNCYIDk0lKan9XSgkEgkStx1CfQ9CRcxOwyTOJOa5Rx/RbN17QHb6rjXUR48n1XLm/cqW+1V+3uyp8f4orepZXpPhwotoEml4r9sQLcQ5OPquvKV/bQKxf6u+4EjcqiHcjVs1hFMyhP23b4c9nJpb9QXX51YN2UG6VUvxo27XlN0t23RvU9N7QdOvN6nw4O7dDjN2AG/X9H6v6ftPGHzM27GRuKS3anrv1i3Fx/3AMYiTfLvZRNPbMZ643LdrCo/8dpwnDvztmrKff7th7QZNN0LlyOF2TTnAuBUCEofcDiqHK7eDuhc0vRHq7VSPxEm3arqPaOoDuVPCsVt1J1HbrUjDTW834xID3g4qBnw7dSAR5e2gcuB5O6gcn94O6r2g6Y1QbzfjEhjfrumniJ9v1VTC7Fs1BV33bzexJmjvN+Uf6s3cNTkL+rWXz7jrkh3J47uURjlK/h8JwCb4YhEAAA==</t>
  </si>
  <si>
    <t>979419C3DC665B9385D04414C755496F</t>
  </si>
  <si>
    <t>JChemExcelwB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0yMsc1HtzvcppMlL/vy/TF/rbC/2/+Tf+35f03wn/3/zebxH+3/x78lH6bu+zj3bGB3v7Ow92D+4dfLp3f3eHxrVLH+3t3j94sHf/4OHDnYOHD9J74929nXv39/b2HxzsPfz004d76f6Yvj24R23u7e3s7xNtPx3v3ru3c3/34NN7Ow/3H9IMPRh/ep9+vUeQ9nZ2DogGD8c79x9Qs08fPty7v/+AZu/h+ODT+/cO9u99enD/009peogL76G3B/sHn+7e3/+UqEmMt7O/SyDp772D+7s0eQ/H+/f3CJfde/fv3aMhAPKDvYP9nfsP79+7v4OXdsb7D+5R73ufEo4HB/cYzv37D+89eLBzb4/Q3H+wh1YPDx7Sh7ufPrj/6YOHO/TR3vjTe/uf7h/c39/fffhw99ODdHefCMBv7e58+mD34T5/hO/pf58SQoQvvXhvvP/pAdGNBrS7+5BGiR4fPiBQRMZPP6WxEEvsfjre+3T/3v7B7gPQ4dPddPfB+P69h6A5EWB3hwiNj+7df7C/Q1SiUT+8T2y8ezB+SD0+eEhU26eBHwD3XSLd3v37GPgBjZWo8GBn9/7ufRoTDXmPuJYaAQFCcOdTfP7ppxjgHk0SIbS3Qw0fEH/SR0S9g/t7+w+JFPu7O/eB+qdEOSLKg4d7+/v3drgVMcjOg/s7D3Zoqu6RMNKYaY7uPSQUdz7d3yUIoMz+gwfU1Q6h9nB/lyZ5lxmIBsPsQSCA6cMHBw8/3cF80FskbwfjfUC9T//SrO3QAA+IUg92CcdPd+7t7z8k4n1KvLm7t/fg/n2izu7uwUPisR1g9+DTT4kRd+/vfEqKCk3v39u//+CAqElUuTd+uPuQOrlPjLmzR4RP98AbRIFdgvtgb580xu6YGHJv71Mi0O6nNMk0CcSIxErUz8M98MLDhwfpNpGcJm+P2fDTh7sPdvHR3j71RkJDJJDBkSJ9cHCwe+/TPSIE0eD+AT57QFy+R8yzTzNPrzO0T+/de7i7s0fywAR7kG7vEhPR3D88eLBzQPQktqWPIApEOEL6UxrIw0/5s52DHXqNhkOMc//TPXxGsry/h3kmVGi41MXe+B599GAHzA3uOeB3HzzYf0DSvrNHn5GI3k+374Gy94hP7xHqRApScjTWfZqQB0SpXZLaPZIiIhOxC/EYDf0+zS8JNtFyZ2d/Zxe0+nR352CfOOxgfHCw84CYmaQY1MUnNJqH94g1Pz14SLzw4KP0mtTPp2PiywMaE7UiCn8KvUL9PTigyTl4SCMh/Xt/TAMiUPfwfyI8uGDn4T2aWSIo4QrFQ33hj/1PiZT36Y0DmjXiEJp2cNw+fUJs8/A+YfnpQ7DWfXrpUxJDotT9/d098Ar1TLN1cG+XpmyH6HkPao+EaZ+k/YAmkOhF4yByUifE6LsQcuJeohJNEgkKMfcO/fsAn5CifHgARr+/u0u/MntBLndIlggwSf2n++BBYow9UnbEJ/ukSMGWJC3E25+SRr5H0vEp6H0PiglqBwg8eADw90nlUJNPiez03R4YiRAk1KFtCb17ZNbos31iY2LU+9DAD2iM4MuDB+iBVO/Bg4fQscBsfwdTT+JJE01zvDe+TxK4f+/hfVLcNG3g3X2odkzVARQuGAZoEAfuks7c+fQAKk0Y6yHmhZQ59bC/zwxIDQhx0jaQExoAfbT/6cMH4HviiR0wzDbUMLHA7gOolU9BPbAf0Zh5jTp4SONk9iP9SBx0n9QzielD0OzBDikEzCONlrQFyxCNmJoRNFIuoBQYnCaSBkVMSMOnEVM7mnLqfxcWBCxGBp4+InHZo9GSoBJyexgq4/vpLgwJ2QqSOh7pAVkZotMDMn5EcrxJHEvalESQzOY9CC6poh3IImkAMPMDfEIcQsQk9fsA1moP75HKIcncJ7TIaIA5CVniEGIwWFviK7JKEOQ9EmUSfprCT1V9EPuwKSXdeo+ouQctswfhpoYPPiXB3sV0Et13YblIOCGA94mxieNguT6FoSYOI+a/R9qGqEcfEZ0ekv+yR4y9SxqL2Iem6ADo70KNHxCZodrpF0wmzRzBfwizxLZVlAlZiN1P2ZxBn9/HKO9BqRPH3btPJvEhRnmfiEjmjXQFcQpNPzcj9UPah+zzHvp9yJ8RP0FKifpk8EF+2FAyep9CoxKZoIYfUCuYWRIV0iM0Nu6AUCAqY5rukyp4QOZiH6aKJIh0Aw2NnNG71hs9ejypljPvV3ZPX+XnDakquKfkvFX1LK/Jr/5IWohje/Tdx3e9v+SPOIh7AYihhvA2bcO9sK83t+sLTuit+oK3PdTXye36grd+q77g0wd9bWj48FYQOT64VUsJI27Vu0Qbt4PKQcntoHLscjuoHOLcrunu7ZsCqpvrjU05trpdUw7BbteUI7XbNeWA7nZN92/fFCFgKMWDssqR5O2acsB5+6a35AE0vd3ESpR7KyaUYPh2UDlmvh1UDq1vB5Uj8NtBvR803agwOaa/VdPd2zeVLMHtcMWwbskDyC/cjgcwBfduxwOSwbhdU0503Krp3u2bSurkVsRiBG7HLpKIuVVTydcECKDN6/a9zCYnfG7XH+eFbteU00e3a7qPLNPtmnIy6nZNOWd1u6ac2rpV071bt5RcWdDUm41buk/A7H7IC95r374lEGTlBh252wJBei/kkq8BZB/5wg+kiSQcbzUHkpe8lYBy01tyFhAIOev9RwFRuh9y0vvTU/Kst0IaCujTQU66JdKfSjq33x3/0DDirsmI06+9bPldl0pPHt+lJP1R8v8Ai5hI38AXAAA=</t>
  </si>
  <si>
    <t>5B79E42698E1AAA340CE0853614319A8</t>
  </si>
  <si>
    <t>JChemExcelbh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977KM3LHFR8c73KaVJS/78v0xfB3+ZT/PtCv+u3+JL//2XnU/eN+7/5V9t/lL7b++yjvd3x/sH+pw/v7+ztPLi3c+/hXrr7cPzw4b37B5/e3/n04f7uPpGVPtrZ379/7/69Tx88+HT/Ho1298H4YHd/52Bvn348fLDzabr76fjewf7upwf3qN29g093HqS7++OD+7v3CNCnDx/cf3Dw8GG6e2+89+DTnZ2H9MXBwc6n99PdvfGn9x7s7Nzff/hw/9P9HZpy4rqD3Xu7n+7Smzuf7n1Ks0WM+uDew517u4Tig709ejN9OL639+nB3i71vnvw8ODhffpk92D3/sPd3T1Ca/8eTeyD8YOHDz8ltPYfPLy/94Cmij7ZO7hPA9vb3blHwO/RWzt79w4O7u0f7Ow92H346afo7B69df/+wf1PP6UB3MMn+w/2QIKD3YdEBgINJO8/oE529+9RH/eIXWlwOzSQg4c01PsH+zQitCLUdh7sglIPHn5KjEytPt3f//TBpwcPHtwjshN/EaE+/XR3lxrsffqQ2t/DJ7s7+/ce3L9PA3y4t0OQ7o8/3aUJeEgo0qAeYhI+JdLd2zugEdE3ew+Ju+kjwodo8CmRYfeAQDDwe/t7RO1dwnJn98EBo7C7DzD3dh/QwHZ2MaH4+uHDBw/uf3qwu0OgDsafPvx0b/f+vZ2d/R0i6AEY4d4OTcCnRJZPHxLZD9Bq9/59akR/PtzZoz6BwwG6u79PdN+5j/52x/f37hHoXWIjIhqJKGi1S7NAnxHp6LkPIh88oPE+AIcdEBX3MMc7B0SZ+3vAbQfvEUF3dvb2PiV2IY7YJY1AoHbpvT2iOpHz4NN9DPnBzn3qmkATb+7fZ/bce0Dc9YCYdIfm4h7zMHHE3gH62iEuJQEHp3+6d/8+6EQkI3DpHqlIwnJn9/4BcenuzoNP8RHI9/D+wwe7uzv3d0nL0EcH1Pd9Gjcx86f0Kj66T7MEZidciZnpoz3i0H3i6t0d4rP7D3b5o32aRBIImttPqad9fETEukcMShNBs/HpvZTklNhq7+Eevfvg/j6NAuD3SCqJ+PdIIIghGK2dB3v39/YfQth2IUkPxw8O9h+QEBOp7u+R1BAkErKHBzSnGBEz5MF4nxiRxINQo4/ug9ceEuEPSFBIdvfukVqlj+7jpQMaDb1FQ6DJOfiUJAbiRIiRiKdE4737ROBPd0hG6KMDfELysg/C3Sd+I3oejHfug4NpHCQn98Bo9+m1T2lOHkJYiRj7H6XXUE5jkoYDmjAaI4SIxGJvTOTlqX9479N9ktaUhkMiTwQgRtol2SQNRmQ4IPF+cA/y9eAeCTB9RGgT6nsk80SzPbIX2ztk3R7eu0c0p2mkod8jKcCHkGlCnxhu7yHx7710m1iO5miHCEuU/XSXyE0AadpJcmieaPSgJDAheduhKYfy2SU9sje+B7VHiuQB6UWSz3vpvTHpWmig+0Qw0jFEbBJP+rFLs0+ko5Hug2iE9f4BEZdf/JS0FrEjMe/OPRKrHdIK1IYU3N7DA1IsNFDqnnTtPknD/fs0l8SG9Dcg3LtHqo+A0fhSkPkhYUw8T/O2Tx2R6iVtQhMKat6HLqCPHu6Q0iFiHTAG9BENjPp4SF3TyGh6HjwEnYgxPiWRJgYhNiStTyQBNWjmoVZJgTzYYSITDQ8g0kSRB6SOPk23QRaSOervAOp2FyTeA/GIG0iX7tOE79wH1UnqH5C8kQjc39khgd2+Rx+R9AO3h8RlhCE+u3dAYkHcDKNzAGAk/aTtSZ2R9BGnf0r43h/zcPYJ/h71SPacPtq5Bz3yKRmPA6IgrAVm5cHOQ9I5D/dJY4FZd0gPkB4jBoA2pE9o2gjEp8REu3uE1MGYNNgeDZtmjph0D2psD6rv0weYRfqcDdoeCS0Zz08JHOkkfPIpzOceUCfJuMc6kmaUGWWfROyAFSJJFo2UkCELwvYE2uiAZp1YmfiB+BIIgPdJbIh9IGY0DjLAD4iuZLKIOR5+SlNPokWGmvomu0vtiT1o6PepCRQ6ccceWJNU7UMS7l0aye4eGOYBUYJEgf4g1UaK9QGZEpIAWJF7ZPbJzYEVpgkgeSOu37sPdUKDBaMSYxE59qB7iakIwV3oBlIZO6DIPilH0jmkmUjPiIknBMjEEg8fYHQPwXmkHIk8NPmwCqRaVdnv3icRIpmhIZF3B22Pvu6T60GscE8tOBETTHuf9AYxxaeEAqH56f19mnOiwUOiAHQ66XgaG0kEvUTv7BPqNIv7e2BQ8CBxMelbEipSPCT4D8iVvWt92aPHk2o5835l5/ZVft6Q+oJzS65wVc/ymrzyj6SFuMVH33181/tL/oiDuBeAGGoIX9U23Av7enO7vuDC3qov+Oof2Bd8/Vv1hYgg6GtDw4e3gsjRxa1aShByq94lVrkdVA5pbgeVI5/bQeUA6XZQOY66HVQOt24HdS9ouhEqB3C3a8px3u0QQKh3+4m9ZVMJMD+Q2yVCvV1/HMjerinHu7druo+w+HZNOXq+XVMOsm/XlGPx2zW9d/umQOB2Ui9JgFs1lVzB7ZpySuF2TTnzcKumjOvtmkJA792OB+7tI+VxK1HiprfjAUmg3Kop9M4tmzLU2/GAZG5u15QTPB8oy5IhulV/kki6XVPON92uKaelbtd0H9mr2zXlJNftmnIu7FZN927dUpJrQVNvNm7pLTFmIS94r337lkCQxgs1xdcAso/84IcCQWIx5J/3p4lkKG81B5LIvJWG4Ka35CwgEHLW+48ConQ/5KT3p6ckZm+FNBTQ/UFOuiXS8Mk+vZ3Ngaf36e20ClzNT2+nVT6VpHO/Jf/QsOWuyd/Tr73c/l2X+E8e36UlhaPk/wFuRlNObhgAAA==</t>
  </si>
  <si>
    <t>E2A74C7AA616D2A8C580A861ACEBF74F</t>
  </si>
  <si>
    <t>JChemExcelix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4/+CjNyxzUenO9yon4qf/fl+mL4G/5TP6Pf7/0Pu9+77cz3/nQ8Dt981H6bu+zj/bGu3uf7uzs3r+3s/fw4c4ujWNvfLB3b/fhzr0Hnz749OE9+izdH+8d7O0cUMP7e7sHBzS4+9Ro7z41uffpwwf37xO5Hozv7e/tPzi4v7t7/8HODhHtYPxg/8GDvd1P9+/t36PnYfpw/PDTnf17e3u7D/f27+3ShBDv7Nw7eLh/cO/Bw91PH356/0FK7Pbw0z1CZ+eAkLi3f/8hWlFXe/d3H3766YMHuw+Jqrt74539Tz+lHvcOdj4lFLjR7oO9nfuE9s7BvQMC9XBMv+3c23nwcIcwpS8Jp4f39w5293f29w7u3fuUWOXh+MHe/qfUzcHD3fs792kCAYhg39/5lD54sH/w6afcG1HgwcGDBw/39+/v03Tu3ht/ure3c+8+KLCzsw8MqNXDh9SekNw/2N0lhjkYf3rv/qf3Hj7c29nf3yNSPhgTPYhe6PHeffoQhHv46YP9h/eJIgc08t300/Heg72HNC8Pdx7S8A4OiNzU1+7u/j4+2nnw4B5NCU3ag4NPiebU7t7eg09p4u7vCgj6d//hQyLSmGiGTw7u7Xx6QBTeT3fGew8PDnYf3CO4e/f2Hj44SLfps4Pde/eZDGh38ACf7ROiD4mKn97fJ7I/xEe79/Y+PSAC7997sPPg/u4DgCMmoHcfgnoPHzIVxkSf/Qe7hObB/YNd6g2tdh/s3KP+dnYe7NJcfwpoD4jpHt779P6nB4TSp9QnvUmoHtz/lGhPvzzcw0dEl0/pvwc7u3v3iQf5swcHhCv9/YDGsE9ctL033rt3nwDvgJWJkUi0t++NH9z7dO/hLs0YjesBoY1Xd6mnh/cf7j8gTqT5x0c7+9Tw4f4OMQ397x5hu0sMdXDwKWFPXROETzGCB/f2ieFoqMQY1AtmkmB++pCmFx/uPbzP3EW8/ABTf3+PegcHPiBmAHMRwHs0ccRdxMB7eG/3IX2zz7y8v3P/Pv63Rxy9C4a7Nz4Aa907eADBe0DI79KU01QQFML04UMSA7x4sL//4D6NZGfv/s7OQxao/d196o6kmSaSOAwCRXK0u7NH+N8jaSX9tHt/vH9A/+1/StNC/LLzAD3ep/kiCaSZfPBgh7Tiw/F9+u0BiTPxxX3i/Y/Sa9IZYGGixQPivYMH9x6QSr0/JgkjDUIsTYJFckIsfG+HRrNDjEYogAc+He/vfbq7v0fgSUN8SlL96XiXJhYK5iH9SxqWkHr4gCTlU0Al5B8SlxOlIPoPSRZpukg9QRTodRrsAf1NBL03JsYiQXiI2d8n7UQcCOGBaO5C+QAfsPMe2IyovEfzSloJLPgQyBAT7uIj4mSwAzV/sLtHOon0FLH2LriLBvXpHlGe2XVnj5kLDHhwcG93n0Zzj2hKn336kP8mlUHTekBKgl69R4yzBwV4AASIb/AZcTlBo67py3uE8fZ9EmewzT2I130ouO19GsVDMBFJNXHPzj18RIMh2tDMEifQxADYA8zMffoQSD6g+YaA7GAmdz4FQ+3QrOJVEpX7D3eIHiQeJKaA/ymNhbT6PZJl4lt8tE8qmxQRMTR4hViaRkV66oAIDcX/YI9f3YPCINYgZEEQmhWIM7Hu3j2g8oBehGoAmYmyNHISeaIGDfzeQ5oUEl7CirQQJu8BDY7mcp++IZYiRiG8aK73SInu7NE87IB1oIoPHhAD3SdKkiwQXzwgpiJFuL9LQksKiySBpBaKfR9EIx0ABA4IKVKANGf7LKBQADskr/QSjYAGfsBzRIqEzAEJHpruYzh7RHyyUjvggt1PYWB4zuldwohkjfgcWvLemOwUqW4ScZrIe5jxfdL4OzSiHcIOAyU+I0bfhVJ7SMLMckvTfXD/Ib59sE/K4AEJA3QwMSMNZp8MDQkTCfz4U5r6+0SWfShqmlz6iIwlCQixGVGN7BmRlPiPZIyYbpdM8gPoXzLbNGAaHWlRIgcoAdHcJ5RJnz0g6WWlT6MhfqWeyKwQWR+IhoeA0CAfgBQ8rweQT7IC99msyKs0PcRgu9DJpIihMskKfboPUKSqyKzu06QdkNG9f7DHbL937yH5d3etg3f0eFItZ96v7PG9ys8bUjDw+Mg/rOpZXpOr+pG0EF/x6LuP73p/yR9xEPcCEEMN4cDZhnthXye36wt+3a36ggP7gX3BAb5VX3CTg742NHx4K4jsct+qpXjmt+pdHPjbQWU//3ZQORy4HVSOGm4HlYOL20HlGOR2UPeCphuhclRzu6ZA4HbzimHt3W5iJZS6XVOOuG7VFFNwy6YSw92KrozA7XiAo8GwKdqILKbTanlJcRrHyF88ff6R98FPZuWagrd9A/tGrcRh5+3Q5+j0duhzEHu7phzr3q4ph8S3aiqR8+2acoB9u6Ych9+q6e1bSmA/MNW3NS6MWajyvde+fUsgoESoTb4GEFA+5JL3B8IzHfLP16AJZ0duNwecRLmVFHDT23EWWHs/5Kz3HwVEaT/kpPenpySFboc08kiDnHRLpGHt9m9nlyRHdSvSw4h7TTdC5azX7Zpycux2TTmHditcJdV2K6iSkbsdVE7c3QoqhnXLppIKvBUCmC2v6Y3Dup0XCpfr/u3YRTOV/Zb8Q933uya5S7/2Er93XVY4eXyX8s1Hyf8DsESFo4sWAAA=</t>
  </si>
  <si>
    <t>2A3E65F062AC8F3BC24A1DDE797FCCD0</t>
  </si>
  <si>
    <t>JChemExcelBx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s7H6V5mYMib65XORE4lf9e8L+v7W9f6s+TyF/D/6HVl/Sf++t1+uVH6bu9zz7a3r03vrfz4OH+gwc7n+7f390lcmzTND082Nvb29852Pt0b/8eDYs/e/jg4cP7ezu79NmDB/fos53xp/s7D/Ye3rtHXz3YJRJuPxzTa/fuPzjYubd7f39nh5odjHcJ3L2d/YPd+/fp4wN89PD+/v17uw939w7uPSCSANY+gD2kbh/sfvqA0Ph0/OmnB/ce3v905+Hu/g61Tbfvjx/c39l/uP/pwf1PH+7v0vxRq3uEz97Bp/f2P71/sPspfbQ/3tvb+fT+w4PdewT+IWF1b/zpzsGDvfsHn+5Tpw/38cm9nb0H9w8ODh4SBg9372Pc4wc0GMJ/98H+3oMHBw/x0S51/3Bn59OD/U/vPbh38Gm6Qx0eHOzv0wgJkXsH9OLeeOcBAaKGu/QPdUuj3hkf0Ghp2A/v0ScPdmnuCdr+p58+vP9gZ3/v4f79B5/S/BMJHxBhdqk7GsT+LhFsd3z/4d6D3b0HO7sHD6if+2j18GCHmjy4v/dwd2f/3v19akWYf/rg4acPPr13/9P7uzufpvfGBOL+7v79/YMHn3766b1P99P9MZFln2biwd4eQSTmvzd+cG8fU7F3b2//gFrtpXvjvR1q9emn93cO7h3cv/fgU4JOFKWJebD34B5R5NMdvLi7t0eA7j8Aop/u7gL6zv4OAdt/SPxAJPr0Pgk5DY+ofo+wJ/4hift0vH9wsEuje3iP6E8ETw/GNDJMKM3RQ7SjTz7dI966R0AffkpD2UuJH3bvP6QRPzx4cI9Yi8hMLEg0IAhEAqLoHg2Pueb+g/t4ixDfY1DUz8O9nZ2Dh/v79+hfQmCXuHn3AdiNmPDTXUJyD4zwKZjr/sGDg/tdqlDP1IiouEcMu7//6R6NCMN9eJ9+Ptzfo/n6lJinO1qag/3xAyLqp/fv36cZJuLdA5yd+/fukxzt7O7QJOylD8Z7hO39e/fu79D8PjggFfOAhnZvj8Z0QLJCMsYz9+BTYpTdh/f2aCofPvwovWaBxZTuHJAAUK+YZ/DVvfF9mqpPH0DMiI6Qnl1iShoz2Gd3lzp/AG6md3eJWx7SPBIr009+99MHewdEMCIzzaI0o6EQN+zuEkfs3NuDrBMViT5gxwcPdx4QrekzGto+IbO/uwdGPOA3MZHukUagBwG6f//TPX6PCED64j7mkIZKs8zNPj1gQXsIRUGszdD2aIDEI5+SkBId7jMeD/egqWjKifVIyfBnD/ZJQHbvHew8pEk92Gd4pLc+3dkB7+6RItjlz4inHmJKaTp2GLt9MlrU6OGn4OwDVg2EHnVPM7ZLjEC0x5sPx6RHaMp2d0g5HTwEfR8QkYh793Yg28Qwn3Iz6m/v/t4BqVOSpR3oBmJR8AJNwAMi6UMoqL3d8acPPdwe3uPP7tNc39+HtNBHxF3be3uk7+4/3CGpJw4gsDTYPcL404eQkV3SzKS5D/gzGtIDYgnSK8TsB4BH8rpDcnCfWJqY7SHodEBTQf0SUXcfYgb2GD2CtUsMSuL+EOqaBvFwzyMS5nUPevDTnfv7e/fx2h6g7UEpPcTskz4gxSfjJ622R4OC9XgowALC8ehJ590jKb9H2p+Ecg80p5HSJMBG3KNBQS75M1I4ZChojKTT9qBpaQj3SW539ggiieC9nfs8E312ekBUJ3tCeodMDDUGLh1OZFMXYdh7JJ7Ez8TlNB0klQAHbUtDIKNFYyFxxmc7pDM+3SVcd0j732NrQf4N2QWokocP9ul1NNsb04Tu4Z17BySHuxgtzT+MGg2JbOc+cTe5NHetT3P0eFItZ96v7OS8ys+bPfVzPkqrepbX5J3hRTSJNIRzctuG+7dqCM/KNtzb0BD+160gwku7FUT4creCuH/bhtT1w1s1ZAfyVi3Fz7x909vNo3itt6ISN73dXLL/GzZFG/Gzj74r7+lfm4HcbqbF175909tNIiNwu2kUB/92ZETT280jhwphU49w374dGSXeuF1/HJbcrilHL7casAQ5t4PKsdDtoHLIdDuoHFndDup+0PSmybl3O9GVkO52TTnyu11TDhBv15TjyNs13Ue4eStiSVR6O6gcvN4OKse4t4PKofDtoO4HTW+i6344sWjzfspLovNb9SdB/K1GwU1vN+WSErhd031kDm7XlBMMt8OV8xC3g8rpittB5azG7aDev3VTSN3995xy/qF+1F2TWKJfe0mnuy4jlTy+S7muo+T/AXxdFT8HEwAA</t>
  </si>
  <si>
    <t>363A048110D3D47990AD5E5EC3B6AC3C</t>
  </si>
  <si>
    <t>JChemExcelLQ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SE/uf/7v52/zf/+/L9MuP0nd7n320/en4/s7Ozt7+zs69g/v7ew8O7qfb++OHD+99+uDTTx8ePNjb3yPctu+NH356b2/3/v1P9x/e273/4ACt7u8+ePBw5/7eg3sHnz54eIBWO7u7+/v39ui5/+mDe5/up9t74/v37t+//2Dn/s7DXXr3UzTb3995sP/pvXsP9/cfPti7d6/fjN6kqX6w8/Dezs7u/YO9/QcPHkQ+I3R3xnuf7j3Yf7i78ykNAv3up7vj+w8/3d872KMB3dvde0hkjHzUffPBXro3JuC7Ow/u7T/89P7De0TyfWp078HBp/sPdvcPaEj3iHE+fbDz6T598in19vDTg/TT8QMa+M6DT3d3dujFnYfUhsbgPtklMPuE76c79+jP3Yf39w9S4r6HD/cJ8oN7uwcPHhDAlBj200/91/b6H0XfuzcmVPc/vX9w/x5R8NODvehHt+uw9+JH6TVxyj0a9f3dTw929nb27+/vHjxMqeH9/YcH+zu7RKr9g/09DJJ62HuwQ73QHN0joh883LlHRDrYJTa7t3P/APNAxHqw9xAY7DykT3ZIUO/f3ycYe/eJqnu7MtG7+zv39nf29g6Ixx4+PGAeIUbb26PXdnYJRQKCdjR9XrsH6fbOmBD3PvqUBIg+e4gZffBgd2/nITH8br/dg08j4JiDadRBFz1ofWAP76EZ8Qd9uEfcun//wb09Ru7ggEh2cLBHjPMQlEQHJC879N79XRKp/YeMxs4uUY6miyYClECrB/ceeA/xHdp96n92gA5oAvyP6F1Cbn8vePrtdPQBOCIwzeBB51Wix/0bPiEdedcqyaPHk2o5835lrfkqP2/2VHF+lFb1LK9Ju+NFNIk0hHq9bcP9WzWEqr5VQyj0WzWE2rcN9zY0hHG4FUSYkFs1ZENzq74/DVpugimW63ZN2cDdqn+xg7eDyubyVlAfBi03AkX/t5t4MdO3a8rW/HZN2ejfalTiG9wOKrsQt4P6adB0ozCxQ3IrqOK33A4quze3g8pe0O2gsrN0O6i7QdONUIHA7SZWvLTbIYCm0YnlH6ot7xr3k37tuaZ3nd+aPL5LHvFR8v8A7JvVxi0LAAA=</t>
  </si>
  <si>
    <t>5C723556D67F1307C4261DBA2211087E</t>
  </si>
  <si>
    <t>JChemExcelv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nY+SvMyByJvrlc5jSvFfy9S+en/96X/aflR+m7vs4+274/3H+zu3N/79N7u/QcHD/cfpNv74wc7nY/ujXc/9T/6lD7bG997eEOzOLBulwfp9s744H4A/1N8tnMQvLmzn+6O9+/j13ufHuzv0Zf30r3x3p7/yd6n1OjB/Xs7n+7uPnywc3Dv03v3PqVWDx8GrSKf7I/39vcP7t27f+/hg/sHhOKn6b3xg0+D7u5Tq/v3/I92e41odiJIHYwf7AYffZReg/7U687+w/1dwvdg59P7nx6AsAcPdvc+3X147+HDBwf37+31P7pHZNwlTAjRvYPdg937BIPJuLdz7+HOvU8ffnpvb2//07170c92x7t7Dx88uL+/d//+zv37D/bu3woaEOl+tr9z0AX36cOHRID7D/f3d6jBzqc7NP8g5f7Dh/cf7j7Yf7h7j4h0n0SJIAWf9N+KgO6hcP+gh/79HZq83pBoTMRTJIl3rSgePZ5Uy5n3K8vmq/y82VPx/Cit6llekw7Bi2gSaQghvlVDiPqtGkIh3Koh1MatGkK53KohdX1wq4ZQVLdqyOrsVi1F69mme5uasnK8HVTWobdryqr2dgig6e0mSRT37Zru3r4pm4Lb4coW43ZQ2bDcDupO0NSDyj9UrO4aa0i/9izlXWdGk8d3yUAfJf8PK9iCWLwHAAA=</t>
  </si>
  <si>
    <t>E6C86BA18DEAA7419C0C36314F749706</t>
  </si>
  <si>
    <t>JChemExcelUg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CK/16k8lP++7Lzt3x2Un6Uvtv77KP98d7O7s7Bw7179x7cP7i38yDtfvIw3RsffPpgf3dnd3f34b2dvQf7+72PPu2+RsPofnKv99aDdHd8n76lTh5S0729/b3eJwRohwDt7NzfPfj0gDrf29n/9F7/s4fp9u549969T/ce7N2/d//+PUL9IN3eG+9/StA+JRTuHVDrT9Pte+ODnZ2HB/f3Hz7Yo58PH1IzmvN7+59+uv/p7sOdew8e0vvxz2Lvdru438Nk7yD+6sGYXggoRIz5UXpN83Jv/On9B/eJYru7D+7v2GeX6HNv/8H+Q/c8SLd3xrsP9/zPHuKzh5/6nx18Ckzv73Q/uzcmNP13tZnX6c6+gvMR2dNu/XYPDvro3eu/K/BuRvnh/Wg77sIHtytkCokSQaTb6qBPEeqSpiDd/nR8737wOcnyXSvMR48n1XLm/crS/So/b/ZUwD9Kq3qW16SW8CKaRBpCDdyqIZTFrRpCpdyqIRTPrRpCPd2qIZTYrRpC1d2q4f5tG7LmDFqiiWjio+/Ka/rXIAxRvRbI3obuuOntZlgU+e2asr6/HQJsFm4Hla3H7aCykbkdVLZFt4N6L2i6ESpbt9s13YcRjDXlHyqZd42Npl979vuuM+7J47vkNhwl/w9ST8B0UggAAA==</t>
  </si>
  <si>
    <t>2AAA68C8CF16AABCCBC807C3C222D56A</t>
  </si>
  <si>
    <t>JChemExcelkh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79MFHaV7mIOKb61VOc5Livxf6f/Pfl8G/X9rP8d8zavm69+kHQcg+Em4oT+ZZfUFY7aQ3/7e9e2OTDwSx91H6bg+sfPDw4f7B3r2D+5/eu3fw6cNP053x/U/vH+zc2/v03sHO/YN7NEXbO+MHnz44eHD/gL7Y29vbIfbZ3iPe3r1/f//hg4cH93f27tHUbt8b79+7T7/SN9R+78Fu/6N7/TcP9vs9EPN1EbmXdrE9eJDeG+/du7f76e79nQf7n+4+3CEsuh8RP+0TqE8P9nc+3Xu4RyCIM++PH+7s3N99+OD+7u7uA/oR+eTBGHg/PDh4sPdw/9OdnYfpAcEhLB8QFg8e7KOzh/QWjeXB7u6nn+7s7Tw4iLTpDfjhvT5dItQjAei+SrLUIxXJT/+z+Kv71Ozg4e69vb1793c+vbfzabr9KbXau/+Qur1/797+PRLU7fvje/eCj+6jGVHB+4yAPSB0P6U53v/0we6ne/do6D34hEZ3FklS92iguw/u7e48/JSm4oC+Svf2xjv03b3dg/0H9x/s7B0cpHs0pv2HD+/vUb8P9vf2SCXsPqQXqct7n+7ce7hLn6W7B/Qe4bVPXLFz8Onuwb3oR533SONFoMdw6GK6l+7RGO/vPCReebi7R4P6NPbJpwRp/9NPH+7t3tu5v3/vIQEnau1CmIh6Bwd7pAsjnxwQIGL9B/vEQbs7+6TY7pH5OCBkPr3/4OA+sX16b5feengPn+0QLWky+m0iw+0RJfZJ97V7fSpFPom8tvspNSI+uE+f7d0/IEOze58aEW9/Cmm/t7MrjXYP/I9ofvfHn+77H93HRzsHvoA96EPf603dQ2K7nY/Sa9JwJAb0t/d8+gCi8cD/6CF/FDY7YAkKmz3kZvd2vIflcf9h8BFp3vFe+CbrUELa/whI7h2Eb+7fuh3pwr3gs73+qw+hRG/x6q07jbWLINL9aIc4aXw/fJF08m5IcPokxP4h2vCrAX0J2qekeoKWPFkHQas9/iycrXsYARm5e8TyDw52H+wSN+xB8RLvfPqAxHf3gAZNloXM53jvU/9VKMb98b39bhf0WYBKhJV+xHE/4rifXY4jUxIMn0KKx3dthHD0eFItZ96vHDK8ys+bPY0aPkqrepbX5A/iRTSJNISrf6uG8PNtw70NDeHk3woiPPxbQUTMcyuIiIxuBfGe33ATRARat2rI4VjQN5q8bvM6r47eyGv61yAMiedu1d0uh323b3q7OZYg8nZNOda8fVM30xubcuR6u6Yc4N5qtrnp7aYR0bCbxo2Cw0H1rfqX2Pt2UDlEvx1UjuRvB3UfAf/toO4ETTdCBQK3m1ckG243rZKPuF1TTlvcblTIXITiubHp7YQQuN675bwio3Krlvf2kXS5XVPOzdyuKadwbkUAyfTcDionhG4HlfNGt4Iq6aXbQf00aLoRKiesbteU81oBAmjzun0fZS6Jsdv1t4/82e2b3m7KJRt3u6actLt909vpUkkB3qqpZApvNeXc9JbziKa3kzpJT94OgX1kMW8HlZOdt4PKOdHbQeXU6e2g3guaboQKBG43sRD7T283sZLavV1TzgDfaljc9HZWkpveTgwZ19tN7D3OTsea8g/1yu+aHD/92sv/33WLA8nju7TscJT8P5gI3YKSGAAA</t>
  </si>
  <si>
    <t>8074EAC576BEBE47E936ED6E8D15E9A8</t>
  </si>
  <si>
    <t>JChemExcel0A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1P33jP7/gn97wT+/pH+ffZS+2/vso+2d8e7Dh7sH9w4eHjz4dO/Bg51P99Ld8e69/f2H9/f27u18en/v03vp3nj/04PdB/v08cHDe3vUtvfRw/5rB2kP/O7uQa/d3oP03vhgZ/fg/r39Tz99sLd7795+75M9ovPO/oMH9x4S3J37Bw/u76b74/sPwjb3xjv3/E92gef9+/cf0p8P7987uPdwd++AIBGgnf29B/fv792nIaQPxjs7B5/ufLr/YJ8QPCD4BPvg/s6nnx7c29t/uHt/Z+fB/T6S+x+l10RDYo/9e9Tk3j30cm9vNyWG2NvxPtkh4vQaHYwPHnY+2N3b3OLT8f2DTa9QP70m98efPnh4sLu/8wAzQCOgoe3t3t89IArcowHufXq/98l+5K298cNPH94jOj3Yu3dv52D/U6LH7r2dvQf7D3buP/j0HnVJM3v/0739faLlg/uf7u7R2xFSEN/ftYx/9HhSLWferywJr/LzZk+F4aO0qmd5/dlHe3gRTSINITK24e6GhhCsW0GE+N0KIoT0VhB3/YY3QHxwq4aE48GtGkJ/3Koha5lbtRRldLuBs866HVRWbbeC+jBouREo+nezvrEpq9Rb9c9Nbzeh0NXRGeUfyvx3jYWgX3vW464zLcnju2S0jpL/B9vk6XnQBgAA</t>
  </si>
  <si>
    <t>3C0A91DD6853EB5D4E0581212DEE8F93</t>
  </si>
  <si>
    <t>JChemExceliR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sfpXmZg0Jvrlc5ETyV/17Q/7/U3/3/XvQ+6bb+kv4yf/db49PX9C/991H6bu+zj7Y/He98unNw/9O93Z2HO/d3Dw7S7f3xg70Huw8e7Bw83HnwYJcQ3b43fnjf/4gIun1/vP/Q/+w+mt17eI8+ffjpg739h7tE6u5He+n23njn/sMD6mn//j71erDf7/FTgtVFjGA9IFj79+/dv3dv7wH9n2Zs+4DePNjb3SdY9z/d3btPeIE5P6X29+4/+PTewcO9h7uRzx70Xv10t9/Bfg+Nh/f62D645Sh36L1Pd+89fLB37/7Dezv7B/fjn0Ve7X4U6ZJ4KoZZdDLDWXqwl+6MP915cJ8+fniwR18dPLiX7o4f7u/u7R7c39vZ+fTezl7/ExrmvfHeg/2Dhw8+3Sfi7u7cJ8QiH/VB3aq//TEo/+BTmrIHuw93iPT3qQ1N+/2Dg/v39x/skpj2P3lA/RMp7+/sPLj3gBj10/SA4Dz8dJegP9zbIVF+SO/c23t4b+/+7s69Xeo/JX219+BTTAKxxP2He58epLt74093dz69v7v/cP9Twm/nfvSjzosPdiPQu/33MdzeHe/e3/907+H9+5/SPNGIP013D0iN+r3du+1HD8ef3u989On4/gP/I9I71yT998f3Dnb2Dg527j24t/vwU1Jf+xii98kuU/gescru/Ye7+5gMnuFPaWoeEs4Pd2ki9+mjg/3wtb3xvZ3wk93x/XveJ/ce3u9+RBTqvUcqudvqXq8R6dtuI1CVhH6HVBT9STO6QwR/8FDE8IH/KSnwXkvSB/c+pCUk7/YtaTi7QctPIaREYO+zXYgycYj3EVTwvYfeJ2Ruuo32P2W1HMDav89KJuhz/yErow/BOPr2zXMXneAuP+0x/FvSuAuOrO/tX75Vy/17+/xp2JI8ih5h7vVnEmPpNutP0v19VvvdZqRv7n26+2B/b+fgU4g0eSWkPO5DAkm7kxkgNUPDPtg/ON3ehealr9CATManZFw+JYmF2qUvP42/Qj7XXet0HT2eVMuZ9yt7Ya/y82ZPHbGP0qqe5TW5j3gRTSIN4T3dtuH+bRvev1VDOIi3agg30jbc29DwoAsRLcRrPfquvKV/bQLx8FZIsUt7q5bi+X4gXuI6364/9rBv15Qd8ds1ZX/9dk13bt+UI4APpQ2HELfq7+DWLSUmuV1TDl1u15QjnFs1lUDodk05XrpdUw6rbiVNEn3dDioHabeDyrHc7aByyHc7qHtB0xvpGk7s+7OcRKG364+D1duNAk1vN+US+t6uKUfIt2vKgfStcOWmtxNyxnVQyL99O4pLXH+7/jj8v90o0PR28yjJhFtBlZzDraBKauJ2UDmDcTuonOi4HdR95ENuB5XTJreDuhs03QiVEzG3a8r5mlshwLN1S/WNpiEPeAx5S4Ug6aNb9SdZpluNgpveTltz06i25h/qKN41qT369Ytu2u+uywkmj+9StvEo+X8A5Z55xYkUAAA=</t>
  </si>
  <si>
    <t>A3C0D6320D9D89B8D5378462F1FB3222</t>
  </si>
  <si>
    <t>JChemExceltw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3P0rzMgcWb65XOQ0q7f73wv1efpS+2/vso53xg0/3dnf27t2/f+/ezr2d+3tp76MH6fbO+P6D3fsPPn3w6af7Dx882Ht4kG7vjh9S8/v3Dw4O7u3Rd/f7H+3vpdv3xnv3Dh7eu7+zu7N7/96Dhw/vpdv7BG7v09393Xu7Dw92D+7dj34UvnmQ7o13Ht5/cLC7/4BwObi3v3M/9tG98f7ew/1Pd+4/PHh48Ok9Gku6TyO6t3vv4YO9HWq6v7t7P/2UXvyU+jnY3yMs9/cfpDTVew+Cjz5Kr4lCNKj7+zv+c59ItMNkeug/n2IQ+/s7Bw/3dh4e3N/Z+XTv09Pt3U9Blvv3/JYHRNG98b2d4PU01tEAxF7fu/joAZHj3q5BjkZE8PAXcdddy15HjyfVcub9yvz2Kj9vaKzgN+LOqp7lNQnKR9JCOPXo24/ven/JH3EQ9wIQQw3B2LdqCPa3Dfc2NISQ3AoiROlWECFwt4IIsbwVxH2/4SaImIqdW7UUZXD7pnu3a8qq5XZNWQPZpvdcU/6hzHbXKEL6tack7zoNmjy+S7r5KPl/ACY+YMy3BQAA</t>
  </si>
  <si>
    <t>23796EB76BC4E24EDA7022C76D309868</t>
  </si>
  <si>
    <t>JChemExcele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9ZeXObB7c73KabDpi/Tkpv9K+d9H6bu9zz7aGT+4d+/+3r37uw92du7v7+3spds74093dnbv3/90Z/9gb+9T6jn20e744b17B/f2H+x9+un9Hfrfbv8zGkDv1fv3006nuw/vpXvjnU8fUO+f3js4uHdv//69vfTeeH9n5+Bg98GnO59+urt/8LD7ycPeW1HQfQz6mO6jXRf7/pv3Drod7NFc3YaGe/vp9r3x3qcPiCYH+wf7Dw4+PbifPhjfP/AH9FF6TXOyfZ8+3tt/6J50e398sOt/dMDgHgQf0aTsje/v7N3fcc8+UHn4afDZLj7bfRh8tnNPG/rdPtSGwWd7kYa72nOIcxfBh/cjze6nJGj7D0L89kj8HgTA7o0/vR9+sj/e3/M/OYi06cG5R5L98NPgtfsCCayzQ9J614rr0eNJtZx5v7L8vsrPmz0V4Y/Sqp7lNSkevIgmkYb3ug3RQlTE0XflLf1rE4j9W/UFdXKrhlA6t2oI1XSrhlBgtuHehoZQc7eCyMrwViBFZ94KqKjWW0G9F7S8Yey3bAklfu8DuUGswq2GIMbjVpiJjbkdVDZFt4PKFut2UO8FTTdCBQK3YyIMa89xkdeUf6h03zWWnH7tWfm7zgVIHt8l5+Io+X8A0Z2oNXgIAAA=</t>
  </si>
  <si>
    <t>EB3A18A7566359A50CC391F35FB1AC67</t>
  </si>
  <si>
    <t>JChemExcelR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92Dj9K8zIHAm+tVTuNJT9IX9v+v0y/pvxPvvxfp8cVHMs7yZJ7VF/TOTur+2971/nD/7X6Uvtv77KPtvfHOvYcP9vfv33u49+mn+zsP0+1743sP7u3v3fv0092dh/v7+/fu9z/bT3tvHqTbO+MHO5/ufHp/f/fB/r0DvBH/rPvqg3v9djsPUpqxT+89vLd//2Dv/qe7n+49eEh97I73H3jtPn24T+3ou0936R365OGnn95/2Pvo04N0d/zw0929h3sHe5/u7T54sEOI3BvvPdx/+GD34f7Bzv79B4Rc76P7n3Ze/PQhYbFP4A8+vb+78+nDA3rtwf30YHywE3zyUXoN+u6PH+zu3D842Lt3nwDv0nQTLR/u+x/dvweK7O8En+1hpJ/eC1496Lfbj8DbZ6rvPAw+IxSJJg/w+4NP9x/gu3sP0I4oufcpjfPB7t4edbuX0uTs3qO3D2g492iCaPz7+/573Obhgf/RDmj54L730YOH3UYPHhx0QT042O9hFQFFc0DjIVG7a2Xt6PGkWs68X1n4XuXnzZ7K30dpVc/y+rOP9vAimkQaQkptw90NDSHLt4IIib8VROiFW0Hc9RtugkhdP7hVQyijWzWEyroVjgdQbLduuXurzkVL3gqoKNPbQWWdezuorJpvB5U1+O2g7gZNN0IFAtEp5R/K/XeNVaJfexbrrjNnyeO7ZCiPkv8Hm2tVYkQHAAA=</t>
  </si>
  <si>
    <t>656D60DEEEC643B71D5BF505DBED7C13</t>
  </si>
  <si>
    <t>JChemExcelU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7X+U5mWOAby5XuVEj/QkfcH/x78n6TP+Tz77kj8J/5PvX9B3X6Yv+d8vP0rf7X320fa98d79h/cPHtz79OHezsHevYcH6fb++P7De3uffrr/cHfn3qd7D+73P/o07b65v4eP7j94+ODB7r0H93Y+fXD/IX2EOdi9d+/+zsPdh/f2H9Bo6KMH9x482Hl4f29v78Hu/qcE/sF4b39/5/6nB3sP9nd27xM9tg/GD+7v7O/s797bu39v9/4Btfp0/HDv3sGDPULz/v7e7oN9vHj/0/29/Z2De7t7n+4cAK9danX/ITB6cO9gZ2/n/kHks3R7h0ZECDzc3bt///7e7qdANvLZzvjB/u7+/sOHD0GIg08J273xzoP7u9Rq94CI8XBnL703JgwOmHwP79E4D9J9em1vH8TZJTo8fLCXfkpvfbpLFDy4d5/a7hykD+ithwf79z/dub+/+ymN9H7so/57fdjd/j9NiXr79+7TcPcegLIPHvQ+edgbB3Hu7h5IHLQiCeP/74339nb29wkpIuXOvd17p9vE3rvj+/sg733i0Gvw086Y0N892KEm9+5hZvZBVnTkPtsjdHbH+zSk3Yf7Dz8lmj64/+AeergXfPSABkbUp8Ef7Ow+IF4jObo3JoLv7u98SljuETnuPaD39omXDuijnf37B+DgvTFRZofA7H1KBNrZ5/4O7hPz7n1KPHfv4acPPz2gURHgB/vE18SEBw8PHuwS9E8PaLbvERUfEGGI2F08H97rj2eH5DY68L3xvYPgs09jL+/GX/7aDUl++g1JDfXQIe4ikd2930Wx0+7ewwe9dvce9l/di001qbAYGcBR2w/HJNje5/cgzw/C91nsiSU7n8Xa9T8jRX7XavKjx5NqOfN+ZdX+Kj9v9lS7f5RW9SyvyQThRTSJNIRKvlVDWIpbNYQ9sQ33NjSE1bkVRNimW0G85zfcBBGm7lYNYRBv23B359Ytd2/VEmb3drMolvp2TW/fkk3/7Zqyh3CrOeKmt5t38Tdu15Tdkts1Ze/ldk3ZybnVsMQXuhVUcZluB5U9q9tBZQfsVlB5WLebWHHpbtcUuN5uYpkCt5/YvdtNrLiZt2vK3uitiMVNbzcF3DRKV/6huvqu8dDp1573fte59snjuxQ0HCX/Dy/mFOFQDAAA</t>
  </si>
  <si>
    <t>CA7C3B8A5868F65986254A1791BF2428</t>
  </si>
  <si>
    <t>JChemExcel2g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f++jNC9zDPLN9SonmqX+f6/TL/m/k/QF/d/8lP++tL/hP/nefcv/lfTPM/z3Ufpu77OPtj8df/rp7r17B7v7Dx7c33l47+HpNg12e2+8t7ezv//pzv7Dvfs793bv8cc0Cffuffrg4e7e7sHewc69/f3eR/cfpPvj/f2dg4d7Ow8P7u/sfLr3qYDstYx8dC+Nd0zcgdb37z30nwPq/f7+jv/cT/fos5393f2H+5/uPrz3Kf0W/WhnvPtgZ/8BjWFnd+eA5mH3YHwQjO1BpFEPUv+jvf5rfeD3Y93tPhhjxLtEuE/37+/dA8E/He9++nD/3t7DB/uf7u0TW+3u03v3H9y/d3B/78FD+ow+ukfv7e082H9wj9482CPG7X3Uf+9+DPgefXJw7+H9T3ce7hLyDx70P3rYB05csEPQ9x/sfrp/8OAeDYmgP6RGuzv3Htz79P7+wf7uzoPIJwcE+8G9+wd7+/TZpzsP7qWfEhyfLJ/2PnkYees+QfafvV6b/gfE+Hv+BztA+cGO99GnDz9Kr0lG9sc79wO+Iya9vxt+sjt+EKLwkHh2bzf46MF+ur0zvh/COkC7neCj++DrB/vBZ7sQybDZQ5Kpe+NPQ5F4EG9Hk0hiuXcvAErDoOn3P4E4P9zb3OgBpPHegf/RwUMMrPMZ5LULa7sL7OC+NPNpR3qUoQWfEUPxy8GH8Xdv0Wz/Xr+Le6Sbu4P4dO+WDR/s9ij3YK9HuvsxYvap1O2QmLVP3n6z3fsCLPjs07RLjh0dUgf92GzdG+9/esOcPohQd+cB2d271vAePZ5Uy5n3K1viV/l5s6fG+KO0qmd5TR4DXkSTSENYUNtwb0NDGPZbQYT5vxVEOAm3gghX4lYQ9/yGmyBS1we3agj/5VZdw4PZuXXL3Vt1Lu7S7ZqyV3W7pux83QpVbnq7ORJX7nZQ2eO7HVR2DG8Hlf3HW0EVN/N2UD8Nmt4I9ZZCx/7t7ZqyG3wrXMVbvh1UdqpvB5V979tBZRf9dlDvBU03QgUCjgc2NuXY4FZNJYS4Fa7c9HYTKwHJ7Zpy3HI7BPYR3twOKkdBt4PKwdLtoHJMdTuo94KmG6ECgdtNLIa1f7uJlZjv9k1vN7HcNDqx/EPN8F0TK9OvvTj6rguyk8d3KXw/Sv4fXyIHU9oPAAA=</t>
  </si>
  <si>
    <t>9BAD28A637283933BC9775AC3053E0DD</t>
  </si>
  <si>
    <t>JChemExcel2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vfTj9K8zIHJm+tVTgNL8d8L+v+X+u+J/offvvwofbf32Uc7492HD3cP7h08PHjw6d6DB/Qz3d4d797b3394f2/v3s6n9/fuf/og8tn9dHtvvP/pwe6Dffri4OG9vYd76fa98cHO7sH9e/uffvpgb/fe3oN76TbR6t79+/f27h8c3N9/eO/Te/fj7brgdj/tf7azF+n2PtDbo+eAPqau7h882MdHnz4Mmj1At3v3/M/u4aMHu/s7n+7c3/2UhvaAyLq9P97dv0d4fnrv3v7evQc7u2hF3z88eLi3c2/n4NOHnx7c+yi9JvodjA8e3t/ZodYPCNoevX0w3t0LP/l0fP/A/2SfuOdg1/+EKHJzo/0eaHwSdr+fEtvu3wtgp/vjvQed3u6N74E4+zsPMO0HO/ufprvjh0SDgwc7+/c+/fRg79ODyCeR13bGn95/eG9n5+DB3j0iDZE13d4ZP9h/cP/+Q5rX/XsHD+5/uk9cftey+dHjSbWceb8y37/Kz5s9Zf2P0qqe5TUJLF5Ek0hDCIhtuLehIcToVhAhbLdqCJG8VdfU8MGtIEK8b9Vw77YNoS1uhSMUSkgfNBEddfRdeU3/2ghjd/dWeInuuh1mrOJuB5U14e2a7ty+KaCGLPE1aKPKud8f/1A5uGtsBf3asyN3nZFJHt8l83WU/D8YP+1R2gYAAA==</t>
  </si>
  <si>
    <t>7FE1EEA9A565B79CA75C9922B85B267A</t>
  </si>
  <si>
    <t>JChemExcelt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3YOP0rzMgdGb61VOA0xfpCfpl/yv/Pel/f+X/PmXH6Xv9kCde/fuffrg4e7e7sHewc69vb2099Gn6fbe+NPdg917u/s7n+7uPnj48NPTbeqfPn6wu7PzYPfB/Z17+/sPPn0gH3chHDCATx/cu3+wt3/v0/uf7jy41/9ojz7bH+/s7O7ce0Cf7B/s7+48SLfvE7D9B7uf7h88uEcA9+9FP+q+eBCF9Sl1eXDvIfX2kIZCA0m3D6jV3s6D/Qf3dh5+ekDAoi92R/TpQdpBnz7pvrf/UXpNJN7eGT/49KH3PGB6UH/eQx/dG+886Hy0T2QP3oy8eC/y5r3+q59+ynQ78D970G8Ww+NepFd6tTusg/v9HuJj+HT8cK/zUffFT6P06KFBknTXitLR40m1nHm/smy9ys+bPRWvj9KqnuU1sT1eRJNIQwjhrRpCVG3Dvc0N798K4qfdhmghmuPo2/KW/rUJxINb9QXlcquGUEG3asiK6lYtRZ/dqumnt24pCvIDyYcxhLPvvfXd28EQDX0rnA+gxz8QZej/Tz8QZdiV27GNMTd9tucfKn13jRWkX3sW8q4zn8nju2SYj5L/B+38NlC0BwAA</t>
  </si>
  <si>
    <t>7C14D489C1E6849ADD9C7822E3DB53D4</t>
  </si>
  <si>
    <t>JChemExcelAA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Bx+leZkD0TfXq5zGnfr/veZ/X3j/ev+V+r8X6Zf47yOhUnkyz+oLgrSTvt9/u/zv9u5H6bu9zz7a3h3f39m5d/BwZ3dv5/6n9/d3DtLtvfHBvf2dTw927907ONi//+B+ur0/3v30wYP9B3v37z/Y3fuUaBL7qPvip2kU/g69+emDnYf06d7ewf2d+0Ta/oc7e+kuPnv46cO9e7v3Hz68f2/n03QP8D7dP7h3/97+3oP7n356L/bRvfGD/U/pz/t7+w8+3X94cB8f7T0IWh0Q+Af3go8e0Ed79+mVvd2DvR3Cef/BvR4Su31cabiRDw8O+u/e72N7EBtA90ViqC4p7x0Qee/TZ7v7e5/ee/CAaPvp/qfpw/FeMPRPU8jSbkCN2EcPxkQe/72P0mswyL3xpzsPCZldGtjBgx2iJM38vQf+R3tprNXeeOdT/yMewd7DoNX92zbboVHtHBCdd3Zp+A9phEQi+t3/KNZooMu9nf179+/vHzy4v0uMIvh/Sg327u+Bkx8+PLgX/6z/Kk3e/RCNe+N7e/4n99P98cGn/if7pME+vXdTmx6cPZqk3Qfha93u9w/688Mk3d0ltry3Q8yxd3+X2Od0m5QYadF79z6lxmD4g5179x+gaeeze0Ovkzq9a/Xp0eNJtZx5v7KCfZWfN3uqYz9Kq3qW1599tIcX0STSEJrYNtzd0BD6+lYQodVvBRG6/1YQd/2GmyDClNyqIQzOrRrCLN2qIRuvW7UUG3e7pmwKb9eULebtyMmG9XZQ2f7eDupu0PQmWt1uQsXu365/dg9uB5W9iNtBZWfjVlDFJ7kd1E+DphtxBQK3ZAE4PrcW5r3bcYB4VbcaFTe9nfxx0+hk8Q/VaneNR0m/9rzNu84VTR7fJSf3KPl/AP2Znn0ACwAA</t>
  </si>
  <si>
    <t>012F6B01AAC32981E8DACB9DE914EA01</t>
  </si>
  <si>
    <t>JChemExcelA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79z9K8zJHp2+uVzmNIT1Jv0xfpK/p3y9T/GX+e5G+yD6SUZUn86y+oNY7Kf7b3k3ll/C/3Y/Sd3uffbS9M354f+/TvQcP9/d3P907ONi/n/Y+u/cw3d4b7x18em/nwc6n9x8+3Hm4+/BeujO+d7C7c39398GDTz+9v3t/L/LRQwK3O969f/Bw/+Bgb+/evf2D/Qfp7vjhnt+s/+K9fWr0YHf/wb2dvYcP9x/e2z046H3ycK/33v7Op338iZ79zx70+zzYTz8lfgjgfZReE5n2x9Sj/6T3xvs7wSf30r3xp/fCRr1PMPRd+n/4Ko2DPt4JHp6G/fBtIeZe8PLBHubmQYAdPrs3vr8bfPag3+7hp314hOL2/fHO/eAzItUOcfRdy9JHjyfVcub9yjz+Kj9v9pTNP0qrepbXJIt4EU0iDSEMtuHe5ob7t4IIwbpVQ4jfrbqmhg9u2/DgVl1D4G8FkdXCrUCK9rgVUFEyt4PKuuhWUA+ClhuBov/oZPIP5am7RqXSrz11e9fp4uTxXdLyR8n/A0ST8t4BBgAA</t>
  </si>
  <si>
    <t>C757342278248BA72C07D4613289C1D0</t>
  </si>
  <si>
    <t>JChemExcel5Q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0++CjNyxydv7le5TSWVP57kX5J/39N/36pn+jnH6Xv9j776N74YGf34P69/U8/fbC3e2/vQdr95P59GuHO/oMH9x5+eu9g5/7Bg/39dH98/0HQiF7bued/sp/uje/fv/+Q/np4/97BvYc79x8QIIKzs7/34P79vfu7D+7dI0AH93c+/fSAXni4u//w4cNPCdL+PnVEH+3s7t+/9/B++ul47/6D+3v0ycNPD/Y/3blPr+3t7e89vHfwcP/+g4O9Tz/FLOw93D8gHO7t7hx8+oBx3MHv9OaDB7sP93cJo4cPdu/v08eEzv6Dhw8f0EfU+7379x9QTw/27z3c+5Q++vTh3oN7O7sPaIy7u9Q1fXRvn/Dd+XTn3v1PD+iNj9JrIt723nif8H54cPDgAX1Obz1It++NH34afHaQbtMoHxBRD3Y//XTn4cN796jZp+N79/YPdu/TIHdpHA/uRT/qvvhpuv1gfP9ghz6892Dv/j0a8166fTB+SKP8lD4itHcOHh7go3uf7u4efPpw/1NCZ/fT/XT74ZhaPLyHtz+9R//bTbeJse893N+n+TrYI5hEGPpsd/zp/s69HZqje/s7DwB/9x4YYPdT+uhgl4ZF043P9nYOdvcJ5C7hRpTiVx9+ukccs7e3s/dgj3GjLogNaBb3du/f39n79IDGvrtPqNzfoTEQSz14eG/3U5KFu1YYjh5PquXM+5Wl41V+3uypgHyUVvUsr0mK8SKaRBpCjGzDvQ0NIWy3ggiRvBVECO6tIO7dtiF1/eBWDaEtbtUQOuVWgzmA5rl1y91bdS5q7FZARdvdDiorxdtBZd15O6isYm8HdTdouhEqEIhOKf9Q7r9rzAb92jMpd529SR7fJUt2lPw/JnkycOUGAAA=</t>
  </si>
  <si>
    <t>5304E368A166A960A432857BC52273F6</t>
  </si>
  <si>
    <t>JChemExcelm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q/nuRvk6/pP9efJS+2/vso73xp58+uHf/YG//3qf3P915kHY/2LmfEub37n364OHu3u7B3sHOvfvp9v5479N7Owd7D/f39nbv7ezc2z/d3v003d4dH+zt7t9/+On+wwcP7n+6/wCfP+hD6AP99KD30f5+76N7D9LtnfHezqf39nYOHhzsPth9+OmnhPPBg/DFj9LrPczf/XsPvefgQbo/fvhw/+Huw/2dg0/3d+h1wXtn/OBTv+XDhwT04c7+/QcPPt3b2Tk4+PTTT2WIBHOfvru3E7a+Nz7YDz4hoNRqN92mb+7z7503+Osd/7lPs33XTvfR40m1nHm/8vy/ys+bPWWBj9KqnuU1TSJeRJNIQzCKbbi7oSHY6VYQwXS3ggjWvBXEXb/hJojg9Fs1pMEc3KohpOZWOB5Atm7dcjfWOf/QCb1rZJ1+7emBu05JJI/vkvo5Sv4fLgKTsZoEAAA=</t>
  </si>
  <si>
    <t>68E04048DF3CC26C5DC64E15B8C943B4</t>
  </si>
  <si>
    <t>JChemExcelYQ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h18lOZljhG+uV7lRLD0JH2R4l/z25f2t9h/z7w2J/zbl/wX/ftR+m7vs4+2idT79/ce7Ny7v/fpp/sP7+/sp9sPicAPd/b293f2D/Z29z99kG4/GD84uH+PWh7sPXx4b5+Q7n2013/xIN3+lMDvfvrpp7uf7u5+ev/ew/vpNubvwcMD6vPhvXsP7t1/mG7fI1j793YePNx9cH/n4T2i2fYevbjz6d7Bg4f3Pz3YpZ/9jwj8LsH69OH+w08f3CNk9u7TjGzvjB/ev//wwf0DQmNvd+fT/YN0Z3z//s69B4TS/oOdg4eEBXHQnv/Jp/vUaI9+2d25d2/n4e6n9+7vf3qfPvt0d2fn4f69e/sPHtx/QADTvfHB/d2H9+7vHty7/+DT3XuffpoS+vcf7NK4H6C/+/v3iUf3Hvqf7NMnDx7c2wE69/b376G/B+O9BwTnwcP9g/sP9neIOQ7G1PUBkfBgj8DSQ20O7hGZ9h7u7u7sPSR46aeEOI3t/qc794HtwT69dUBAH9JoQfWDg0/T/TFNaYDPPRrb7t69g3s7Ow8+fbi7d/8eUeCAJmZ3d+/T+58+2AcwUJhGu08wHtBkfbp3nxh399MxdUUzvk+U2blPrXZpcA9oovZoBogqNBnp7r3xw3sHOw/uYar3Hz7cS3f36LUQq0ijCKQH1AijpdncvUdUeZDuPqRWew8OHoJ/Pt0jCkZafZReMzuPiRMP9j/99B6xyT5N0y744f6D4LNP02g7mtgD/7N98CX16X20d3to3Xa7zK039wrej/QBpn5AtNo5oCnYewih3CWyPHhILHXw8IBISKTBmzv3qd3Bzr1dkoAHRH9IHLXc2dkDLxC5dh4SzdHvA2KNTw/u0f/2iese4OW93U8fEGMTy5AsyvSPie+IxJh66vZh/COSzIf3IAzEJHs0HQ8/hZjsUvekIfZpgPceYG7Hn35KGmbvHgnN/gHxBESOVAUxAKmS+/c+vU9KkrDY3b1/b+fgATHpzn16QT6k+SY+paYk+tT0IbH0vYcHD6EQSNxJpA7iWDz8lGSNBkUStbu//xDoPzw42H1ATPkQvRLnQT3QZ+6Red59sOs/e71mUEC9Zp+i0917QbN9TEHYbDfSBU1dH5UH/Xd3PiXLddearqPHk2o5835lW/YqP2/21Jx9lFb1LK/JCONFNIk0hA26VUOYxls1hAG9VUOC+OmtGsIY36ohTPatGsKw36ohm3/bcu+Glru3gim+xK2AistxO6jsmdyuKTswt0NgN2i6ESq7RLdrCgRuN6XiYAW4oo04dEdv5D39axgIe2i3648duVvRRvy9W0EVt/B2UNl7vB1UdjJvBZWHdTvuYKi3m3KmwO2mXJzgWzXFbN2yqbjVt6MA6Ho7HhAH/XZN2Y+/XVN292+FKze93WwxAuFsoY1KxLdvJx884NvNowQptxsFmkb1Mf9Q03XXhGz0ay+cu+tiveTxXYoij5L/B46sfaNhDgAA</t>
  </si>
  <si>
    <t>0A90F0091C0E03D3DFD8F1F9A8C0EDCF</t>
  </si>
  <si>
    <t>JChemExcelQx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4/+CjNyxzUenO9yon4afe/L+3/X3Q+/zL4K/beMCz7/4/Sd3vEB5+O93bv7+1/+mB37+Dhw52H6e7++ODTh/fuP3zw8ODg/v09whwfPcAfO3v0xf4+EWn3PrW6f+/+wd7evd179DY+2dm/f3/3wf6D+zsH9z99uI+P9vbonU/37u/vHuwcPDxId++NHx7sfbp379P7u3sPD3aJVrt74/sPdnYf7O1Rt3s7uw8/xUfoav9g9/7uzt69B+jw3piQuXefGj3c2SFsHqTElw/27j/Y3b93b+/+/U8fyCcH9+j7e9TwYHf304fpwfjgYP/Bpwf3H97/dPchDQOf7H1KiN9/SCO+v/8AbXY+3dn7dOdTfHKwT/P4cHzv03sHD/fv7x482N+5//AhPtkhNA/oE2q1S/zwYPxw/97BAYi19+DefeK0T8ef7u/QWA8+fbAPqnyKTwBwhz7Zo8Z7B/dJXu493D/YebBz/97e/s4uMeT+eOce0YIIsE8zsUusfH9Mvz18SD3ef/gp/Yo2u/uYFCLG/sMH9z/do0/2dh7cxxs7e3tEtD16i6hOhN35dHd/l2hyj7onqA9pHjGXO+j9YLwHsh4QwXce7H5KQ6VPqKOd/Qc79x48/JSmkIZ6/94BAaYh0S+fgid2xkTUvQf07g4APsAM7e0QpT/dvf+QOn+oM/TpfZqRhwc7RJe9h3totbtPH+3s3v90n74hySLgDz8l2t7fo/mmfg8Y+H3q7+De/sO9Bwd7JE6A/unezsO9XSLspw+p0f3xp3sPiLt2PqWhPSBE0j1C6d7DXRrq/d379/eJ2Hs0+Q/uE3V3CAPq88E+PgLLEtpEsl3iuZR01afU6N79Bw8e7n1K8D7FRzvEbA/uPyDi0j/Eptuk8oiyNCWAR+D2iVG3qeF9vLLz4MH+p/QpKRT6bI8kZY9Y8t7ewT6RYz+ld8E8NE37+7s0CGKRdHtv/ClRgej58NMH9NXDe+k2icKn94i5iTX2idL0G5o92CVw9x/u3N/9lFD4lEg93gdP379/8OnewacHJEkg2QHhTLxG4kAYEX+SEiYc730KNrpHcImIxHzEmcT89wgtEl98QoxH7xDNiE13INoPxsSEJPdEwvskAaTvdkkcDkBCYbW9/Y/Sa9IUB4QtyQ1NN3EEUZ05h34+JL3w8D6JOaniT8f3oUVIJRBj79NUgtuJVKQViPgPaAI/BbfvkwA9IDGi4TwgHqNZImVAMrpDPWA6MUvEJfcOIMckKzv3iAOIJXaJTUkAdmhEDz7dTe9BuIhjiJUOSDZJ5e+PCR/SZOAi4q/7kBIS2N1dYiwa26dgwE/HkGPi2ftEcGKLewQHvezTl7vEdft7IDlpnoc0K/cOdj8l4tOk7o8/JcknVA5IRxEPkqG5N6aZ3AGiD1i1PMBI9jDNNIE09feJm8Bd98EFNE008fcxgdTqHtFwf+ce6cEDUIpAEdkOSLhIgx7s7zGZiDSfkoJ8SHTbhQYkwu3sEBcffAqWfED6lXT3/YP7kGZisfsPSAU8GJNqpKHTTBFj3Gdt9ym9vUeSRq8Q6x5Ak0G5ERfcJw7AJB0QkT6Fin4I5qGW1IZULUZCOorYjqwlVCthR4QjLibxug/QGOOn6JH4giziw/EuKReQ5+FDQnMPLHJvF7iS+tshLNFkh4TxHmkcqExSujSIB4ABMSGNR1JJbR5Cnkl9U48PoQ52xp9CTIgt96ghqPpwfEC4E2uQAt8nCyAyQdxKckHctU9c8YAa7d8jxrtH+pIGDsXyKU01qUhSYXsPgSWxO9k2wpiQpTkiRttlXbuzS1r1IU0r8QXxAzEo2TAaNOk5mjgSKbDI/r39/b2H92ESQSNqRYqNECArQVNEFAJDQjBoYklqiCnJe9gfk1YjW0DacJ8as4jswEruoxWhQVxKje7BbJJU8aCJj3fJ2NC8gkPInpF9oamGooCQsiZ9uAtld2+XFBDpS2goNqRj/A02fUAqgKh7D4jT7BAn0ICJtWhOdogdH0JBkk7bJYO6A1NCzE90Jsu3TxxLyo9Uxz0oUNhV0tW798ldu2v9taPHk2o5835lB+5Vft6Q5oADR+5eVc/ymjyOj6SFuH5H33581/tL/oiDuBeAGGoIf+xWDeGM3aohvM5bNYRvequG8GBv1RB+7q0asjd8q5b3ey3ffzLQWzihQy3FPbdN925qers5Fmf/dlDR9HbzLKHD7ZpyhHG7phyI3K4pxyu3a8phza2aIvrpUMCb4+/ebsYlhLpdfxxp3WpyuOntplzitts13Ud4d7umHAXerikHi7dryjHl7Zpy6Hk7YiH6vN2USyB7u6Yc7wYIePzw5nbcIQHzrfq7fUsGersZ5/F+KItLpH+7/jghcLtZQ9OQF94fNbDpvVAxeK/dUmlDLPY/VPNL6uMD2YXzJh/qEEjy5VbTJTma2zUFkW6nOyTjc7umnBi6XdO92zcF1EHWui0ZOVd1u/6QuhpkoFuyMhjo/u1UEzJoTjN9ve4OkHn7QBjI1oXc8/4wJPV3q2GjZchW7z+rJsPY745/qJ9+1yRl6ddewvauy+Ymj+9Snvgo+X8AEgSsHkMWAAA=</t>
  </si>
  <si>
    <t>A90ECDCF8E568862C9F6DF8670AA0396</t>
  </si>
  <si>
    <t>JChemExcel4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L9IT+u9L+/Mk8t+X/P8X/mcfpe/2iL474wcHe/s7n+7t3t/b29872E0fjj/d+/TTB7sH9/Z2d+7v3KcPHt7b2ds7eHDwYP/+/YcP99KD8YMH+/sP9/d39u/d+/TBp3vUZufBwc793Xv3H3568ODBzqfpg/E9Arlzb+fT+wef0v8f0Cc7u7uf7n+6S2B373+6f4/g7H764N7Bzv7De5/e2z94cI/aHHx672Dv3n365+Dew3s0bffv05/7Dx7s7ezf3//0IN0f33v46acE+eDg4d6ne/c+vU8fPdjZ2X3w4N7+/t4Dwnw3/XS8e/8htf70YO/B/oN79z+lT/Y/pWHcJ/A7Dw/2Hj6kvh7u7d3b/fThg0/vf3pArQifvT3ClPrdfbj7cJ8mhnB+sLN77+H9/YMD6oJGcX/86e7Owf4BEefePfpojz65t/Ng7+Hu3v39hw8e7nyKtz6lTj69v/vgPpHi4Q7os7e7D3reJxreI8zok/v3gcinBw/vf7rzgODcG9+7f7Bz8PDhg/2D+/v39vfSPeCzQ7TeeXiPpobGn+6MP32IqdnZe3D/YBc4pNs7492HBOTTPZqc3Yc7Owf3qBmRYo+g3du/t/fgIc3s/XR3/PABEZOmmvrbf0jzRh3Q3NC393fu3X9APR18+lF6TWxBnxOqn+6CFvTj4Q7epvmnOaapeogfNISdMVGbet69R6OgeX6wB1zolQcHNJD9PRrIPaLYNg1j/+H9B9TtAU0KQfkU7fb2fXD3ibt3x4Tczs7+ATHF7kPCfBcUeOCDe3CfyPTgwIf26QPgdn9/Z+chMQBNLzFgCjQ+Bc/S5H66c/8hyRtQI06gGdn59NN7NOH04ja67AyU0H3w4P69fQJ8sHefoDxMt+9RM3qXZpjeJ0QAjpiOeO0eUfjhwYOdfZLw7fvjBw/3aQr2CAeaQwADcxBv7O/v0hAf7n56D8AeEINRG5KPe7sPiIPT7QfjPQzn4ac7D2kYBBEf7Xy6f3+PRIbkgzDcBzDC8QExI1qSvPIAiHJE/L2H1OM+CQXGSX0TI+7R0Ij77+/uM73RhATiwX3qmohyAFYijiHBpwnEV/sPidwkIf6rD+gjkhD/RfAgDYiYZZ9mioRj9z6p1cd3rVI8ejypljPvV9aSr/LzZk8V5UdpVc/ymtQPXkSTSEOo01s1hNK9VUOoZttwb3PDT28F8UG3IVqIsTj6trylf20CcXCrvvZu2xBW51bDhO3ZuRVIMWG3a8qW7lb9i0G8FdRPb91SLOwHToqY6NsNgi357VBjg387qOwX3A4quw+3g7ofNN0IFQ7H7ZhD/JbbNWX35lZNQazbNmWH6VZNxa+6XdN9uF+3oqt4abeDys7c7aCyz3c7qOoa3gIq5NNreiMFok35h2r4u8Znpl97/vRd52wnj++SG3+U/D8QqEXH4gsAAA==</t>
  </si>
  <si>
    <t>B9E2ABBA2A295660015B200F146D357E</t>
  </si>
  <si>
    <t>JChemExcelw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u5/lOZlDuTeXK9yGmt6kn6p/z9JX/C//f9eu98/St/tffbRNtHi008f7t/be/hg/9O9/b0HD9L+Zw/T7Yfje/fuP7h/7+A+/Ukf3u9/9Gn/zYO9dPtgvLOzt/Ng/8G9nYefHtBAep/cS7c/pfcO7j28/+nOw939nV30eJ/A7z/Y/XT/4MG93b3d/b3+R/33CK19gr67c+/BvU/v7x/s7+4QWnvU6sG9+wd7+/ThpzsPdqgZzfG9e58+eEhwDvYOdu4B+/Gn9w52dvc+3d/bfbi7S2BOt2lCui3vPeh/dA+dEG6E172D/Xv06u7uPX6719GDtIMODSDtIr0f+aT32kF6b3zv4c69/f39+/Tvp/f2d4Dtw/39ew/2aEQPP72PifkovdaZfnCw4z33MIV7+/5HPF37DzoffTp+eM//CKP6dLz7qf/ZvnwE8n+6539BvdwbH9wP3t+XZvzK/Yf+I53xK/vBF5/is50HncZE853OR91WBzI1QbODdJuI8an/0YNPiXI7+0TXfeLpXSLo3s59mcBu04f76cPxzv2H9x8S/9/bOzg4eICWn/Zb0gz1+74Xx3F/vH/v4YN7D/dA670HkKbuR/dJxdy1Oubo8aRazrxfWem8ys+bPdU7H6VVPctrUo54EU0iDaGdbtUQOuxWDaHpbMO9zQ0/vRVEaM1bQYRuvRVEaOBbQWQ9fSuQos5vBfTToOUmoOj+dvMoVsQ2vbepKRub20Flm3SrQYnpuh1UtnC3g8qG8HZQ2V7eDup+0HQj1AewwLdqKob6dk3Znt+uKZv9WzUFXW/ZVByJ2zd1POA15R+qge4aj4h+7XlLd50rlTy+S07aUfL/AP6DWoHACQAA</t>
  </si>
  <si>
    <t>EA1B4104624B93A17AF815DFF7FBA198</t>
  </si>
  <si>
    <t>JChemExcelTA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T74KM3LHNi8uV7lNLgU/72g/3+p/57of1/y/7/8KH2399lHO+Pdhw93D+4dPDx48Onegwf0M93eHe/e299/eH9v797Op/f37n/6IPLZ/XR7b7z/6cHug3364uDhvb2He+n2vfHBzu7B/Xv7n376YG/33t6De+k2Ueze/fv39u4fHNzff3jv03v34+264Ghcvc929iLd3gd6e/Qc0MfU1f2DB/v46NOHQbMH6Hbvnv/ZPXz0YHd/59Od+7uf0tAeEHG398e7+/cIz0/v3dvfu/dgZxet6PuHBw/3du7tHHz68NMDenNn/ODh3sOD+zv3qSn1fe/hR+k10fRgfPDw/s4OQXhAPewRxIPx7l74yafj+wf+J/vEVwe7/idEpZsb7fdA45Ow+/2UGHr/XgA73R/vPej0dm98DwTb33kAVjjY2f803R0/JLocPNjZv/fppwd7nx5EPom8tjP+9P7Dezs7Bw/27hG5iNRMrP0H9+8/pLnev3fw4P6n+71mD/dIJO5amTh6PKmWM+9XFpJX+Xmzp3LyUVrVs7wm6caLaBJpCGmyDfc2NITM3QoiJPNWDSG/t+qaGj64FUTogls13LttQ6iWW+EI7RPSB01EoR19V17TvzbC2N29FV6i6G7XlPXh7Zqy2rxd053bNwXUkCU8anz7lrRhTX67/vZE4b/PXPAPFaa7xjrRrz3LddeZteTxXTKYR8n/A5920sZMBwAA</t>
  </si>
  <si>
    <t>59B1E2C84395919A2BB8AD0AAE34A433</t>
  </si>
  <si>
    <t>JChemExcelnR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sHH6V5mYNib65XOU1A6v/3ZeSvL+3P8JsX9jfzzQv+3bV74f3rfp58lL7b++yjnfHD/XsP7+1/+vDg4b0H+zuf7qY74/v39/bv3dvd33346e793U8/TXfHn+5/en9//8Huwwf3Hz64R2PeGe9+uvPw3u79hzt79w7uPXxANN/eGe/d27n/6cOHnx7s7n/66b09mpid8cGn9+7vU+s96uPTB0SLvfG9/Ye79/cf3Nu7v7u7s0tTsTdG5/c/3Xu4Q4129mm27o339+/tEZSde5+i6c6n6f744d7BwYOHwO7Tg0/vHxAP0hf3DnYeErz79z49eJB+Oj7Yuf/w4f7u3u7Og/s7NN0PxoT2/sP7n9KLn+7sEAKfEmffu3ewv7tzcG+Pho239h/uHxzc//TTTx/sHDx4gL4+3X3w4MHOwwcHBzt7+zsPCaH7e/c+vf9wf+cBNSO86ZOHINDOw08/3aGREAvtjYHN/qd7D4gC+w8+3Sc4e3uf7n36cH9vZ3/3wb0HD9OD8acH96jrg937Ozu7D4iRHowf0m+gHI3uHhE/fTi+d3CfaHpwjwd/PyVR3H/w8OAeASHA9+9/Sh/tjh9iVoi6n+7RXD1Id4myBGT/Pg1v9yE1QhvqnaDc37t/DzO3R6BpWHtEtYc7n+5h+GhEcKjNzgH9eW+PxGL33pioeP/+/V0a+u6Dg4fp7v74PgH+9GDvPs3ALs0xuvv0U6I29fmApoyGADRpYPdolgixTwmnT4m0n+7TyAmLHeKivfv4ZHf3Ic0ZEenefaLRQ0zjA2K2BzSD93Ye7pCMoH96af/B/n0awN5D8OX+A6Lhzg4BJgrTP/fT7d3xA2Bw8ICmiLjpHknwNhFh71MaIzH2LnEUze72vfHB7qe7B6ASNdQ3d4mPH9Kr+/d2HxDUXbxJ/PHp/Z3dh9TRw/v3SLds71O7A0KJuHn/03vABp8Rv+/T/4mMNNsk6tufju8TqxCVqUPizweExwNi8717+/s79/d2iTkIjYPxAeaQxv0pTcbeA3rv4Zh+3Lu3T+0eEPXxFoEhUoHriG0AmchEdCNZu3fw4FOizTZR+QERc4em+tMDYnZ6Dcyw8+CA/vcp8TMNlcSRJpEwOAA/PrxPWN2Xz4jkJOHEuDv0/wOAI4o9uE9/kPTu72DyuAtidIAj7qFR3WfxJtHY26Hh7R6QBEBzfJRekxYB4Q72d+h/IOhDpiXRl7B78PAe6QcSQ+J7ep+k/SGJ9N5DmjWabtKNpDIe0rwSa+0//JT+If1B6uYBySa9uLtLfT/cgVjRsA5oUKRpPoW00yfES4Tvg4cPicYPSUMTwg/2DvZYeXxK+LJ8ElwiOBHk3oOdXVLn98a7NEKaWBrAvU+J0uiNZtzHirh4vEcTTay3f3+HpAvCBt22HyD1KTMRJtPDax9MdLBLiBDvknahIZEI0MsP9wJsH6Ad6SIfuXvgU7AdAaSBkH6iKUMfxJQ+yg+goj99QNLykIAT75CoowsSJGKhvYf3QKqHZHsgCKSeH+yRINGwyCISk+zdw1zTFwSVphGCtkOMTKxzH1r6wUEKKdjdp36IuQ8I/wcwALu7ezukDD/FiEiWoNd3iDOI0R7uEiuS9iVrABm9R5y9cw9v7xLb7AP/fVKWBySwhATJ3oP71CexLY2RLQ8pIehW4hCMhrrceUhjhXdBrWnc96lfKErSpMQi98GMwHYfdoQE7QHN2qcPoaZoQvZIIxJhPgVZDuiLPXrpHnQPoURwPt1nwPS7T2O0uR/MGI0XjL6/u0/fw47tPOChkUI74Nk+oB5hA0n2icdJMxCf0EDEBt6/R1Lz6Q4NjewoSEBMR3bv04OHNLk0F3ts3EiMqMt7OztETTJB94HFwUOyGiSd9x7A9DDu9Me9XbLBn366vwc9+SnNA+mvA1I9xIe7+OThQ1hfEh2SarZ2MOVEbGpy79OdA7I3O1B8B7s7kFB88oAQh9ZhTiYppQ8e7BPd7xMzPoSt3U2hdUjJ3meuI2u9n0KdwRqRlrh3n9TCAwJMNpgmhPTqPXqN4DwcE3UeHtD8EMUfkIlPod929oiyIojMD3t7UDZEHIJ/n4SC/L+71gE8ejypljPvV/YIX+XnzZ46hR+lVT3La3Jl8SKaRBre6zZEC3E6j74rb+lfm0Ds36oveHe3agg39lYN4ezeqiFcYttwb3PDh7eCyO71rVqKF367puys364p+/S3a8qu/+2acoRwK0px09tNk8Qbt2vKYcntEEDT203WvVu3BKp74byijcrAt28nESD4Xjjj3mu3FCtM8N6gbN4SE4nobjVyCfxu13Qf8eHtmnIYebumHG3erikHpbdreu/2TQE1ZJP3nzYM+N4gA90SiATat0Kam95OZWDa7oXM8P4cBRV1L2ST9x8fAwkZ6P0xkczDrUaO3EXIWe/fHXIcIR+9PwxgPMhgt4QhCZZbDVvyMLdSptz0dmy0f+uWjOrttI+kiW7XFAjcTvtI0ul2TTk3dbumnMK6XVPOdN1uBjghdiuokje7HdQHQdONuAKB202sJOxuhYDk9W4HdR/pv9tB5Szh7aByMvF2UPeCpjcIwf331Ab8Qx32uybdS7/2UsF3XZ44eXyXMtBHyf8DlTtRjp0WAAA=</t>
  </si>
  <si>
    <t>B69C602C62CC21AAF2AB9EEBEC06882B</t>
  </si>
  <si>
    <t>JChemExcelMx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2491GalzmI++Z6ldNcpTf992Xkry/tb/LfC++zLztvuPf8t9zvfnv67aP03d5nH90f39t7sLtz7/7BvXt7+w9oGPvjTz/d33mws//pvZ2d/fsHD9N74929g4Pdew8+Pbi/c/8ekXlvvP/p/QcHO5/uH+we3N8lYt0b0+fUfu/e7sMHO/f3du5Ro08f7D98sLu7++n+/Xv7B59So/ufHuzd//TTe/Tn/s4+MQO99+mD3U8fHuzsHXy6s3NA87U/fnD/we7ew11qcn9njzjg/vhg98He7s7D3b29/YefPryXPhjvHzx8eI8g71NXBzTbB+Pd+3sPP91/cP/hg72dgwf304fjTw8O9vZ29/cf7qOHvZTk4t793b37+/c/3X94b3+HmJBE4eDg0/u7+JQGvEu8t7s3vr//8P7+/r0HO7v7D3aJDXb3x4Tawc7uzv2HhOIezT599PD+g509emufkLxHTEgfPdh/cHBvf/fB/XufEgV2Px3vHdzbebhDPexQnzv38dHD/U939+7RiO8/uEesSZ/sPLj3kGi38+m9h9QpPnlwj0Z57/7e7sPd3X1AIhLQ2HYePtx/8OAe9baLVvf3HjzYv7dDTT99cJ84kRC4t/eQiL13/2Dn3qd7JEC792g6PyUi7e7v3SdoDzG83Xs0J/f27+8d7N3bObgPIux/ShO8c+/eAwK3QwJCrWhc9+7fAwI0xfTiw/HDe3sHhBmxCRC5R59QYxraDnHQ3sN7O3s0L/f36B2CQxgd3D/YT2ksRLAHe/cIi92H9w4eUJtPd0FggrBDD0nzw/EezQ+RZ+8hYXjwAHCINsSTB8RQDz+lwRCcg08JyM7eg52d3YOHu9SEur1/f+fB3qcHDx5Sf/QJyAeK0Dwd0MvEODQRRJGdew92DwiDXWIuGsEe4b+3S3T5lCj06XiXOGkP80zMfPDwU4z9AbHMw0+JW8EleyAQkfQhTdoDQommkwm7f//BHrEc8Q9PNrENycfOp0QwEos90lrUZo+45t7DvXtgnv0dpv49oswuCcHOp2CbB+BKjJ3gfwrGIN7FR7sPHhApD4gIRNqdfaCwQ9IEXn748ICE7AGxPE0sUW73Pqbu0/sQi4cPHoJKxHSE+gOQlhC8x/P4cJ/Gch+wP723e49kmXDEnDxglgAxSGw/fQDGoNdIjiA5JNRoiM4gcZ9CDh9Ayu/TJzRyouM9YlviA9KaDyE4kJwD4LUnSJME7NF4SVAfEAHR/cOdB/eJFw8e0tg+3aHuD8bEILsPd2hOiJ7gkV10t0udQ4XcBxekuzThzNMkqPcPPr1H/ZFUfLq3Q3KERsR1D9CIeOIeYU6DvQeOAQ6fQmZ2HhDLESsdAM/9Bw9BI2BCFL1PumoH+m3nwQFpCpqsB/gEaoqag18IfaIcDeYB6a8H+6AWTfP9j9Jr0qHbnxIaxLkHALBHjPwg3b4/JsalDu89AGYPSJLwGYkR8SGpJKLbvQf76fa9Mb1AbIApghYhE7kN5cragJpQLzSJ29QzsT0xFbHDAyIU6R+osgO8eg9scw+TnEKXQanc2yftSay4i2Hcp9EQFT8lrXGfOqdG+/d2oUloYkjf7IG9x0RWGiZRFbpzlyZ3mziQXqGR79JoiQ33iefpwz1i1R1qTBp6n/TaPnCjVx/SPEDnkeojK0ufkQCRqOwRa96ngRwcYKik0D99SHxFzEqTv8/Dv7dznxrSLGBKYSNo+JjmhwTuYG+fGJc+IpNEXEVKDybq/qcgEskxMQuJ8UNoX1KBKc0C/SRcyZ6Q0roHNt4mO0G6mMZNluD+PtGdPiO+JVkhjU90I1KRZ7INebsHO7FPfRLXkPexTXxzf4+mnbjoHkke2TpuBz7BHO4QMz/A3JAU7kGkoc5Iy+98io9oMsngEDfd34FaAyKE0s4edCr1+uCA2YFMCZGT+Ia0DxlKDIGmhca4RwobM8rg94AmWeJPwV4CnlQJseTeAVkNanUPL+7uUH80gw9hu8mTAoVILkmpEIFp4KTTqUfSn6TCD0gQiBtA7fuQM1Lv9A5NN+kfwHpAo3i4/3CPBJJMCYhB9o846v4eJmBfSLs3JuNKZoo6JpYgm7OH+SRWf0BcSxqGZO3hHpqRlNNcUaf3dh58CmDkc9BI7t2nKYW1Bv4PxweYSuKXh7Ae5BnSR0Te3U/vk6Uh7ngIZKGGD4g1SJuQgr/HnEbwSW0dgC8eks55gNkkNIiA+zS1B3A+wC+kKvZoyul7iPJDmEZ8RrZ5n0ZPVOJ/+F2StH0SU4JJqu4+3t2DyMBSEkke0ETvcbv7ZHVIjxOPPiDltsftCAghQnjAcj0gpiQrfY+oTcxFrgPNxA6NjJQUFBbpBhJmYrn7/NEBKYlPSWWQet/D+HfJuhJrPCB0oJA+Zf7D1H9KCm4f5pbwodHuQSgfPKSZJZVKfAK1ssc6j1T+p2QKiZX2GBxZzR3WlqS9SEtws33ClcyYUJrUHjEXkZpsEBntfXg6zFz0E7IBgSY68eQT4UjcmbthgjD3gEX6f5fU0R5ZLXyEEZO1PSBzRIJzD4wEiTrAJwTtATQZgBF9yR2h4ZOGYOULfbLDZpOkg9w60ndkscgD/ZR4nlAmzwXqiFiDnNd9otMB8StNLQUpd22UcvR4Ui1n3q8ctrzKz5s9jVw+Sqt6ltcUXuFFNIk0RLhxq4aINW7VEIHGrRoiyrhVQ8Rdt2qI6OxWDRHD2YZ7GxpypBeARJPXbV7nVTqtlpcUA3G4+sXT5x95H/xkVq4pMNo3oOWN4X4knLwVShJ1/jBw4tD2djhxBPzDwInD7FvNsUTjt2vKQfvtmnJsfzuioKljs41QOVNwq6aSULhdU8473ApXSU/8ECZQciC3Q59TJbdDH01vN9eSeLldU87P3K4pp3Fu15SzPbcbFprebq4ld3S7ppxiul1TzkTdruk+Ela3a8p5rds13b19U86U3a4pJ9RuNQXc9HYTK+m520FF09tN7N6tW0pa8FZN79+6JQO9HbNAXPZvxyyStbx909txgORAb9eUU6W3a8oZ1ds15cTrrZpKfvZ2TTmNe6umGNYtmzLU202s5I9v1xTDut3ESjb6dk05aX0ryeKmt5tYSYHfuumnt5tYSajfqilDvd1sSXr+Vk33OIt/u6ZI/N9utuB2fHq72YIz8+ntxFBWGG7VFD7ap7ebLTiJD243WwdY1bhVywdY+7hdS10i6TflHxqy3TWLUPRrb4Hqrlu9Sh7fpXWxo+T/AdLW0EEzGwAA</t>
  </si>
  <si>
    <t>B8BDDC4C9B5A853C1EEC169B7A639D01</t>
  </si>
  <si>
    <t>JChemExcelAB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SjNC9zUODN9SongqZfpifef18Gf3+p/w9bDLVyn71Gi4/Sd3uffbR9MN7Z2dt5sP/g3s7DTw/20u4HO/vp9qfjTz89uPfw/qc7D3f3d3Y/Peh99CDdvj++d2//we6n+wcP7u3u7dKQt/cJ1O7OvQf3Pr2/f7C/8/Bh/6PIi3v9j+6l23vU4YN79w/29unVT3c+RZfdz3bu9V99cL+P7F7/o30MnDra2dv7dH9/DyDS7YfjnXsHe7u7D+/tPfj0Pv3sNdrhjz7dOXi4c3Cwe//+g71d4oseEr2B74KsHfTRI8nBvXufPnhILx3sHezcI8bofUZM1xv5g34H99IdwnXn4T69Se98en9nnzolqb33KVFlj8b88NOHu7v9ZrsHB70R7Pfh349+1B1TH/379yKf9V8EsN3xASGw94A6+PTBfRrlp6fbNO89Ih3EPtq+N97fo4nd27n/6b1P9/fu79HLn6ZdyhEH7o3pnXv3iOkf0Czu3d9P9zF6AkezTwDv0fChw/xPPr1PjUhK0B+Nfe8+IdeflhglP0qvIXe798YH9x96Dw13b3xv1/8IDLE7vr/faUbKdKfT7OF4797mVgcP+sAOPu13CpS7uB1EkDvYj7SjOXsw/tT7hF5l+Xu4538oYnrQ+Wh/TKJIDEmT8emne/cf7PObuwGRuIP9nfsHB6QASBIf7BMDkwQeEL8Q++58uk9I3t8FsE93/Rd3+132GmGYnUagUAf7g/uRUR70mz3soSqqNBjQQX/cn34K1t154MPfYWV3rzvrO+MHARpkej4d33u4iz73H+xBLCEx9yMtP+0DhOLqdrwb+SjyKj7rdkHa8sF4j8TvHilaGv/+7oP7jMzB+CHhRSJzQPTa23twwJ8Sa97bJUl9QOrn0we7+w8/pY8O7pMAP3hAjfagmKCr7u8ekFx9ukMq94AEksf26R69t79/bwc6gCQSwPZ3vIek9QFNz+7uwe4ONXjwcOch40IOw13rMRw9nlTLmfcruxCv8vNmT72Ij9KqnuU1+T54EU0iDWH6b9UQdt823NvQEH7LrSDCu7kVRPhAt4IIT+lWEO/5DTdBhON1q4Zwv3Zu1VK8uNs13evSEk3Ehzz6rrymf22EsXu7KRaf8nZN2fUcQu3bt0SNfdfb9ccu7u2a3us1/RpUY3f6VrzEpLgdk4hzfqum4sPfCgFx9W8HlSOC20HlwOF2UDm+uBVUcKPX9EYK3LIpcL0dI0kMdLumHCrdrunerZsyD4Ts4jHkLSUHkdswkFvyuIR/t0JaosTbNeVg8nZNOea8XdN9hKbfxIBvx1Hc3+04SqLl2zXloPp2TTn2vl3Te72mX4OjDhDnfyAQSRTcShFIPuFW45O0w+2gcnbidlB3bt0ULL3/wcyHAYccdSOB+Ye6eHdNRol+7WWb7rpUVPL4LiW5jpL/BxtrL1IAEwAA</t>
  </si>
  <si>
    <t>709EFC8FCCBC417BBC1E93EF9D67C2EB</t>
  </si>
  <si>
    <t>JChemExcelxQ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CjNC9zYPXmepXTIFP890L/7357kX5J/76kf+m/j9J3e6DRg4f3dvZ3D+7tPTj4dPfT3XRnvHfw6acP9+/vPfj0/qe7Ozt7n6bbO+MH+/cefPrppzuf7t779P7+Dn+29+mDg4Od/Xv7Dx4+3N3b2bmfbu+Odx/c2/n04YO9e/f2HhKMe72Guw8eptTs4acP9gneDrWi7j/tffTgfro3vk+47d1/sLe3u3cPGKX3xgef7u/u7B/s33t4f3f/4OB+7KPui/f6oBiv3YOHuw93P92/9+nB7j0ewM74YH93j4b/cGd3lz4DPWjA9w7u3ds9ePDgHn3ML+7u3N/ZO7i/d//Te/d3D+4D/YN7Ozu7O/eo7aeEyoMDEGPn4cM9+n33U4JOLT9Kr4nme+O9e7sP9z8liPd2dw527jPC9/d27+3cI/Qe7Oze3yd4+zsPPj14sPdw5+G9/YeffsoI79z/9OG9hw/293fvP7z/YGfn4T56uUeo7N1/SK89/PQhY0jw9g8e0JwQLvf293ce4qOdB16zg4eAd/+e/9EBzz6h+2B/52D//s49Gs/eQb8deu2B28NnB/udLvbH9w7Cj/bHO7ufPrj/4B7Nxaf7nz6EcH0K7rl3cLD/8OEBEe7T8ad79w/2Huzv3bv/kMa6nx4QJXf27+/v36cBHTy8nz4gid19sIvvH4KO+/TSLr1Ok3d/j2bl4UMS18d3rbAdPZ5Uy5n3K0vfq/y8oQmB9JGsVvUsr0kkPpIWIrdH33581/tL/oiDuBeAGGoIMb9VQyiDWzWEyrAN9zY0hGK5FUSon1tB3PcbboIIbXarhqzzbtW3qMZbARUNeiuoD4KWG4GySr5VU7S83aSLfr9dUzYDt2vK1uJW4+emt5tTbhqdVf6hwnbXmEX6tWcy7zp7mjy+S5b6KPl/AJgWxS7FBwAA</t>
  </si>
  <si>
    <t>227B18E718FB38192A3C5D33333601AC</t>
  </si>
  <si>
    <t>JChemExcel/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v34KM0L3MM5s31KifapPLfC/3p/vuS/7vp+y/T1/Lzo/Td3mcfbd8b7376YP/gwcPd/Xv7u/cPHqTbu+ODe/cOduizvfu79+7f39lLt/fGn+54n+0/RLOdT/1mRILtnfH9nZ3dvYefPtj59IA+2r/X/4yGtoMeCMj+/d3d/b37e3v9j+6le8Bsb+/g/oO9hw927t8/6H/yoP/ag36Hu5HPaF6649x/cJDeQ7OHOw8+fbj/4OHB/Yf7+xE0How/PfAb3Usfjnd29+8ffHqw++mne/S/h+nBeG/f+4Sm9+H4wUHYhtj53v7B3qcEgb7Z//TTT6Mf7VJ3uzTAnU939g72HtBs9D7aT3fvEQr3P93b3z3Y293deXDvIPpR5MVujwexjzoDJC7d3adGD+/t3KP/UbsHD+7HOiSB5f/vjff2dvb3P93ZJ1rv3Nu9d7pN0rI7vr+Pabi//1F6Tcy4P8YE7j80z6c0Hw/u+58cYD7293Z2HtC0Hew+2H34KUnb/TH9tb/3kGb1YO9ghxhsb/zwwH/v4QPqbH8/+OhTwuzTB/ce0Iybhzn4gIboNbsPDD+9539GjAK5eeB/xh893A8+utdv9rAP7SE367z6IPKZDsHhS4rnRySzr96WZNvE37s7n5LO2T4Y3/+Uf3kw3tkLP9FfyDjctdbh6PGkWs68X9lcvMrPmz21GB+lVT3LazJreBFNIg2h5m/bcP+2De/fqiEs2a0awt7dqiGs4q0awnbahnsbGrKFvRVIMcS3Air2+nZQ2azfCupB0PJGoLebTB7V7aYTzsbt5lP8kts1Zffl1k33bjlXaOrmaiM3s890u6bsWt2uKXtgt2vKjtqtOED8udtBZbfvdlDZO7wdVHYibwd1P2h6E9R7t5tYDOveLScWzu3tJlb84Ns13Ye7fCsKcFM3Wzc2japA/qFG4K4JJ+jXXqhx18UhyeO7FOEcJf8PlTK6K/0MAAA=</t>
  </si>
  <si>
    <t>AB17039FEF2D826D52EF4E824F140C4F</t>
  </si>
  <si>
    <t>JChemExcelRA4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t6nH6V5mWNkb65XOREqxX8vvH/9/770fuL/L7z/e/+V9L+P0nd7NBc744OH9/Y/ffDg3oOD/YODnfvpw/G9T3cf7uzv7B48PNj99NMH6cH4wb379/ce3j84+HR//+G9h/TJ/v1PH+zuP7i3s39/d+/+/fTT8cO9+7v3d3d2d+8f7NM/+Ghn9+HDT3cf7N3buX/vwc4+ffLp/qf3CPz9e/eoh3s0woPx7oMHBw8fHjzY27v/4P6De9T/zsG9nYOHu5/uPDh48PDgPk3zA4K4/yn1fvDpzs4eEXp/vLdD+Nzb3b//8OHewcFeem9MuNx7eO/g/oP9T/f2H+CTh/d2Hnx6sHfw4AE12rn3KUGi7+7d29vZ+ZSee/tA8t6nD+7v7dLodh/iN3pthwYEnB7ufUoI3KdPPqUv79/b33v46Q4R4sF+ukcoffrg0/3d/d2dB/d3aap3CaPgk3vpDtFtB51/+pDI+ykBpFYPH4Tv3Rvv7e19en/n3u7ePlHy3sE9gNrbeUBko96IBjt76fbO+N7uw919YH5v9/7OAc3KNjW79+AeIU5tP93bxWi298afPvz0gChy/+EuDf3hA/7ogMjw6b3d3U/vgaL85u4ugd/buU9kP6BuMaB7ew/u33+4t/vp/t7+vfsPgCtxxL09wvXeAYj/KVrt7B/s3aNWD+/v7x7sYiL2iQ2o5d6DBw92HhCJd/YOqLe9T+/t0D/73OTBHrjlYG//0/v39vYxozs7Ow9oyMQN+/v3Dh4QrfZ5zu8TC3567+GD+w/vf5ReE4du79L079GXxIoPd6lfEjl8dnBwn+biPuaKaHmPPnsw3ntIX9NnNJR7D3bpo/0xwdr99OE96oreJ17CZwc7O0RKGifx0wFN5vbuvTFB2btPU0QtwVP02d4Y/E1zRz3RUO+jWyIJ0WGPpoA4/eGnn+7xu3vU3c5DDHafKHBAn+2MH+5AGA6I+XdogPv87g7x5QGRYOfTe/Qq4fdwTKO6//Bg/8HDPXAoNSPJ2iFuoY/2IXHEMvQRvfYA2FKfkAS8uP8QgGjqCPgBaZDtB2OaXsKSqL5L0/PgAY2VKIcx7e1RFxAvQnd/TFy3u/Pp7t6DnQMS2HvRj0gGqLsHD3eIoA/pm0/BRsQHe6QSdkhd7BB/xpsRz5PME2Pdg3iTHpDPDu5BbxDbkgQ9BMn3oByIuQjgfVIFu/eYoe8T65Cq+XRv7wHxHOFL6p84lUBSM0KNZP/gIXjlwS6JxcHuwad794k09/v9fop37+8RP9MrD/buk7a4D8kiFEg0SHuRQO4QkfHRwT2A2yFOoam5f4AX79PMETJ7QJCkqT8GElNI7n1gCS1I0w0mpn5IY4CBoQE+fUiG5a61LEePJ9Vy5v3KpuZVft7sqbX5KK3qWV6TXsaLaBJpCBNx24b7t2oI+3arhrCCt2oIW3mrhrCot2oIu3urhvu3bQgzvXOrlmLtbdO9TU3ZKbgdVPYdbgeVXYzbQWVP5HZQd4KmG6ECgdtNvbhAt2t60GuKNuKZHX1X3tO/NgO53YyLR3arpuK43a4p+3e3agpcb9mUoYZy/v60EZfzdv3twzO9XVN2YG/FYuLn3g4qu8O3g7ofNL2RjCF3eIT79i3JyB76rVATR/5WqIm/fzuoHBbcDipHD7eCysO6HXcwArfjDqZAVFXwDzV/d01URr/2Ira7LpxLHt+lQPEo+X8Apj7cYUQOAAA=</t>
  </si>
  <si>
    <t>AFD2342791B5F628138BC3C543C91C52</t>
  </si>
  <si>
    <t>JChemExcel8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u/hR2le5sD+zfUqJ2Kk/n9f0n/hJ93v7e8fpe/2iL73x/cf3n94b293f2d///7+w/vp7qfjh3sPP93d3ft0b+/Bvfv30t2D8d6n9/Ye7tw72N/d2b3/6afp7kN671P67/7OfbTe2U/3dsYP7+18un/w6d6DB/cffHrvIN3boxf379HfBPjg/qcP7qd79+jFg52dTw8e7O7v3ntABIl9tE+wdj89uP+QUNvffbD/IN37lGDdv/fp/d3d+zufPnxwsI+P9gmxewcP9w/u7+w+/JR6fEAv7n1KOFDTe3s7RLO9g/GDHe+je2j06YO9vT0C9fDg3sN7D9Fmd/9gl8b8cHf3wacHO9Tfw/Gn94kkhMOnNKyDTx+k93bGnx7sP9x9+ODezs7Dh/d38cneDtHl3v37Bw8+pV/Te7vjvXsP9x/uf/pw7/79/Qf39tJ7e+MHBGd/9+FDAr3/gBrdG+/t7T7YO9j99OEOIUIccW9/TH/vPKBX9nfvE+HTe/cJ9j2aiE9pXg6I1Om9T8cPdnfu7RwQ1T8lLO7jrV2aop0dGgrRZOc+Ovv00we792mgn9JEPXyIT3Yf0mQ+2LlHcB/efwAcdz/dOaCZ29ndv0eIMnXv0zQd7O0cHNBk7n2UXhN3bAOpezv39/d2CdzOwW66fX+8/9D/hD762WtEH90b7x50Puq9eL//5h6/+XB3/+EONd59eI8mPN3eGxOLMY8+vHeP+HIPL+5RC+JNmvxP9+7dPwD8ezR/ewef7tNM0oQQ+E/HByQg94mDiZOJRun2g/HuPXz/6cHuvfu7+0RXvPjw4OGDh59+SsxIwPbvAfx9YjMSFGJamnHqGojdo4kmZj649+Dg0/t7wP8e8ejOw90dsBHxCgkCwO1+ev/+vQcQQ5LOHUaNOP3BHgH/lESDpAyoETfcI6kjRiGsH94DbnvECiQG9Drx/P496uBgvPOQWI/a7NF/+zwCGsynO8SSD3ce7JDQEah7xNYHxDgY9/2H+2hEzEfjJFHc2915cMCNHjw8oHE+IBbc2T14QPrwrlWIR48n1XLm/coa8lV+3uypkvworepZXpPqwYtoEmkIVXqrhlC4t2oItXyrhlDet2oIFX+rhjAEtuHe5oYPbwURFiVsiSZipI6+K6/pXxth7O7erjs2Xrdreq/X9Gugxkbydv3t3L4pm93bNWXrfLumD3pNv8aA2Qu4XX/3bt+U/Yoh1L59S9TYMblVf+K/3K4puzm3Egrxhm4HlZ2m20FF09sxg7hgt2vKntqtmmLKb9mUiXXLpuwmfig37ouf+T5A+Ieq/bvGiaZfew72Xed9J4/vkl9/lPw/1GrmgfMLAAA=</t>
  </si>
  <si>
    <t>E25A6540488C6B0B37C543F394A95A38</t>
  </si>
  <si>
    <t>JChemExcelJw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uv9eeL/7/31J/+Hfk4/Sd3uffbRNw79/f+/g3v3dvU8PHhzcf/iAut4d7x/sP9j9dP/gwb3dvd17Dx+ke+O9+8FH92If3Rs/eNh5cX98/9Pgo/RTInr3k4MH/icH6cF4fzf85OF4N8DpQUpT92DP/+jTlGZrP0DgoN+qD+phpLseSvcjeHfHdtAjwMH+LXHavTfeudcZ373xQdDhpx+l15izPcLt3qcPHtJnB3sHOzTu/kf02f54b+fBvfsHe/v3Pr3/6c6DvXR7d3x/f8d7aK57n1GzHXrz03t7O8QQuw92H3764NP7kQ/37xGj7O55XXxKfXQ/Ooi8SYPrffgpsXgfv93+0B5EProfGcaD/mf39vvvHsTBRYgX+eg+dbBLL9AHJDG7O7Eh9Ie6/4D0w12rII4eT6rlzPuVNcar/LzZU6XxUVrVs7wmzYYX0STSEKrltg33b9UQaupWDaHMbtUQKu9WDaEYb9UQ6vNWDVnJ3qql6GLbdG9TU1bZt4PKmv12UNkA3A4q24nbQd0Jmm6EypbnVk0f3LqlmLLbNWWLd6um92/dUkzo7Uh1D5b2VlDFIN+qKThg73bMYsx7vyn/UF1x1zge9GvPKbnrPJbk8V3yhY6S/wdbdVdAJwkAAA==</t>
  </si>
  <si>
    <t>938A1BD605C14BE497CA79A389E861A2</t>
  </si>
  <si>
    <t>JChemExcelkg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b304/SvMzR8ZvrVU7jSGP/vTD/lh+l7/Y++2h7b7y3t/fg4cH9e5/eO9jZuX/wadr77OH9dHtnfHDwcHf34f7u/v37ezt79w7SnfH+Pv3x8MHOg70Hn+7s7u5/mu6OHzw4oC8P9h7u7uzv7N/fT+8RaXYf7j54eH/n4b29nYPd3id7vdce7EWh97DYv9f/bO8hRrB77z5hfv/gPn25T1+l27vjT+8H7XhUQMT7jDrZGd+7/+mDTz99QP8SCR5+ej99MCa8fIQ/Sq+VePfo2adBfbq384D6BMhPH/qf7T8giDsED70f3HvwcO/g0517kXa7vXb3H+732927xxPU6/feeGen+1m33X60GRFmN0BvL90b39/bPQBJPn248/DTh/t7NGkPDz7dPyAS7e3s7O/d2+1/st9/jwdPTH7XcvnR40m1nHm/Mtu/ys+bPeX8j9KqnuU1iSdeRJNIQ8jHrRpCim7VELJmG+5taAiJvBVEyO2tIEK6bwUROuBWEPf9hpsgskq5VcvdW7eEWtq9VUvRZLcakSi820FlvXi7pqw+b9d0d6gp/1COvmt0PP3a0/93nXFIHt8ls3OU/D8dw+z1kgYAAA==</t>
  </si>
  <si>
    <t>960CBAF2871E9A59DD1D4E7499FD6C97</t>
  </si>
  <si>
    <t>JChemExceldQ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7r2P0rzM0dmb61VOuKcv0hP+70v+7ctUPnnxUfpuD8O9d+/epw8e7u7tHuwd7NAfafej/ZSGSZ/uPNw7eHD/wcHDg0/v3zs4uH+6vftpr/H9B72PHqR7408/fXDv/sHe/r1P73+682DnfvejTx8+SPfHOzu71Jw+2D/Y393Zv9/76EG6vTve/3T/070H1NXOw/379E26vTe+9+nDg91P7+3d+3Rvnz6NtXvwUXpNA0bjnYf+k27vjB98Gny0q0O+fy/4+NO09/Kn6b3xwX7no96Lu+n2vTG+IpLs7u89fLiz9ymTD10/2PGevV4XB/TJzu79g4NPdx/s3rv3YH/3Ydp9a2cfkPYfBK32iJHuWk46ejypljPvV2atV/l5s6fc9VFa1bO8Jp7Ai2gSaQgevFVDcKptuLehIfj5VhDB9beCSA0f3AoiJOhWDfdu2xACeSscH0BsbwVyH8J9q5aiA27XVFXFLTC9F7T0gPIPZai7Ro3Rrz0Vd9fpv+TxXdKsR8n/Aym0XdF1BQAA</t>
  </si>
  <si>
    <t>1E537CA4D8D3A4D2F578D19BD8B261B6</t>
  </si>
  <si>
    <t>JChemExcel5w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P6Ij1J5d/X/O+L9MVH6bu9zz7a3h3vPri38+nDB3v37u09vL/3IN3eGe99+uDgYGf/3v6Dhw93dw92P02p2cNPH+x/+unODrXa3z3Y7330IPLqQ3p1b3z/3s7+3v0He3u7e/f20UXko3vjg0/3d3f2D/bvPby/u39w0P/kfu+9eyDswwcPDu49/PT+gweE/r2P0msZ1r2dvYO9+w937+8//PThwUNCjt7eP3iwu7dz8OnBvf39nQcH+Gzngd+OxkWDuH8v+Awf7dz/9OG9hw/293fvP7z/YGdnZz+lwd57sPtgf+dg//7OvZ3dnftEkwcPgo8+7YN7uNfv9iE+OtjvYtL97OEDYoi7liOOHk+q5cz7lVnkVX7e7CmXfJRW9SyvP/toDy+iSaQheMk23N3QEBx3K4jgy1tB3L1tQ4L46a0aQhhuhSM1PLgVRAjWrSCy+N0K5L1bt3wo4txvyT906u8axUG/9pTKXadxksd3SZcdJf8PDiJkyecEAAA=</t>
  </si>
  <si>
    <t>E46B206A64DA06203C016D5E61891E72</t>
  </si>
  <si>
    <t>JChemExcelDgU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9/9KM3LHJ28uV7lhHN6kr5IX6av6V/5nf79KH2399lH98af7t/79MHD3b3dg72DnXv30z0aSveTgwfBJ/d6Hz1I98f7u/4nB702B/s92A/vpV0E6COi1D3/o08P0ofj/Z2dT+89ODi4f7BD3R2cbu9+Sg0Pdvc+vbe/c+/ewc79nU93P6WP73+UXtPAtrt9ffpp2v8s3d4ZP3iw4z8HKX306UP/2e199ABjubcTtOoN5X7vk/39tNffAxrGp3sHe/f3D/ZoMESzHR4GfXx/32+4+ylxw13LDkePJ9Vy5v3K/PEqP2/2lEU+Sqt6ltfEx3gRTSINwUi3arh724bgy1s1BPfahnubG356K4iQhFs1hLzcquGnt21IOD68VUMW0lu1NLJ8i6YPh1ryD2WSu0a/0K893XPXKabk8V1SeUfJ/wOlha+oDgUAAA==</t>
  </si>
  <si>
    <t>B79F75426A6F34E001BD289CD3165C32</t>
  </si>
  <si>
    <t>JChemExcelG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OK/16n8lP9eBH99Sf+Z37ld+VH6bu+zj/bH9+89fHj//r29h3sHD/b3084H9x6m98Z7D/d3Pn24e//Bw/s7O7v45MGnfptP94mY93aCj+iTBwf3D/Z36ZVP9/bp1/vp7viAQO3v7e7tHdy/v39wb58+ur/zcO/+we7uwcOHn+7ee7Cf0qTt7396b3fn4N7Dnd1Pd3Z3HqbbO+O9B/fv3997uEu9PCBE6bPd8YP9nd0H6HbnPoEkcm7vjQ8O9j/d23t48Cnw+PQg3d4f39unLnZ29nbvHezt7NzDR59++nD/3v7O3v29/d1793fT7Xtj+vXhQxrEPiG8+ynhRsB2Pt259+m9h/cPHu7ufrr3AM0O9u/vPqCWDw4+pX4fUjMe+8HO3g4N/tOdnf37ePPBzs6De7sPP/3003s793YP9mhYnx7Qa9QDQdohOhzQRwTs4YM9YEe9P3j4AAO9/+nOwcGDHfpr98Hu3v37GOj9h7v39g9oANTjAwKJdvjTfXb/IN0bEzE+vb+3Q8M+2LlPHPVwTH/7c/BRek2TTsQ8INTuP9ijSTh4eJ/Ghk5oGnbu7e89oAHu7uwfPMQwiBB7e/fu0yD2d/fv3/8UFCBCHBDCDw+o64c03f3PhATBu9zDpwcP7t17cO/h7oOd/R1QeGe8e0Ak39khYtLn9C0RBbQhQh7sP6BZIC4B3+zs7u3fu3fw8ODhPSb6HvEDUefh/U9394j693Y+pVZ7+0TuA4yAJpr4lT56sEcUJCIfPHhwn9rfAzfvHRBfPdwh7iJOugeW37v/8B7midiaqIVGD4g5H3x6QKT+lPAjziJ2JhR3QaCDPUJtP/2U+tu9T2Tc3d8lKtPkfTom+tOk0Zuf7u3uEiAwwu6DBw8P7hOpiRnoNWI+YrR7xKP7JCb3Dnb5owNC7x6+J765v89kJvbZo3bEpp/ev3f/gIERiT6ledgj0j64RwDAfDQWDxrxCwkQqaS7VicdPZ5Uy5n3KyupV/l5s6d66qO0qmd5TdoVL6JJpCG0mW24t6EhdN6tIEIz3qoh9Oetut7zG26CSDg+uFVDKO1bdQ3VfiuIbABu1VLsxO2asjm5XVO2Ordrysbpdk3Zht2uKZu62zXdvX1TQA3nFG3EUB99V97Tv4aBsPW91Xxz09vN+AOY8lu1FIt/q/7FMbgdVPYfbgeV3YzbQd25fVPgGmUO/qGq6a7xtejXnh921zlpyeO75P4dJf8Pl1pIthoKAAA=</t>
  </si>
  <si>
    <t>94F686B5BC5C72F57ED21BAC00672718</t>
  </si>
  <si>
    <t>JChemExcel1A8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v9vY/SvMwx4jfXq5wImMp/L/jfL/Vn978vO799yf9Je/eGwvgofbf32Ufb++Odnd2dew/ufXp//2B/l0a4vTf+9NMH9+4f7O3Th5/uHKTbu+ODh/4nRI/te+P9e95nDw4+Rbt79+59+uDh7t7uwd7Bzj6Ndfvh+P7+zkP6bPfBwQNq/PB0m0jZaUnE6n3yIO0g8imRNUR35+FD4pJ79/Yf7H66f/DgHr1LXX5Krx3ce0hvPNzd39n99GHkkwOCs7fzYP/BvZ2Hnx7s7eylDwnO/Qf37x3c33vw8NM9mhLizk8/fbh/b+/hg/1P9/b3Huylu3v03r3d3T16a//+3r0dwvve2Mf7Hs3f7v740wc7+w/oD0L24B4NZfdTenF/d//h/qe7D+99Sr/1Wz3sw7rf7/FhH697sY/64+mOeT/ySay7CFKR0UQ+ekAvPqB37tPgPt0ncH1YfSpEhrwfmeQO3/Za7PZYZb/HBvd7b5HcXUMqDsb7nz70nr10+8E4+ITAEWvvBKNJtz8d3/v003t7OwcPDnYf7D68/wAfPdzz37vfBxVpRUJHuB0EzfCiNL234z27DPGB/9HObr/ZHkN82H2TyL/nf3av32yv3+qWwHalGX+x2xkL8Hu/ET0c7+37H+1FB9l9cS/6Ik1w0Exb9efmIX9xz//kwCB/b7xz4APZhe68t+t/tHO//xm05y0IutfvYK8PbJ8/2umjvE9W7641e0ePJ9Vy5v3KdvBVft7sqSn8KK3qWV6TAceLaBJpCPt124b7t214/1YNYaJv1RCG/FYNYe5tw73NDR/eCiK7DrdqKR7GrXoXR+R2UNlfuR1UdmtuB5W9n9s1ZSfpdk0f9JqijfhtR9+V9/SvzUDcJG7sj3222zVl1+52ZERTN48bOZ0dxVtBFX/yVlBBgVs2FQ/1dk3Zkb0drmh6yym/32v6/lMuvvWtUIM4eE03Dpi99ds1BRlDRvLw/vYtRwFNejtVAb65dzsWkxjjVrThprfjG0jOvZBv3n/A9/YR8tyqP256S45CMHW7GZY461a0gXL2mt4I9XZaRQK82ze93ZTDOuxHrQP/UIt/10TJ9Gsvgr7rwuvk8V0K3I+S/wccslEA1A8AAA==</t>
  </si>
  <si>
    <t>75701D7B5C88AB1C89790620E6DBF248</t>
  </si>
  <si>
    <t>JChemExcelPg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999r+v/L9Ev+z/w8KdMXGf3vIxlveTLP6gt6byeN/be96/+ym+5+lL7b++yjvfH+vb2dnXu7O/v3dx4+3L9/P+1+9GlKFH94cG/v3sODvU8Pdh/SF+n2znjv3v179+/v3nu4u//p7t79nfv9D/c/7b+82/tkb6//5r2dyIe79yN9oOHu+MGDoOEBdXJvZ//T/f2DT3cO7t87eHBwH83uf/pw597+3qc7Dx/s795/+DDd3hs/3Nl7sHvv3sHewc7e7sNP7+Oze/f8dgfo9cFD76NP93rDoD/ST8dAyCcd8d9H6TURmjrff7j/YOf+wQHhv/dw/x5BvTcmkN5ne/joYCf46H60WRfaHk/Jg72gh3vU/cEuft3dffApvnqwR2jfP/A/IsLcG9P8+R99mu6PP/3U/+hhr9WnO/d6Lz540O0RrYgG+/5He/sHxGS7+wcPH4B8+w+IVg/uAf/7uwf3Du7v7OzvHtBHn9Jn98f39sOhE7R0+2C8Hwx1j0TyrpXJo8eTajnzfmUhfZWfN3sqpx+lVT3La+J/vIgmkYaQZttwd0NDyPytIEIz3Aoi9MetIO76DTdBhDq6VUMorVs1hGq7VUNWgLcaDVru3hqmm8Ub0Ny93TSKZr4Votz0dlPJTW83R2gZnST+ofx819gj+rVnq+46Q5Y8vksm8ij5fwBYX/yXPgcAAA==</t>
  </si>
  <si>
    <t>7624BBFE9D111BF5985DD380ADA55E21</t>
  </si>
  <si>
    <t>JChemExcelJQ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8U/32ZvtCfX6avP0rf7X320b3x3sGn9/Z2Dh4c7D7YffjpvXR//OnuQ+85ILQf3r/36YOHu3u7B3sHO/f2e5/cSx8QnAf37h/s7d/79P6nOw/Sg/Gne7s79x7Qn/sH+7s799OH9NL+g91P96khvbifEjH2Dg7uPaT2D3f3d3YffNpv08Pmo/Sa0d6/53e3ez/dG3/6afDRftpttUfgHj4IP+m+tnev99q9fqODfqO9dHe8uxe0etD7aPdTmsu7djKPHk+q5cz7lWf3VX7e7OkEf5RW9SyviQvxIppEGoINbtUQzGIb7m1ueP9WEMF4t2oI9rxVQzDxrXCkhg9vBXFPBKLfkn8o9e8asaNfeyJ518lr8vguaYKj5P8BJymNyCUEAAA=</t>
  </si>
  <si>
    <t>197B052C9B90EEA44D32D9B00018099C</t>
  </si>
  <si>
    <t>JChemExcelv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PKf6/TL+m/F/qX++/Lzt+mxZf830n5Ufpu77OPtg/G9w92dnb27t3f2d97QD/T2EcPxnv7n97bu7e3d3D/4cHDgwfRj+6PH+7ufbq/v7vz6YMHOw/v76Xbn44/PfA/uodWu/v+R/vp9v74/oODh5/uPzzYf7i/95BoFPvoHvV4n3o7+PTe7u7+wcG9++n2LnW5+ylB2t/dO/j0YP/gXu+z+zQF2zsE7sHDvQef7j7cv39wsPvgQbozfnD//oP7u/dphJ8+3KMvuh/t7Tzov3lvP90b7xw83L+38+ne/u7DB3s0gnvj/b17uzsPH+x/urNHOD58kO4TrE8fHBwc0D/3790jYqWfjnce7ux/+oDI9SkB+jR9QK/t7+4/2N2lLh/eIwwO6K0HRLG9e/Q8oIGnYPSH9PX9e/fv7356n2ieEm/v793fPdjff/Dpw4f39h8+jH7Uf7EPvTdn+/2P7vcm++Fuunt//OmO3+EBUW/no/SamOr+eP9T+tA+D4g+D/f8Tz69Tx/t3g8a7ae74093g4/uEcyDff+jg08xI/sHnxIVd/d2D/YOdu49ePgpTcnuwY732T4mc+eB/+pDzCaR6dN7O+7ZTbf3xkQO76Od+9Jsz393rwfuYBcjPth/4L8qvfof7T5gjgzB0Vi5W/+zgz64Pek1+OjTvV4zUg/fYLOBTm81BiVwrFmXwvfGDx4EFI5ODmECHUICRIr4rtXER48n1XLm/cqq+VV+3uypdv4orepZXpNNwYtoEmkIHX6rhtD0t2oIe3CrhrAatuHe5oYPbtvw4FZdP+w2RAuxeUfflbf0r00gdndu1ZmYw9s1Zat5q7GKcb0dVLbBt4PKpvp2UNmi3w7qbtB0I1Qg4GZ7Y1N2JW7XlD2O2zVlx+RWTcV/uV1TdnNu15S9ods1Zafpdk3Zt7pdU3bBbteUPbXbNd27dVPMwO3mVTzEW/Egmt6Lziv/UEV61/jD9GvPV77rHOnk8V1y0Y+S/wfl3ZCXvgsAAA==</t>
  </si>
  <si>
    <t>FB38B3ECEA4381688B183129F29F6FD9</t>
  </si>
  <si>
    <t>JChemExcel9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7tf5TmZY4Rvble5USg1P/vS/35Ivi0/9+X/J/+/Ch9t/fZR9s740/3dz91z8Feur073t/1P3twL+21e9Bv9im9ujd+eD/4LN2+N36wF3z0INLsQaRdv1PqYWd88PDgnnv2d9PdMaHtfXTvQXpvvLcTtKJPHj4IGt0nfrm/2210i9e6je71AFGjPnEiw3kQaYfPutTBZ7eiYrpLyN1/eO/BzqcPDw52H+zv76UkEw/37n/6cPf+A/rw4f4OtdoZ33+4t7O7t3+f3t8lej2k1/wR3I+0iQHap0b3dvYfHuztfLp/f/8BfXSfWn36YI8a7O0/uHefxCHWqovnR+k1cSMRkjp4+Om9/Z2H93d29w/S/fHe3r17uzT2h7t7e7skZHvjgwNqcbDz8MEeIfHgwT4xwP379x/eP3j44P7+p5/u7O/2P9o56L14/9MI9B36ZG/vwcOD+/fQdOc+jbL32cP70c9oLgnEvYc0/oPdhzs7ew8P4p/tjff37+8QX9EHuwc7n96PfkQz/uDgwf0H93d3D/Y/3d2hIXR7/fSgP9K9/iBovBFE7vV7JV7udLvz8GH0o9ib3R4IuZ3xvYP7O96zx6qk/yE+23/oPQeRdsSDxFxBs310S2zpN9Mugnb3MY09cNs9eJ9yFyE4Mgd3rT04ejypljPvVzYQr/LzZk9txEdpVc/ymiwbXkSTSEModttwb0ND2JtbQYRVuhVE2K5bQYSFuxXEPb/hJojU9cGtGtJgHt6qIRvfW7UUG327pmzKb9eULf7tmrJjcPumbjZvROB28yneyO2b3m6qMAPhXKGJuFNH35bX9K/h7tg3uh2vsQt1K8zE07odVHbIbgeV/bZbQeVh3W7GxQu8XVN2Fm/XlH3KW+HKTW8nc0DgXih03iR/93ZTjgHfu908iid8q1Fw01vO433xq99nFPxDdf9dE0jQr70g466LQJLHdym2OUr+H9PcOCr3DAAA</t>
  </si>
  <si>
    <t>4D04AD3EC9653022B0499888C8257C84</t>
  </si>
  <si>
    <t>JChemExcelN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b29j9K8zIH4m+tVTnRIw/++TF/c+In+V9JXJx+l7/Y+++jh+OHevU8f3Nt/+OD+/sN9whJ0enh/7/79T3cP9j/d2XlwL93dG9/f29+9f//+zu7Og4OdHfro3vjhw/sP7j34dG/34cHBp/Te/vjevYN9+uvTnb2D3XsHD9Bob+fh/d2HDx88+PTTe/v3GTq99PDeg4P7nz64v/fg4cOUJu7TnYc79OmD/d17+wefHqQPx7v3Huzfv39w/97e3j6RidoQnAd7O3u79PeD+w/3qc3B3t7B3s69vYcHOw8//XQPjXY/JRz37n96sLuzBwwejnfufUr4fHpwf/9gnyCmD8b3P6UmO/c/3Qf61P+D8d7eHqF+b+9TwnvnwX56ML53f5fe39s5OHj4cGfnfvrpeP/ep7t7OwT4IaH16YN0f/yQINyjYezu7N/HMKnRgwcHBzt7DwnN/YP7D/cI0N7Bzu7D3Yc793d2Dj6lvx/uH9x7sHfw6b29fXq/16AP4v74/oP9Bwd7+/Qaft7vffIp4UKzs7tz797ufaL/g4e76d74IQ2EPn147/7D3Qc07t4nDyKv7Y5Bk/37Ow92H3xK4Hce9EaOySGy7R3sE+M8ePBg92D3o/SaOIlmdn/v3u7Bp9SIJukBMT5m7dOHe58SgAf37+0+JB4nVtrZ/fTB3sNP79379OHD3f1dsMR9ovzOp59+en9359N793kmdz6l7x58erBzbx+cg5ncJb7c/fRT+vjhLo364Xj/0wcHD+jrPUKDxkTU3N/b2Sc6UqudffxNX2N4B8SDD/Yf0mBA6l3qnHh7/1Ma8X1qQoxNGBI/ElnvE1XuPSAUCewOwdynAd8bExd+Sny9S98Td5E43xuDo/cI8r17+/d29kla74/3SDR2d5j57jHP3Nu7v/+A6EEcSyz4gOaABg4x+pToe/8AH90b7x7cI5m6f+8+DRYiR5Owtwfo1IBk7oAomu6MDw7u7xzs39vfJ77cIfFJt3fGhMv+Dg19j4ZCI/o03d6ldg+JZR98SqMkSlKzvfEeoUGsTIJMUnawi1Z7D4I371EHhAyx294BcQbNDMkuSU7wyX6/0f0IrAN0SQS5xWdExHv3Hj7YeUjcTggfPCS1QkK9S3h+uveQBI9YfJ8U8F2rgY8eT6rlzPuVVfKr/LzZU638UVrVs7wmdsSLaBJpCN1tG+5taAgNfyuIsAO3gghrcSuIsCm3grjnN9wEESbqVg1hyG7VNUzZzq1AilW8XVM2nrfqX2zs7aCyKb4dVLbYt4PKhv12UHeDphuhAoHbzal4FLdDAE3dvG6Eyv7JrZqKG3O7puzt3K4pO0W3a8q+0+2asot1O2I9DJpuhMpO2+2asm93KwTEBbwdVPYUbwd1P2h6E9R7t+SBe3BRb9UUYngvygP8QzX7XeOH0689H/2uc+CTx3cpNDhK/h+IE1eMNgwAAA==</t>
  </si>
  <si>
    <t>7992C623F637EA0D5971EBFF5AC9EA82</t>
  </si>
  <si>
    <t>JChemExcelN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Ox9lOZlDgzfXK9yGnB6kn6Zun/x88vgr9f8yYv05KP03d5nH+2MH+7t7Ozv39t78GBv58GDTw9SGvvD+w/v7ew/fLhz/2D34f1P6aP79z99uLN/797e/sOdewd76b3xzqf39u7vfnrvwad7eJ8+Objnf7JLdLz3wP9kL/10vLsfftJv04VzL90bH+zsPSBk0PODg51dgrO/c+/BLuG8u797b+fgXvpgfLC7c/8BffLp7sHepwcH9Mmn+zSOg4f7ew/u4930YHz/4f7+w09pLPsE6f5B+nB87/7O/gF1+GBn5/79B3iL/t7f33m49+nu/Z0DehGvHewQjT7dv7+z++Dhwz16bf/g/u7Dew/v3btPrVNip3sgy729PaLhwcHOQ3z04N7uDiEL+PeJYgfjPXoBJN7b2915eJBu7xCf7ezvfnqw8+nOg92DT+/v7X+UXtOkbN8b7+/t7d/f33lwb2dv7z4a744fEn57D2jcD/foDWITArC/9+nep/fu7T4kEDSR9xkowD28t3t/b2f3/oOdh4TMeI9o8PAhvUbN9z+9d7/30f6nkVfv30O/+/cePrh/sE8k2nv4KVGp/9mn9PIeUWmfXtv/lMi//4Co3v/s3n5kHPfi47g33qNp+ZS6eXgfk8zdPnxArHnv/sH9/U8f7BzQq7vj3XsYw8F9AkSd0bwTRz/AjBLhqBMa3X1iIKLmg92Huw/3id704gFx2f4D6uv+vU/v33tA07zzAHxPzL4Hrr9PhHgAlt7FnwR27z5x2kOgALbcv7dzb586fbC7u08yftcK+dHjSbWceb+y1L/Kz5s9FfyP0qqe5TWpK7yIJpGGUA+3arjfbYgWooGOvi1v6V+bQNy/VV9QVbdqCIV2q4ZQe7dqCOV4q4b7t23IuvYDKbfXg7EB/93dod6+e7vexCzcqjuxHrdq+uDWLRno/u2b3o6p0H/IVe8/D2Icb9Wd2NDbNWVTa5vu3dB0z3HCjU1DVtjAXnvR+eYfqmPuGi+Efu15KHed+5I8vkuO0VHy/wCmbp0iNAkAAA==</t>
  </si>
  <si>
    <t>5FA54E33EEF013EDDE4ACFC40F28EB9F</t>
  </si>
  <si>
    <t>JChemExcel6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yp/9+L4Ofr9Ev6D79/ab75KH2399lH++Odnd2dew/ufXp//2B/d2f/ftr96D7R4t69/Qe7n+4fPLi3u0cI9j7ov7M3/vTTB/fuH+zt02ef7jzof/ApfXBw7yH9/nB3f2f3wae9T+6nBwR3b+fB/oN7Ow8/PdjbeRj5pPvWvS569w56nzxMH9In9x/cv3dwf+/Bw0/3aNzED4S499E+dXb/016jTz99uH9v7+GDffpg7yDd3SOM7u3uEiqf7t/fu0fz1vvoXrp7j/r79MFD6vxg72Dn3v29dHd//OmDnf0HO/cI652Dewf04qf04v7u/sP9T3cf3vt0P9KIZv2a5m17Z/zgwY7/PEy398b3dv2PdtPte+OdBw/959N0m0DupdtEkofmd2p1EAC7b77/dPzwXrr9YPxpAIS+eDjeu+d/cpBuQ6B2Op9FmnWBHZheDsZ7nwY0AhL3H356b2/n4MHB7oNdoiba7n7aGSReDz66D2D7AX32+m/e6795r98qAmufhPyulfKjx5NqOfN+ZbF/lZ83eyr5H6VVPctrUk94EU0iDaEfbMO9DQ2hRW4FEbrmVhChkW4FEXrrVhD3/IY34Hhwq4ZQlrdqyCr1VkiK5r0VUFHQt4PKevx2UFnd3wrqw6DlRqAYlZv3jU3ZzNyqf256u7nnprebVLFtt2vKJvB2CKDp7eZVDOrtmrLdvX3T6GzxD1UVd43zQL/2HIu7zutIHt8lf+Yo+X8AT5QhLOsIAAA=</t>
  </si>
  <si>
    <t>E99DA0E5B249A731E4044AF9CEF59FC5</t>
  </si>
  <si>
    <t>JChemExcelc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p6kX+r/u/+90J9f2t/8/75Mv/wofbf32UfbD8YP9/c/fXhwb3/3wf179x/sp9ufjvfv7e3vH9z7dG9/92B3/9N0+/54f29/72D3wc7D+3sPDj7dTbfvjR/u7u3c231wb2f34d7+vf17+Gx/58HD/YP9nXsP9h/sPaRRbe+NH+7cO/j0/s4Darm3u/8w1i7d3h8/3CNAB/cO7u0c7D3YPbjf73UPuD289+n9e7ufHhwcfHpv7+BBSiPY39/5dPf+zu59ehVodAdwPw5+f7y/++kuvXj/00/vPbj/gGARtzzcBayHDx5++ukD4L8zPjggyuw+eLB7f2/3PqGNZgcP7xPRCL393d2DT4lEO2PqjODu7Tw42L13sP/gYbo73t07OABa+3v3Dx7iA6B8sH/w6c6Dnf3de/fokz3C8tODh/d2Hnx6sANMiaEJ3r29vXv3aKS7n+7c3+UPH+7fe3DvYGfnACQHsvQuhkcY3afZO3j4abo3vv9gj6A/vP/w4acHuzvETHvjT3f29vYOiH40RZ/Sa/fGD2i49x/u7uzf27lHA71HH+3SWB9giDQnRG589PBTQvX+7u69+zQDuzv36aO93YMHB/cJyP49mvR7eyRf93f27j98cEBE+xQvf5Reg6lozh9Sb/sPMMv3H+7xlO8d7O9Tb0TET4kRMAF7Y3AQvfng/t7D/U93MJt7NCm79x4+3N99SJ0/4Mm7Nz749NP7n+59ur9Dne3dAwvR6IlziA326eN79Pp9mgIQH3Sinoh+OyRAO+P9hwcP9x4QET69//Ae0elTItzD+/s7D4k8xH34YI9g3d8lKh3QrO8+/HQfRNohHD/dpWb7D/aJ19J9QoJmmyaLaHf/4c4BfXL/wT2aappK4oUDphpxw94ecRgx5L094gHC8z54jmjzKU07DSztUWcfrEicdZ+4nJhjlyZqP06w/fGDe8SXO9QvzfP9+/fiNAQv7rB03Qc+D+6BDrt794ix93doxj8l/IQdP713D/L1kKSAGOmAKLFPnLoPTqcxPuBGzBQ0pvs7QPkeQD0gahHLfvpwj0Tn04fc5QHxBHEoDYjYl1oAtb37xKu7NMiD3YOHJD8Y1X2aCyLgPgbw6Q6P/SFxMebo0093Dw5YtRCe9/cfPnxAQk3aY5fU712rf48eT6rlzPuVFfKr/LzZU538UVrVs7wmS4IX0STSEJr7Vg2h32/VEFbANtzb3PDTW0GERblVQ9idWzWEdbpVQ7ZhtxqNmLpbARWLeDuobDhvB5Xt662gPgxa3kD6XTebaIkm4hMcfVte07+GEWODf6vuxC/40P4A5HZ8IP7HrWiGpnuOFTbK1G6vqYf3d283CnGHbtcfe023a8rO1e2asg92u6bsqt2u6e7tm7Lz94HMIN7j7frbuX1T9kc/dIbZob0V83HTqHLhH2oF7hoXnn7tufd3ne+fPL5LUcVR8v8AVVrdknEMAAA=</t>
  </si>
  <si>
    <t>B756F240D1809826027427891EA76CD1</t>
  </si>
  <si>
    <t>JChemExcel1Q0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3P0rzMseo3lyvciJSiv++1P9v+q/7/TP+70v891H6bg9zcO/+/d2HD3foebB38OnBp+ne+OBh8NGD9N7400+Dj+71P3pAs7C3E3xEnzx84H/yoPfJw/TB+P5u+NbBeO8g/OTh+GAv/IT44X6A5YPbNdrdG+/uffrg070HuwcP93d2dvHJ/v6nD/c/fbC39+Dhw3v3H6bETLu799BsZ+fhA/rtPgF/+OnBwd7+/U8fPrj36e69+4Tl/qd7+w8e7H26/+nOpzsPPqWR7N/b29mlb3cOdu/R7xjt3v1P8eJ9otm9B/hkf//hg4O9T+/v39sn5O4TIR/Sr/fu39t/uLd7n0hPnxAy9/cf7j54cPDggLp4kO6P9x8e7Ozu3Nvd/fTBLjHb/nhnb293b393f+ceAd7Zp2kjOj54QP3c39u59+n+vXR3vH9w/x59uLO7v7tLJMBHDz/dJRwPHuw92D/Y331wP90mydoD5E937j3YfUhD2X+Ybu+O7+89uPfg4OHOwQFhQl2h4b19+u0+DfY+4bW7c3A/3RnvPXy4e38PpNzf2TsgAhJuNIo9oshDovHOg3uYB/pg7+G9BzSuew937xGJ740Jsb29ewfoh2j48KP0mvhxmwhNb31KdD0gVIgP0thHNEN790F5Qu4Az4N0+2B8n4AdHNBs7N3bOyApjH3UBXYv3X5AsGj0D4kg+zv7Dw527vc/2+0Di3T5IAo/hixx3f2DT4mziL8e7H76kPQCPnuw/4DoSRjsEtF3DuizfXqXZpMmfYfYc/dTfHafZsz7DOCIix7e2z0gcJ/uH3zKve6P7+3eu/cpwBGrHTx4yM0IwsM9YveH9PKnD9GO2O0Af9EUPXyws7Mv7z68f4/mn/Dd+ZRe5k5poohFabof7t2jzuizT8cPaAL3HxIaxFP7QOTBmLj94UPSBAdA/D7G9ZAY58GnxFsP793bP9gFIg9JfRCl75F8Eafc506JmnuE8M7OpzSMPdJLDI4APbh3j1oekDjsApOD8QHJC83Lpw8P7u2C9wFv99N7oDlJJ1GOMX4wvgeOJjHeJ/RoGOn2Hnj4IQ333oN9koQHTM49+myf0KHBPSD87mMYn47v379PYkFj2d3/9J6w3KfE4PdpapmF98hW3LXG4ujxpFrOvF/ZerzKz5s9NSAfpVU9y2tSuXgRTSINofVv23D/Vg1hsm7VEIbNNtzb3PDBrSDCSN6qIUzprRqywb1VS7HLwXjQRmz90Ym8p38NA2HDfrv+7vWaej1895b9sQNxu/7Yz7hdU3ZHbteUvZbbNb13+6bsBw3R5tu3pA07UkMT+uaWQNgTuxXS4rDdrin7dbdryu7f7Zqyl3griRRn8nZQ2ee8HVR2TW8HlT3Y20G9FzS9EertFIO4zrdvesuJRdNbTiz89nBiPYa8LY9/Cof/Q5XIvkQM7wOEf6jxumvCJPq1F0LddfFV8vguRW5Hyf8DyQV7udUNAAA=</t>
  </si>
  <si>
    <t>FAEC2C6964ABFD8D9FCC331187826F99</t>
  </si>
  <si>
    <t>JChemExcelaQ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e/BRmpc5kHxzvcppzOlJ+iJ1/8rPL+1f/jf6X0n/+yh9t/fZR9v3xvc+fbh3//7Dew92H+7uEQbb++Pde/5HD9J+K/psd3ywF3x2H5/t3O9Au02zh/vpznj/YOfB/v7Op3sHOwcPDnYeprvjvfveRw+o1d74wcPgo0/Te+NPHxKge/fu796793D34IA+2dvb2dl/sHuws7Oz++BTQpZm+NOd+5/u3Dv4dP/evQdEy0/H+w/39+49vL9zsPfp7oP7B+kDQvQBAfj03s7OwUP01v2k99anEcB9fGIEvT/+9IH/0afpNsHe9z+6d7/f7F4f2H5/dgjYg/HDg7DV7t54Z8cfzacfpdfggJ0xjWRvZ39n91NCeufg0/s0GQ92P91/cH935z6h9JB+I8rv3N/Zvb+/t/fg3t7Ow4N7+72P9u/1X3yY9uA/2AUDgIQH93bvHdCnu3v3Dvqf7T/EyPYO9u9/urd3/+HDh7u7n5Lg9D6jjwgTmoAHn9Lrn96/94AQoV7vP9jf2X+4c/8eUWFv59MHaHZ/N3jzU/RK7OR/dq/fDhO2T4Pt9LpP7BE067fi+bp/b2d/n6ize2/v4P7BLljk3gH9d+/e/sNdwpAkvv/JPlGS6Li3/2Dn4YMHO/fBezv3d2kyaTQHRPiH/Q+679zrffKAZmiH1NZdq7eOHk+q5cz7lRXZq/y82VNd9lFa1bO8JoWLF9Ek0hAa71YNoRdv1RDa81YNoWNv1XD3tg2hsm/VEIr9Vg2h/m/VkI3ErVqKLbldUzY5tuneTU1vN5NiwG7XlO3c7RBgc3g7qGw1bweVjevtoN67fVM217dDYCdoeoOE7N2OBcRNuFX/4k3cDio7HbeDyr7J7aCyC3M7qDtB0xtxjXIL/1C1dte4bvRrz62763y+5PFd8iaPkv8H/iQgzWkKAAA=</t>
  </si>
  <si>
    <t>A8B0C866C30387550FE72F4F5D541ED5</t>
  </si>
  <si>
    <t>JChemExceliw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DsfZTmZQ6E3lyvchpfevN/X9J/9POj9N3eZx9t08Du3fv0wcPdvd2DvYOde5+m9NHOpw939u7d29/beYD/9k+3CYPtvfGnO/sPHt5/sPvw3sNP9/f25fMuhPv3Umr56YN79w/29u99ev9TAnG/91Hvtf1P053xp7vU9d7D3fu79x48+PQeXtu5/+mnn96/t3dwf/fg3s5B2sP4/v3+Z/sHjG4Xie5nnz58kG7vj3d2dnfuPaBP9g/2d3f270c+S7fvUxf7D3Y/3T94cI+6uXcQ/ehT6uDg3kOC/XB3f2f3Ab14QLCIkPsP7u08/PRgb+dhv9W96ItdJD79KL3GlO2MH3z60HsO7hMxd/cfUtP9T/f26aV7Dz6lqcHH9+/5LR/uE0EJDf/5NNZq+x4NjVDZ2TkgvB8cPHwgLNDt+uH99B4h/vDBPZq1ezRODLP/UazXe2PCe3/86V766ZhAfzpGY/fspgdjevHheG8/Jel8cBB+SQJ5/77/0V601b0xxuC3Yqjom4TzrpXOo8eTajnzfmVxfZWfN3sqsR+lVT3La1IreBFNIg0h17bh3oaGkP5bQYSOuFVDaJJbNYS+uVXDvds2JBwPbtvw4a0aQvXt3KqlaMyA5mjzus3rvDp6I+/pX8NAWOXerj/WzB/aH6v22/XHFuBD+2MTcrv+2NJ8aH9sqm7XH1u0W8kMmu7dkis+hX28XdM9MaP9pvxDVcJdY9zp157hv+u8guTxXfI3jpL/B7utkg6LCAAA</t>
  </si>
  <si>
    <t>2266B7BCDC8814DC0C3F3835EBBA145B</t>
  </si>
  <si>
    <t>JChemExcel+w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wivvMwxijfXq5yIkvb/+1L/3/3d/C3/PUu//Ch9t/fZRw/GDz59cPDwwc7evf17e/cOHqQPxvv3P93befDg/oODBwcH9x6mn47v7+/v7O7u3tvZP3iwe3BAdN3ZvXcP7+3uP9jfP/g03R/fe7j/cJ+APDy4T/8+oDb3dujrnZ1PH+zt3995uEtwDu49ePBgb2/v0737Dx483LlPnT08ONjZ2Scc9vYe7hzcTx+O7+0+uEd/fEpd7N4nWhygzaf39+8dHOzt792/fy+lSadGDx/sffpgZ3d//+HD+ynN8/6nB3s793f39nZ3PyWSUaOD/YcPPn14/+HO/sP7ezSQ3b3xp7sPPt092Dl48On+g50He/jo4f4OYXrv/sHD3YN7e9Tdp/cf0iAOdj+9d58+3QVFdh7u7D44uP+AwO/vAMkHDw8+xWv7D+8RqIfof+/T+wcHBzSq/d2dTx8SRT49OHiws08wPqWX9mn274137x9Qr/TKp0TNew8fpHtjIs4B0Xr/4d7uw0+J/jvjBzTs/XuE9h7BOXiwn27vjOm7h/fv7dwj8u9/+inRL93eHT/Ye3D/4D59tfvwwb1PD+jV/b3dfaLSw/39e5/eO6A/0t0xjX13d/9TmpV9ovC9ferz4NP9e7u7e0SHfRr5p/cIM3rtAVGQxvcpRnofM3rw6d6n+0TQBzRvn+7RJ7vEBQfEKfs7B3tEq4/Sa2IhouB9mp6d3Z17Bzv3aVo/pU6JKejNXeqQ2j8kCSDSE4EfPNjZoTaf3udPCPX7D+4RftTfw11MLPXwkEa985A4bneXhsFjJz4gGu3S5O893DugQZHQU180yHv3iHU+JSpxQ5q1h/fp4/s793eIQfizPRojDenT+zuf7hEDP6A+wFvEOwf7mJ9Pief2xph/YpVPib+J5UgYSQcR0xAFD4gLqPG9TwHsHr14cP/TB7s0hn2SD36TyPopERGoHewRavdpMgg0YUYSdfAAAyUW5wHuH1A7mqh7Y57YfTD6LrH/A8wAEZkkicAQK5Do36PeiMn29nZ2dh8+JAT3MOXEXA+J0R7sfkrjpjljNtglhgETsITcfwBMwd30/Q6xDc8gf/gpcfqnYON9ElvSOvTJzs49cBa1IDHYBfftE5Ee3iOZIZoTjfcwxl0fGAZEIuRBIokg4hMgkoj9B/ib5I5a3SPRfECiQ7N9/x5REkywT1JGkkWsC+WyT8N8QK+R4iGevk/YHJCqvWt17dHjSbWceb+y8n2VnzfEeFC+pBKrepbXZDU+khaito+++/iu95f8EQdxLwAx1BBa/lYNYQtu1RAW41YNYVdu1XDvtg1hpj6QcDBzt+qLjeGtWu7duqVY19s1ZSN8u6Zsq2/V9GGvpUezb9+Ogtzd7XiKm96Oq5g0IV+9/+SKl2KB7G3qD01DZhpsyj7PrZrC+wlZ4f3pK67VrboTD+x2TdlRuxVpxJ+7HVR2+24HFU1vpzjEibwdVPY1bwd179ZN79+6pfi5H8i29+EnfyDX7Iuf/T548A+1UXdNMEG/9gKNuy4KSR7fpfjmKPl/AAIntSP7DAAA</t>
  </si>
  <si>
    <t>428512F0B5534306A4B1B5F51C91F28D</t>
  </si>
  <si>
    <t>JChemExcel0wc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vvwozQvcyDx5nqV05hS/78X9t8X+i//9lH6bu+zj7bvj+/d23+w++n+wYN7u3sEvvfJbrq9P97Z2d259+Dep/f3D/Z3dx6k23vjTz99cO/+wd4+ffjpzoOd+73PPn34oP/qPrUj0t279+mDhwT9YO9g596n+OjTewc7u3uf7u/tPtzdpXdOt2mc3Zb3HvQ/uoeOCWPC9t7B/j16dXf3Hr/d6yiCN33WRfvgXtrDOvJJ77WD/kdph5j3aKquQfb98ad7O95DRL433jnwP9qTge32mz146D+fgsif7gaf8Sw+5Pd3Ol903z+QboJmB+n2zvjBp/5HDz4lytPsfUr/f3B/d//+zt7OfaFyt+lDYqIHY2q2u793f3/v3v37ew8fou2n6cPxzv2H9x/eu3f/3t7BwcED+bQHgUjZx+leHPfu2A/SB+MHO/f27n+6Tz3vPKT/oROSvLtW9I4eT6rlzPuVZfFVft7sqTh+lFb1LK8/+2gPL6JJpCGE1jbc3dAQon0riFAAt4IINXEriLt+w00QqesHt2oI3XSrrqHBbgWR9dytQIo6vBVQ0Zq3gvogaLkRKKvh2zUFqm7WNzZlpX4rVEX33w4qm4hbQX0YtNwIlG3O7ZoC1SgD8A+VvrvGSNKvPQN611nX5PFdsttHyf8DfxyzGdMHAAA=</t>
  </si>
  <si>
    <t>D7E4DAD433DD8E9046558650F5675322</t>
  </si>
  <si>
    <t>JChemExceldA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c+SvMyR0dvrlc54Z2epC9S/1/6WdL/Pkrf7X320fb++NNPHxw8+PTh3qf3Hh7s7u2n2/fG9+7t7z58cLCzf//Bzs7BAX22N97Z2bm/e/Dpwd6D/b2d+3sP0u0devXTg3sP73+683B3f2f3Qdr/JPJeBHwfiU/pvd37BGf/YG/v091P0+3OJ/cfpkT63YOgEc3FR+k1DWtnfO9g/6F7DoDtvYP7O+7ZvY/2nWYP++12HvSaxcBtaNb5LPJmD9re/n0MBnOx/2nwxX1ijbuWN44eT6rlzPuVmeVVft7sKb98lFb1LK+JqfEimkQagqtu1RC8d6uG4NBbNQQf36ohuP1WDSETt2oIyblVQ8jVTqwl/1Dq3zVSTL/2JPyuE//k8V1SLEfJ/wNTJd90dAQAAA==</t>
  </si>
  <si>
    <t>9F58E8C50A322FF333080FDB9E63EF85</t>
  </si>
  <si>
    <t>JChemExcel2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dv970ftE/vsyPSk/St/tffbR9s743v79T/cf3L+/t0u/7O0fpNu7408fPLy39+mnD+49fHDv0/sHkc8efprG3t0ZPzw42Lm3e//Th58e7O3v7jyMfdR7897AZ7fB5AG1uzfe2b23s0O/3z/Y2f304V70o96b/U73iOrRD3fHuw/3793f299/cHB//96DT+mTh5/6n9Do743v7/gf3U/3x3sPgkaRNhFAhOrBQUDa/fRgvH8/aPZReo0ZvD/e39t/6D3p9v740/v3QYJdDGePhhM0OJCvgs/uyVsdQDvjg53OqzvjB/fu73jPLg3g/k7w0ac0yp19/6Nd+uQg7PE+ide9sMP76afj3c5gIo0ioBjTAId9wvT+3gHN+O7e7sEeceC9T2Mf9d7cA8V27/nNPj2IfHYvQp771MMOSf9dK/5HjyfVcub9yvrgVX7e7KlK+Cit6llek97Ci2gSaQjFcauGUC+3aggldKuGUFW3arh724bU9YNbNYR+vFVDaNFbNWRde6uWopJv15Q19+2asoK/XVO2A7dryubidk13bt0Udud2Eypmyjbd29SUrdntoLLRux1Uto23giom9HZQPw2a3kCrvSgH8A8V/7vGU6Bfe17EXediJI/vkvNylPw/RL+w0dgIAAA=</t>
  </si>
  <si>
    <t>B2C549F0C5B062FC3E397F409F99EBC7</t>
  </si>
  <si>
    <t>JChemExcelXg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vzUZqXOTp4c73KCd8U/32ZvuB/v8RfH6Xv9j77iPDde3jv/t7D/f2HD3Z2P93ZO9hPacT3Hx7s7u88OHjw6d7Bzr10b3xv5/6DnZ29+zu79O/eXnpv/ODBzr29B3sH93cf7j+4f3CfXjvY81/bv5fujPcOgo/S7Z3xp7v37z24v7fz8MGnDz7duXeAz3YPPt15QB/t3X+wT98//JS6fHDv/s7OvXufPiAM93b36ZOdhzt79Obu3v379/f39z9Kr2kI98Z7e/TH/T0C9vDBvb0DNDzYAZr7+wef0pu7hNrug/2D3b2H9z+9d2/3wb17wPbT+zufPny4S+99+nD3PqMWYntv/9P+h/v30+3d8f17PjmoXbeHvX6r3QdpF9eHezS3d+3kHj2eVMuZ9yvP9qv8vNnTCf8orepZXhNX4kU0iTQEW9yqIZjHNtzb3PD+rSCCEW/VEOx6q66p4cGtIO7dtiHh+PBWDfdEkvot+YdO010jr/RrT5bvOkFPHt8lFXKU/D+arRwjXgQAAA==</t>
  </si>
  <si>
    <t>6A0A2AE92C41DFBF1229AEA310F4E3C5</t>
  </si>
  <si>
    <t>JChemExcelwA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SE/7vS/1p/nvR++xL7/8n5Ufpu73PPtr+dPzw/v7uwb2HD/fuHTzc2f803b4//nRv5/7O/sGDnfuf7u7s9j+hj/bHewefHuzdf0Af3tt7+OB+ur1HoO7t7n/66d6nBOjhvYfp9u74092H+58+uE9vP6BP70c/irx4C1j39tLtHcLi/oODg3sH9/b2Dw4+fQD8ux8+JEr23qZZ6DVEL93P9mjKOi8fPHzwMCVG3H9ABHtwj5o/3H1w79PeR/f3073xvYPd+58+PPh0Z3/nwR4R7t74we59gvzwYG/vHv3yoPcJjavz2g5R9z4BP3i4d7BLn3x6b+/Bg94n+91PDmKfdDEignUQuL+XPhzv7QWvfZReC7Ps3n/oPTR3xD97/kdE/4Px/qe9Vje+uB9ttQ/Kew+Bvzc+2O98RIPa6by4O75/L2h1v98sAuw+UeP+/b0Hu/c+JSbYofnePd0mad0ZP3iw4z0ktARtN/hon97dOfA/2sPs7jzwO6BOu2PCVJLsBZ9029zvAbqfdodz0PtkjxEPJmOv19m9tDsV/U8+TR+MAzA0XaRdSRfetcrw6PGkWs68X1k7vsrPmz1VkB+lVT3La9LieBFNIg2hRm/bcP9WDaGSb9UQivtWDaHeb9UQRsA23NvQEKbiVhDZoNwKpNidWwEV83QrqA+ClhuBov/bTaWYxds1Zet5u6ZsZG81Km56uykVk307qGzZbweVHYBbQRU/4VZQxZ24FVQMy2t6I9TbTaz4MbdrimHdbmLFK7pVU6br7SZWfKxYU/6hiu2u8Qjp1563eNe5ksnju+SkHiX/D7rQ+4vACgAA</t>
  </si>
  <si>
    <t>87CD98608B07A202C1335C55C9FE1B92</t>
  </si>
  <si>
    <t>JChemExcelTw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3b+SjNyxwIv7le5TT+FP+9SOXn0H/+91/Sf/zvR+m7vc8+2hvvHjx8eP/g4c7+/Xu7B/fup71P7qc744P7n+49ePjgYO/Bzr0HDx8epNs74/0HD+49fHjv3sPdvf09NKPP7n26d293n17f2dnd3d872E93aS4e7n36YHfv/sOdh/epLX20f3/34f7De5/u7+3s7d07oA7u7d3b2X+4f7B7/2D/3s6nhMc2vbl/cP/e3qf3HuKf+zv7+GyfuqPPHzz4dPfhzgNqdm+8s7tP/6MGOzv3CSd89OAg+GgPn+3t7d47eLj7YA+9EHW398fUYI8Gev/+zsOH+/c/xUc7Ow8+3fn0YPfTg51PH9wjYHvj+/c+3dnb/xQ0+ZS+/ZTR2KEREaB7ew8Odvf3GbUH+w8Pdh7s3N+9/2Dn4NODT9N74/t79z69d7AD9B8ePNhN94mSD+7tPqAR7B48eLjz6f300zEN5OFDoi/R7P7D/b1Yo10MKWy1uzfe2/c/upcSV+8/CD96OH547+b39sdMAr/Vp+OdAK17ERw+Sq+JhWjkxCqf7n366T2i0T5RZJ8mlCbzHtHv03v47gEx8u5479POR71Wu0zHnX0i687+wf6nu/fuERPKtN/f28cfezv0KaZqb0yofHqPPn1AP2myD3j69mlsB/v3CQSBxbQT2+0+uE+cdH9/5/6nB/fx5s7BwYODT4k7aED3CR56OLhPbLq7v0tT93APne7Q7N2/f7AHDtknpnuwRwgTzz2kTg/uHdAc33+AYT0kyHtE5Z0dmukHu5h2GgxNHbH/A+KIA/rg4e7OA4Jxn6Rl5+DBHqTsgMA8IP54QBLw6f0HEIt7n+4eHHy6RyMlUu4/fNCj2b0eye7t3Iu0ik0JgacWDyA+hNnOvfsPYh+R3uT/bw98R8Tbo7nZ/5Skde/+zr3de6fbuywRYfP9A1KWd622PHo8qZYz71dWn6/y82ZPNehHaVXP8prUPF5Ek0hD6NlbNYQ2vlVD6OxbNYRmtw33NjSE/r8VRFiJW0GELbkVRLY4twJ5P2i5CaaYsNs1ZUt3u6ZsEG/XlO3mrUYl5vV2UNkK3w4qG+vbQWWbfjuo94KmN/DoLVuCqrdjFfE6btVUnJPbN70dB4ibE5AKbV63eZ1XRyfynv41DIT9pNv1x+7UraaGm95uwnkUt5wb9uFuh8CBuHp9qPxD1ehd46DSrz3n9a7zbJPHd8lnPkr+HwFC+ZJPCwAA</t>
  </si>
  <si>
    <t>DD1DA7C36A6B7C9A10A72D8224842DAA</t>
  </si>
  <si>
    <t>JChemExcelMQ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dv5KM3LHCN4c73KiSAp/nuRyk/335f6/6H/6LvyIyFgeTLP6guCtZPiv91Ufr7Pf9tEqnd7n320fX98b/fB3u6new92Htzbe/hgP92+N374YO/h3qf3dh7ef7h/cHDwabq9Nz7Y33v46cG9ewcHe7sPdj/ldvTlw537B58e7H56b3ePSEPgdnYPdh7c3z349NMHB/tEOXp1f39v//7e/Xv7B9TBwQHe3NnfebD7cG9nd//hp/v3qdX+ePfhwae7Yau9vYPde/5Hu+P9XcLDfbSbbu+M9+/7wPbv47MHOwefunYPHqQ7GOjDT+9/erD34GBnf5cmaXd8cJ8+2n94b3//IY1q50G6N/6UwD94eG+HAD7Y+XTnU/7oU2p0sHvw4NOHO/cO0nvjew/v37u3/2Dn3s7+faJAuj9+eI8+oY/3H9x/8Omnu8TBD2iMuwcH9+gVGj0REY0I5v7+g937Dx9+eu8BA6JP7u/R2A8Iy4cH3Nv+zt7OvXv3P93dpSHdIzQJpb3dPcL7/oN7Ow/25KOdTx8SMag36vXBpxjzzv69B/uExP7+vb2dnYOdeyDYPULn070DQoWQuf9QPrq/u7//KQ1mhyac8OB3d2j8u3tE0nsPqCOM8uGnuzsHD+7dPyCy7RDe6cPxwUEwqI/Sa2Ki+2OQj8awv/MpkY7E49Px3j4RdffTBwRij6gEiX74YJc5h5iN6E3wHzx8uAu+ebBDr2KOqMuDXcB9+ODh/YNdGsAe8SKRhViEBrd7sLdzQGP/9P79vU/dRw9pbh/eJ9DEDzTa+7v37z2kF8E7+7bVbuQT4qYDorEPnDiT6Oog7RPsXSLVpw92MJD7B/fvkybAZ0RCmrMH+3ufPtgnJgUw4iviLhrK7r37D5n4uwcPiaJEf+Kcvb39B5CG+3v3Hux9urdD4kRi8vC+fHafaEJzTgBBLeJ9mqtPwXL3Hz7YIV7dBgH3Pt2hGUIzUk/8CU3Qvd37O/f3DwhveY14lVhn5979PZpTxoL44yFNI/Hr/qc7D3dZconCD4jPCT6J6YN7EEDi8k+Jkw7u0dw+2IUYoR2J0D3qgjj2YA+sAnD0GU01qQIa8KefykDp3YcQsN1d4r17LJZ7JD9gJuIOQvk+kW2H9PFdq5CPHk+q5cz7lTX0q/y82VMl/VFa1bO8JtOCF9Ek0hCq/FYNofBv1RBm4VYNd2/bkCB+equGsEVBQ7QQi3b0XXlL/xoEAVt2q74edht60L99u75oXA9v29fuzq1aigW+XVM21Ldq+umtWzLQ2zGUOAi3a8p+hG26d1PT23GLeCW3a8rOy+0QYB/ndlDZFboVVPGYbgVVHKtbQcWwvKY3EWvvdhMrHt2tEBDH73ZQ2T+8HVR2I28Hlb3N20G9FzS9kVhRHuAfqrTvGhecfu2553ed7548vktRwVHy/wBVG2FTMQwAAA==</t>
  </si>
  <si>
    <t>0C7F4D07ED261111186D6E9C92874112</t>
  </si>
  <si>
    <t>JChemExcelDg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sHH6V5mQPzN9ernAiRmv++pP/cX0P/fSn//yh9t/fZRw/H93Z279+/t/fpg4Od+/fv76UPxwcHuwcH9/YOdh7cO3i4mxLB9nce0P8+fbDz8MH+gwf76e7e+N79vU939nb2D/YePNh78Gm6e2988OBgd+/T/XsH93fv7d57mO7ujw/27t3b2znYvU//o2/w0f79g336/f7u/v6n+w8P0oPxw3uffnpw8HDn3v69T6kbwoB+Prh3b+fB/U/3Du7f+5Ta7Dzc2Xm4t7v7cP9gl7BIP6Xe9qnf+7t7D+89IHzTB+N7Dx/c39nb3dnZPXjwcI+a7O8QtvTK3sH+wacHeynhQ8/up7sPD/buHzzYpQ/ufXr//sOdT3fprQcPHxwQf9y7T2OnwR7c23+wRxNDL927v/Pw/i46/nT/YD+9N763+5AGSOje3wEGn6ZEDxo5Yfjg4e6nRI99+uRg/+Gn96jjT/d3D3Z2Pn2Q7o4P7n/6kHCiwTw4IHLupzvje/TW/gEB3j8grIkw6fbOePdgj8b2Kf7ZJersP6SG1P3+/Xv37+3ff/Dg3s7eQbq9O/6UBnJv796nD+7d3324QyMk1B7sHXyKlkRTmj+MiKaIxnvv3sH+vfsPiKWImp8+3LtP+KPvvYN7H6XXxArbe2OixP09gr1D1Pl0H7jQ3BPy93d2iQb3H9zfxSd7nz6895DI9unOg929AyIRvbl/cJ9mh979dJdQwSdEhPv3P/3003s0hw8/JS7fvjfep0l+QKPa2SUsH2CkNDM7B0TDg52HB4TkfXxGlNyjYe6Bjz7d2f2U2Ga8t3ufxrdHY6Kh7XwK+tKE3SOaPDygUe4S/N3x7r19+mWXWIAIvbvHwO7tEpvQwB8+2LlPPz7lIT3cJez3MKKdXe6UOtjbuQ+aE+x79OMBUZwQPSDk93Z2iRMOaCJSSALhuv+A+IV48QGNneaZZoUo85DGQPNCU7C7tw8gRBnwJr/2kPh5b5d4/IDIekDMuUNIHBD++2A8sP2nTA6SwnvEISR6D2loBzwCEgn/3fsY6Q699+nB/YOHD/c+pbHtERrUxH8Vre4RKUg4HjykySE5YGgP9x/uE8c/oLkjmaYe9seE9gGR52CPhk28yeR4sLOzA4YhFEnkH+6Rurtr9d3R40m1nHm/sgJ8lZ83xEZQgKQuq3qW16S5P5IWojqPvvv4rveX/BEHcS8AMdQQmvZWDaGPb9UQWts23Nvc8MGtIJJe3xuix7dvRw9YkFv1xXbmVi3ZFIVN3x8vsWe36u/g1i3FQN6uKdvR2zW932v6NcbL9vp2/e3evil7AB8oMuJC3K4/9jRu15Qdkts1vX/rpuLi3K4pe0K3a8oO0+2asl91q6ZMgUG+ueXkcH+h/vkaQEC1kKO8127LwfAgB3nttkBA6ZDXbgTCP9Rk3DX+Nf3a873vOsc8eXyXXP6j5P8BTzEBsA4MAAA=</t>
  </si>
  <si>
    <t>DD4DFF6592CEF1B4EEADA4F84FFB51FD</t>
  </si>
  <si>
    <t>JChemExcel8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Jr/vqT//N9e6P/db1/Sv/Sz/Ch9t/fZR9sPx/f2d+/tPby3u/dw9+DBg/vp9sF4Z+fBp/d3dh/u7jzcebDf/2Q33f50/OmDew8f7O58+nDv070HO9TqPoHaISgP9x/s39v/9NOD6Ef7BOvTT3f3Dvbuf0q/3NtLt/cIFmFw78HOvQcPDu4//DTdppm593Dv/v79g92H93fuf7ob/Yjmd+f+/Qf39z/d2d3bu7+3f3D/0/6n9x/s76f09t7B7s496voBfbtLCFO39MfB3oODe/fv3aPm9MnB3t6D+/Txpw8/vf/gHhF9n96jUVPPezsP7z94eI/4Zueh/8k+tdn59ODTfQJ0cG/n3u79Pfrk/v7+/b2DhzSY/R1CIP10vHN/5+DBp3uf7j94sPPpPULpwXjnYJdGfe8hoX1vjxt9ukMDJKwfEOIH9Cs1+vTe/Ye7e/c+3d3ZPdh/SB99Or6/9ylB2sdnBzsYcn82iLcPdoMXP0qvacJ3xnv3Dmgid+4d7IM69w5AsPv3dh8e7Dz8dPc+scA+mGBvvPPA/+wg7b65t/+g/+rBfv/Vh/1Xd+5FXo022x0TS3ifkWzsEXGDjz69LbAhdInE+/ufHuzsE+CDh/jo3sG9B3sHnx7s39vd37snHEkTuLP/8D4R/uBTgoYudh7u33tIjH1AoB4e7O+Bz+7ff7izR22p33uE7gF9dPDg4R4B36GZJ6AP6MUH9/YffLpL/9+nmXyAPumzvYcHn96/f5+gf3pw/wG6JLj3dg7uE+xPAeB+eo8EinDbvU/c9vDBfoRAxLOEF+mku1YpHT2eVMuZ9ytrqVf5ebOniuqjtKpneU3qFS+iSaQh1NltG+7fqiFU460aQoHahnubGz64FUQo41s1hMq+VUNW7LdqKfr/Vk0B9HazI8bkdk3Z5tyuKZum2zVlC3arWRJDdzuobA9vB3U/aLoRKlvY2zVlQ3yrpmKvb4WrmPVbQQUFbtlUHIXbIQBcb8cD7HUELdFEPKCjb8tr+peBwT9U4dw1LhT92nOv7jrfK3l8l7y6o+T/AR6azSXxCQAA</t>
  </si>
  <si>
    <t>14F0810D15032CD1D2FA14F1E77B1237</t>
  </si>
  <si>
    <t>JChemExcelZAw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vb2P0rzMMZI316ucCJOa/75MX9jfY/+90P/8N778KH2399lH25+OD/Y/ffjpp/uf0v8f3H+Qbt8f37u3/2D30/2DB/d293b376Xb++N7e5/e3394cG9/f2/34P7DdHtvfLC7v/fw4cH9+zsHn+4Thtu744OdT3fv3dvb2dt9+Onu/qcP0OzeLv356f09arS7d/Dwfrq9M957eO/g4N7eHn2484DapjvjBwSNwN/b2dl7eJ/6oo/26M2dnd2de/cPqNt7RDjq4h59RogQpvd3qe1+v9v7u+jiwcMHNCrC+d7Ofeplv9fFp/vpLnVxcO/TTx/cp6HvP9g5uNfvYZcHEYyVZmf7Ho3r4N4B/bN7/97u/U8PImO9t9dD5P6nD/vj/7SLyC4NlYDt73368D6m4uGD3QMi0r3xpw93Hj789P4ujXbn3sN9fHTvIX1y7+BTeune3sEBgTp4sPuAvrv3YAfI7R/0KLn76UGfQvce9BDb29vf743q4S51ga/u7+wc0F8PD/YPPiVsH9yjSfj0AfWwu0Po0Sd7xDLESTsP7326//DhDrHvNRjuwXh/h0ZDLe8/ONjDuOijBzv+QxP46fg+gfr0Iead6HvAHx0QQWgg9C71Sb0Sq3766d4DmteHO/sHO3uffgpW3dt58OkOmhKFHuyTSFEzouPBzv7uPWL1B/ce7KLZAx+J+yShmNN7xD079+59+mCfqP9gD5/t0K8PHnz6cO/+3qdEGWaR+0Sk3X2amf39HSIjk25/bx8c8XD//oO9ew8ePLzHNN69D9LdO6De9g8gJHvj3Qc79+il+2AxoiGRc+feDs0FRIzGSp3RR9TTzi5N/A7Rde8+yPmAxkkc+RCT+uDBAU39QxrQzv0HRImDfWoK/ri/sweh3SfZ23m484Be26WxEdPQoOi9T8FqRKudBw/27j8kEd8nUd4j6tBvB/sP70PAD/Yxd7t794io9AGN9IDlk+aFwBzs3L9P0kPsvjO+v/OQev+UBOPe3v69B/uYyN7cHozvP/CHR3SG5t6jCdol0Xlw79ODew/RjD7ZAZMdgPS7t2KKdPvhePf+/V3My+4OSefefVLXd62+Pno8qZYz71dW4K/y82ZPdfhHaVXP8posD15Ek0hDaPpbNYQ9uFVDWI1bNYRtsQ33Njd8cCuIsFO3aghrdquGbPNuhaSYxlsBFQt6O6hsaG8Hle3xraA+DFpuBIr+bzed4gfcqn9xF24Hlb2K20Fl5+N2UNlHuR3U+0HTjbLEXs/tmrJzdCsExIe6HVR2tW7XlD2y2yGwGzTdCPXTrqiiibicR9+W1/SvjTD2bscc4krevuntmAMI3LvdjIv/eisqctOoTuYfqsjvGq+dfu159Hedu588vkuBxFHy/wAEAswTZAwAAA==</t>
  </si>
  <si>
    <t>CFBC5E41F5406CFB834D72EAF14B9F48</t>
  </si>
  <si>
    <t>JChemExcelpyY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0etdujdnvUbo/a3aN296jdPXRI7e5Ru3vU7h61u0ft7lG7e9Run9rtU7t9arcPzKjdPrXbp3b71G6f2u1Tu/vU7j61u0/t7lO7+xgCtbtP7e5Tu/vU7j61+5TafUrtPqV2n1K7T6ndpxgrtfuU2n1K7T6ldg+o3QNq94DaPaB2D6jdA2r3AEShdg+o3QNqd0DtDqjdAbU7oHYH1O6A2h1QuwNQj9odULuH1O4htXtI7R5Su4fU7iG1e0jtHlK7hyAz0xmE3gGld/Y+SvMyxyS/uV7lxDOp++9L+s/9fuL9ZT7p/vdl+iL6c/itF73P9K9SX5aO5T8DsvuS/l3apvgIH3yUvtv77KPth+OHu5/uPNi5v3Nw7+HBp8RT2wfjewd79z49uP/wYH937yFN1/aD8YN7n+7s7j44+PTe/oN7NKvbn473dvbu7Tw8ePDpvU93HxDJtu+P7+3uP/x0/8GDg/393U+JD+gjev/e3u79h9TDA+JCArX/8D69eX9nZ//h3kNiZGq08+Dewwef0t/3Dx7sEY/TRw/2du7Rs7P/6f09ml16b+/+/s69+3u7+5/eOyAk8NHDnZ17DwmPTx/s7O9Iq51dvPNw74CQoOYAtf/g4b39+zu7Bw8eHtwjrtneHx/c23t4cLC38+mDe3sPAOveeO8hvfQpjffB/oPdXWKk7b3x/u7uQ/yfmj7YeZBu74wJ6M79g/t7NKSdvX3+aGfn070HB3sHD6nn+zv3HxA/06ef3tu5d/CARnNwnz4m/idwu9Tt7qe7e/d2dz6ll9DrLlGHBvWQSEtdk4gScp/u7zx4eP9TQoaIuy/UoDE8+HSHCPRgj+jBrfY+vffwU/r+wf7uw509fPRw797BAdH+0wcHOw9JRGiS7hGu+w/2H+7eJ6KQNBCF7u/vExoH9z4lQu6RMgBp7xHZCGO8d4Ch07ztE8F2H+zf3yf0MOFEtL0HRHAa1Kf3qYddoE/cQKS/v7+7vw+q46P793fvH3y6T0xBw3lAQri9O35wQECIiDS7xG73mWz7hOLu/d19mr37BzTWdIdmmLA8OHhI46K290kR0asPiLse3N/d23lAeJBOIoJ/+um9ew/27z2g4dK008TsjO/tffopTfA9Akifkojvjg8Odj99uLO7RwQCvAfp3pjm5CEx1O7upzSrRNsU037/4e5D6mufEDwgdsQ4PyXSEziiFCm3T8c7+4BKvEbwd4g84OEDEhiSEbxKbQ5oiNQbccvDe7v3aUbpE5oqmp79hzvU+z4xwIMxDZc4jtjkHuTqPtmThzufEsrULY2X6J0+HB/s3KNJpmfvHkCnZJF294mMu9wX8f2nKRmh3QMi3t7efeBEgpru7o2J50k8aRSExD5N2C4xF0kMSQdJxqcPQBLiwN29XZIC0nAH+yAcQSeu2t25T6ywQ3K2SxiQPHxKM07TSfNKivLh+P6ne4QU6QmaFOJDGhsRdZemDq8d7BDzHYz3CeD+vYc7+we74A6iGs3kDrEFsRrRjgzRp+idhg6BojkhjbFPfE08TR3SbDzYJQV9j9QRjfT+PWKIPRJa0uM0ayQ+LKjEzJ+SBdgl0hI9iKwE6z7J//0URCIhJ51DNCHO2yexoRcffnpvlyby3n2aFHqRoBPHH9DIaGKJDe8zKBJ3Eq37pO5ovmiW9sB7D2mkxI30f8wSNBOh92DvAWDTJzu7n9J8PXhAorb/kIwUsf0B/UcIkwYguhAD0CztEU1J85Hkkt4k9UQf7dPA7h88xMckNnuYE9Io9MEDTBS0WLpLsn3/wc7D/XuYzv37ezxNDwjvB0CdFOw9MnX4ZGcXyvsh6W+iAgSImAFMQ0MitUgfQgyIYw9o5vb2SfE8ILtM4kg0pzf3ydgRfsR1JO5EX9iB+0SIA5pzKBPSBfcPSFEROz+Eer83JsVBypuGgPmgV/EiEQ0sRTK3R00f4qPdezS5pHbu3SPO2mPD8PAB8GHmu4cOSQvtUpcPiMcekDiQSadGpB7IRuzvgUK70HsPxqSUiND0IhGQtdDBGMqU9CjbK5IiVl+wEQ9Itj6lySeBZsVKrELcB8sCxkSzT++TUiNBJxEmIhJeD8e7hA5xMazffQb2cExj3CENdO/TT0nG7nGXRKp7BxDa+1D9u2z8yL7co6afMr+x2n74gNiWyEImhiZmDy+S3JCxJI1KAkhcke4ekOXxpvbeR+m1WGGaJJgRmnfSYvvAAyL2EMjSzFM/NG8kq3ukeB7ev0+69t4+RgDGoKEQ0YjQRMn7eBMs+CnpGTKVNKGMyO7OA8KAoKMtOVqwnaS97j18uAuUD2CfPiXjRpg/II1K6LH9INtJtKdO6QNilAO26ESHHTI41GSfcPwUxCZmInu6S7y6Q4K58ymM3af3SYfs0L+70Ixglr3xg4dkL8geEmlJA2Ki9mkK9niqDtig8Uf37hEWe8Se98jr2CElSF3QRJI2+XR3BxO2y73uwfM4oAGQwdn/dIdZ+yERfHeP5P8e2j1kU0yzTYge3IPGAEpifdgOHMCloffv491PCc1PWTGABch9ps/IRTjALJJxJ+HaZ3u/zw7CfQyaFAfEExbiU8IDZoH00QPYGho4+RIP6blPNIFqI8KSdntAWgHz+gCqjeTyUyIAsRvRgzypFNiSsoQnQlbuU5pG0pIkkqSayUKTaiGTTPrnAdiCtDhxEnRJCoZ8uEM2cR+WAZbzwZgUMdGe5IbsECwJ9C/pPxJUcmZYnggQ8TDk8ICQp/ehyAh/kiFSLHsP75GGQv+7hMkeDCDUL00p62RiH+IpWGdyOqCOyMTuwWQQC9M84yPyJejLB3DG9iE+MhnET6T7iPKkRUSd01gfwF8gqdyDFqKP4PoQZcjGku5mI0BqjXQTvUwUOIB+HZM2IwVPbgHZc2IoEJ0UAQnpPdAQtu9TQh6SQQSngZK3RP4t7PvBLmHzKRkMUjckM/fGBzRgmmkoNbaCpMTI2TmAg0HEYjs8JiHhySROJ/b4FN09fEgeMDmpuwQcfg9jQMb6IXgDzgkpeLLVRClAw5jxHrEQeRakJYhSxMMkhFDdxJ0PSSXAzjH6IBbBJkDkFJMCfAhDAJ8UckfztwtH9Z76roQh/O59UlDEFfcgRGQi6W8SDfJUduGTErrkL+zBP7m/R0rpgLUW3B6SFFKUoDerYdalJHvw2MmskGKAOaLpJS2Cj+Wj+0TDXbwJ34BdRphkGiDJCjGVSDJsxz4sKTsYLLUw5Z/uE7d+CnrvMv5kckgtkQkm7bwP95a49wG00T5MAg2A7QPpGGJS0k4UTBxAiZFxg6SgQ0KBiAWa7cGbQoCwT14HbDO89vtQOQ/IC2ZnCG/CHMJg7MPG0zwyfR7A3pE/v4/Xd5ldH4DhaDgw7MS2KYARDRAWkE2ggRBDkRUgSwPOp2iHvFtyu8lRvk8sDTfvUzgRNKCH8HHINkO5kvogn4nUKrmExE+fgqr36BPiSGJWUkz3CRBDIntPJgGBCbTIPto8IHbfJwYmB4lmBL4XIc3+yUOERvDYPhWVQSBIhXzKnscOs8inmDCYEHgeFAbQ7JDqRW+UXqCPYLAQv5HN2UVgRF4kmQJSu0Q+iMMO+4MPyOYRrxGTgGcJAzi+FGQQF5FLdA96BRodFnof/cI3uQ99BNNF6oVMlmhXEhbqnRwGmv2HPKO70OdEIiH6Q2YZ+P9k8EheSbfBOjJHEvuT+nkIHQTVD++eOJ6IvUviIuqbVAtpovv3oUvpRfnoAKEPAkZiE1JNEEfKx9y1CZmjx5NqOfN+5QzNq/y8IVONDA3lc6p6lteUWvpIWkhu5+jbj+96f8kfcRD3AhBDDZFwuVVDZFtu1RCplls1RJ7lVg33btsQGZlbNUQq5lYNOV9zq5aSPrtdU86y3a4pJ+Nu15Rzdrdq+vDWLSUJOMSM370dM0oW8Xb9cbLRNt3b1JRzkreDyqnL20HlDOetoEoi9HZQPw2aboTKqdXbNeUM7O2acqL2VrhKPvd2UDntezuonB2+HVROIt8O6r2g6UaoQOB2Qi/Z61s1lST37ZpyLvxWw+Kmt5tYyazfruk+EvC3a8p5+tvhiqa3m1jO+IdN0eY9lQkm53ZTLisMt2vKCxG3GzCa3m7KeUnjQ025rIvcrj9ePrnVKGSV5XZQeTHmdlB5zeZ2UHlp53ZQ7wVNN0IFArebcgzr/u2kXJaeboWrrFDdDiovZN0OKq933Q7qPpbFbgd1J2i6ESovtN2uKa/H3a4pL9vdrimv7t1uWFjgu93Eylrh7ZrykuLtmvLK461wlQXK20Hdxzrm7aDycuetoMKLumVThnq7iZV11tvhuhc0vZECtxNuzNaDkAfQ5nX7PpoX3PEgrr5vb69kiflWSEPT37KpLFrfisCQxwchi70/KWRx/Fb9cdPbcRTU2oPbcRT06oPbsck9IBCyiTfE204br/zfqr8DYpOD21kHbnq7GYZneRCa/fcfBWXTs4PbqRdKPGcHt5thbnq7GT5ASH67GaYEXHZwuxmmZHB2cDtFgKYPbzmPhOvDD/XWaIExe3i7GUaY8fBDZxjR2sPbzTByCQ8/NJannGv28HZzjzTHw0F3/5b0RFrlYcgV7480aPShCmEfmaAPtShI0ey8J4vxD00V3l1UZT5dlzn9+sXJPF8U06x83dbraYtPnlbT9SJftkfJ47vTRXmU/D9krArRpyYAAA==</t>
  </si>
  <si>
    <t>B3F77B6E535A9AF62CA76829F5BA89D8</t>
  </si>
  <si>
    <t>JChemExcelZw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qN3epx+leZkD4zfXq5wIkOK/F6n8dL/7n5ykX/J/+vOj9N3eZx9tEwV2Ht7fu3f/4f2d3f3d/Yf3UvpsZ//gwf2dvU93Pz3YOSCsdsYPPr2/c/Dwwb2De7sPdw/2d9Pd8YO9g08/vbfzYPfT+3v3dx8c0Ef7D3Y+9Vp9mm7vjPfQxsK6f4DPDj7dvXfv04d7B/f2H+wf0NB2xvsHDwnKw739/b0HOwR/Z0xYPdjfuffpvQf3Ht4n8uyODx7s39t7uEcd7tIXD+mThzsHB7uE2/2DPfoQcO4/3Huw+2Bvf+/ep/v7n+49QHcP7j84IDR3Ce7OzqdETXz2kFrs7Ow/fLC3d/8eYbo33t3fe0ho7OzRhzuf7jzgzx5Qnw/u7e8eEJnu7acPx5/uPzy4T8TZvbe78ynN1MH4HoF+cP/gIb28d/9gP/10/PCAYHz64AFhtn9//4BY7dN9H9G9XpsHETjEvg8P7lGvu/v3du8d0Mvp7h61ekB97xEan3766cNYox6OH6XXNNf3xvv7D2lkRMu9vU8f0JiJfvf2dg/uHewf3CdafMoU7X1CQB7ue5/sjT+9/4BIunuwe/Dw3v4O0Zg+2jugefRfu0c977hPeEY/JS7YP7i3Q413aV4xD8Qt+0T0e/eJxJ/uHOyB/R4Qdxw8IHp/+pCw3SOWuTemSdrZ2X2w+/AezRjBTLf3xzv3aRyf7n/66QEhff8emt3b3XtAbMO97u1/ep/BPaBP7316QK+B3x4wh9+7Bwb9dP8+8SRxIrDb+ZQYYHdnd3fv/h7xHX107+D+jvcQo27HPsRnRFr3HETaPQBx94Jm+8CE2N5vpl0E7e5HcHkg7wbteEY74Eg53bXa6ejxpFrOvF9ZXb3Kz5s91VgfpVU9y2vSs3gRTSINoddu1RDa71YNoSNv1RCa9FYNd2/bEIr5Vg2hvm3DvQ0NoeRvBZFNwa1AisW4FVAxLLeDyvbndlDZTN0K6sOg5UagbPdu15TN46363wta3jCjt2wpVvl2Tdl4364p2/hbDYqb3pIBDuAxBE3RRjyWo2/Le/rXxgHv3Y41xDO51Si46S0nHAiEk3PjKPiHare7xnGjX3tO3V3n8SWP75IveZT8P1bKzjJnCgAA</t>
  </si>
  <si>
    <t>65F80EF09255A7209B5898E3976D10D3</t>
  </si>
  <si>
    <t>JChemExcel0AM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cfpXmZA/ib61VOuKbuvy/pvxcfpe/2Pvvo3njv4NN7ezsHDw52H+w+/PReuj/+dPeh9xwQwg/v3/v0wcPdvd2DvYOde/vpA3rrwb37B3v79z69/+nOg/Rg/One7s69B/Tn/sH+7s799CG9tP9g99N9akgv7qc06L2Dg3sPqf3D3f2d3Qef9tt0e7r3UXrNSO7f87vbvZ/ujT/9NPhoP+222us12rvXa3Sv3+ig32gv3R3v7gWtHhChHj4IPqIJumtn6OjxpFrOvF95yl7l582eztpHaVXP8vqzj/hFNIk0xNzahrsbGoIDbtUQfHKrhuCmWzUEz91qMNTw4FYQ7zH/9hvyD6XpXSMh9GtPeu460Uoe3yWhPUr+H7A/zIrQAwAA</t>
  </si>
  <si>
    <t>D35C8183CF97E240DEFC29717FA8823F</t>
  </si>
  <si>
    <t>JChemExcelNgo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pNmlet3mdV599RK3yj44eZ221OK7r7DrFb2iX7abZXprdS7P9NLufZp+m2YM0O0izh2m2u0P/p+93qcEutdilJrvUZpca7VKrXWq2S+32qN0e4FC7PWq3R+327n+U5mUObN9cr3IafIr/Xuj/T9Jnwd/ymfnvGf335Ufpuz2m471P6X97+/d27t+jXw7S7kf3073xvU8fPti9f+/T/YOD3Z0HO72PPj14kN4bP9i5d+/h/v7Bpw92Hu7u3CPS7tx7sPOAoB3cv/dg997D7if7u723Pv2099FBur0z3nv44NP9vYMHBw8e3N/ZwWe740/v7d7b26O/CF2CG/loF6/eO7i/f+/+wd7DvU/vf7rL0A4+9Zt9+jDd3hvv7wSvforPqLe9nYPdB7sP93f27396H13sfGox2X/48CG3+3TH/4y6uDe+98D/6MH9fjMaag/cg85YAW2/D+5+/6OH6c54/8HevfsPdvd29/bw4r39j9JrnuTd+7sHew8OgO7Bwf6DAyELDWxvlwZ8b3f3/t4OD273vv/hvQPG+qH/2Q73vf9p8PKDfrtP++DMdPif3U+72EXwICmhzx7uBXjs9fFIt/eJKvfu0eweHNBcA4n744N7Dx4S3L17NP07DyMfPei9d/+AqLn74P59Yva93QfAi37tf8bicp+YlBhqHyLzcI+kmPiG5uXT+8Rv+/f3Ht7/9F7vo/vd93Yf7qX7BJ6+37938GDvYOfhw3s9SlA7ZlV68T5NMv1Lvz0gzXPXqp6jx5NqOfN+ZV30Kj9viBOgi0hzVfUsr4kvPpIWosWOvvv4rveX/BEHcS8AMdQQSs823NvQEKrxVhChQG8FEWr2VhChjG8F8Z7fcBNE6PZbNcRU7NyqpRiK2zVle3K7pmx2bteUrdOt6CRG7HZQ2dbdDupe0PRGYoWTjzbvx+Nifm+HGlvp26HGxvxWUMXm3wqquAa3gopheU03QgUCt+SOA/gkt2u6I67L+0wO/1B9dtf4YfRrz0e76xy45PFdcg2Pkv8HeFvBTzYKAAA=</t>
  </si>
  <si>
    <t>73D0B13CAC539E3F25EA71BA3BD6DCBF</t>
  </si>
  <si>
    <t>JChemExcelkA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7f/UZqXORB7c73KaZzpSfplin83/fcl///L9EX2kdCiPJln9QW9v5Pe/r/t3XT3o/Td3mcfbe+N9z7d3b9//+HO3t69nd39g7T30YN76fa98f2H93fv3d/Z29+5f7B7sHc/3d4ZP9x78ODBpw8OdvZ39nZ3aei9z3Yi8D7dj3/W7YNIuL1P8A4Odvep7cHBp3tEzd5Hn0bf3BnTrwT9HrXbu/9w7z4Nefzg3kP6ev/Te3v36beH6b3xzoN7e5/SO/d3DnYfPty/l+7Te58+vPfwAf27u7Oz95BY6QF9tHtwsHfw4N7BDmHa/6Tz1r2d+zHYfQS6WO7v9Um4F8H8fvqQWgU4fJRe03zuj+8ffHp/b5fa797b2b+3z4jsBx/tp0T9B8FHvU/uE2oP7gVtDoDazr17+w8OaFgHnz68/+n9T/do3nbH9x/4n957iPm9t+9/RqPvt9vvQ7x30O+Zpi7ecw/FSLsHsaHc6zfcf/hpH0ORhnAk9/f67T69XbMYOEKvPxuEHCmiu1YTHT2eVMuZ9yurplf5ebOn2umjtKpneU0qFC+iSaQhdJhtuLe54f6tIEIf3qohtOatGkK33gpHaOBbQYSevhVE1ua3AilK/1ZAPw1a3kCi3dvNo9iaW3UvJul2UNly3Q4qG7jbQWU7eDuobC5vB5Wt6u2g7gdNN0JlO32rpmLOb9UUs3XLpuIg3G5Y8CEcD3hQ+YfqirvGw6Ffe97PXecaJY/vktN1lPw/7hUxfpAJAAA=</t>
  </si>
  <si>
    <t>F8988C0F93381564B79B3DB64ADB8513</t>
  </si>
  <si>
    <t>JChemExcelEQ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QvUvwb/mc+e8G/4f9fpicfpe/2Pvtojwb48NO9g937D+7v3f9059P99N54//69ezsP9h48vHf/3qf7e5/GPtofPzj49OHBp/s7u7sHu58+eJh+Ot7d2/n00/v39+7t7Dx8QCN5QK/t39vf/3R//+Degwf7B71P+m/t798CNDX6WrAjoO+N7+3t3bv/8N6nn+4cUJN76d54f/fB7oOdnQcP7t//9MG9e/d7jXYjgPbGB9T1g3u7D/ep7wd7hOPe+N6DnfsHD3b27u3vEg6fAnhI7wfRj3YI+v2H+w937t3/9OGD+w92dz9Kr2m2Ho737j30ngfpwXj/0/CTT8cP9/xPDkCG+91PbmrzkEb46W74yT0a4eY2BxjyTvDJg3R3fH9/x38w5L29HZqpnf2He/d37u3eO90mRt+mYT8IWu6m2zTA+zt7NB/3aAL2dvb2TNP9B/cPDj6lmbp378H+3g4JCb0e0OJgjzra2fWa7R7cBzoBDR8StN3xw/2d+7v3iFv2aQLvf3qQbhPP00f7O3v7u/f3Pt1/eO9ehJB9AvRIS6rgrtUFR48n1XLm/crK4VV+3uypfvgorepZXpMSw4toEmkILXKrhtA1t2oIjWQb7m1oCL11K4jQbreCCB14K4jQlLeCuO83vAHi7s6tWop+vlXvosZvB5W1/e2gslG4HVS2HbeDyibmdlDZEt0OKhus20HduX3T/ds3xbBuxwJiVG3Te5uFac+xwEb5ZAt9K1px06gw8w9VFXeNi0G/9tyPu843SR7fJa/nKPl/ALynckgRCQAA</t>
  </si>
  <si>
    <t>BE94722461AACA59D262BA188829DED0</t>
  </si>
  <si>
    <t>JChemExcelkAg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Rfpi9S/JTf3W9f8l9f6vcv0hcfpe/2Pvtof7yzs7tz78G9T+/vH+zv7txP98affvrg3v2DvX367NOdB70PqA3R5N69Tx883N3bPdg72Lm3/2nvox6gTx/2Qe32X0OjhzsPHz48+PTezsP7uzsP90+3iQo0Tel2r/X9dLsHcz/yWeTVB+l2d/APos1ine6O7+8+ODi4t7O/u//g4YOdT/cIySipun3s3yemundv/8Hup/sHD+4R0P3d9FN67+DeQ3rl4e7+zu6DT3ttPkqvabbujQ/2H/oPgf90N/zk0/Hu/fCT/lt743sgsfcJDWh/x3t204PxwQGNcX+Xhrezu3d/j6dhe2f84NPg1QdC7p1P7+3tEqoPHu7vHXBTAnkvaLmPfne5q3SbwBNV9miEO0SvvYefMgH74D+Vl2gMPNcdvAmhe+OdB5HPDsLRAEjwyX5/yJ/2Wu3dQ6uHB/fu7Rzs73364GD33g4QvU/yfdcK+NHjSbWceb+yxL/Kz5s9FfqP0qqe5TVpJryIJpGGUA224d7mhvu3ggg1c6uGUEa3agiVdauGUGy3GgzU360gspK8Vcv7t24pWvd2TVk5364p6/DbNWVVf7umgHq76WRcbzehMCu3m1GxQreaU256u1n9FCbtVi3F8t2qfzGQt4O6K3a035R/qFDfNRaefu1Z/7vONUge3yWn4yj5fwChwEzRkAgAAA==</t>
  </si>
  <si>
    <t>3ECA7A76F4E2AF174FC5B879F1D9312E</t>
  </si>
  <si>
    <t>JChemExcelQgs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7v4UdpXuZA9s31Kqexpyfpi9T92/3vS3xe8tevw6/Kj9J3e599tL07frD3YGdnZ39v99MH+/cfUrf02d793d3d/b37O/fuPdh9cO9BukMf3d+7d2/n/v6Dh3sHBw8IfWp2cP/Th/u7Bwf3D+jbgz1qdrDz8GDnYGf3wd7+we7OwUG6vTP+9OGn9+/RWw8ODnYf3t9DB/h+7z76231478G9PTTb3d99+On+Pfp479MH9+7t8qu7Dw7u7+w//PTBp/u79/cPqIf93b1Pd3c+vfdgZ+9g/0BepT/3Hty/f2//3s7Bw3sHPAZC7dO9vYN7D/fvHTx8+PBeur03/pRGSp9Qh/d2P713gI9296jbB4TxwUPQIN3eH+/s0Kju4cMd+pY+ujc+IFQf7Ozu7xNU9I1mDx/u7O/e231w/4Cod5/h37tn+3y4s3PvPtHoIQG+/wCwiUj0Po3gwT2i7sM9Gsa9nXs7nzKNdh/s79A8fLq3T50Skr1mB7spIUug9j+lT/aIvPv76b3x/b2H6PyAZgYETvfHB5/e293ZJ6Id0FwQt/U/6b/Vh/xwvLMfvPVRer0HAfyURn//wd4O8cX+3j7jsEsjPqA/CNWDBw8e0if7+8QZB0Q7+or+t08d3CNi7d3f290/eEid8wBBp4cHuw8ePnh4sL/DpLlP7EB88OD+QyLg/ftMmof79+8RkPsPd++D+z4FoWmaab4PHu5Qs08/fYgpoi/vHew9JPY5uL+3Q4jRFH368OBg7/7D+58SwsSB6fanY5r3fRo+Tcvu/kNiGnxGbPTpvU8fot3+3gOayfuYSUKF+BEzeSA8QPJBfe09vEfTSHRBM+JsGiiN4wGxAYn49oPx/sMHu/f2dnfvfbq/9/A+tTogcmNAe/sP9u/dv/8QjWjUxIG7NNCdvXs7zE73HhwQj5N8HBB7E9cRgxF34W+akz0ie0rI3ydkdgn/+8TJJG/UmwjH3j0QZGeP2hCCnTY0Mu8TUj79RjTgg/ATIt7uTW1I8Egf3rUK8ejxpFrOvF9ZQ77Kz5s9VZIfpVU9y2tiJLyIJpGGUKW3agiFe6uGUMu3agjlfauGu7dtCFtwq4awGLdqCLtyq4ZsfWzLvU2jYSN1K6Biy24HlU3e7aCyZbwV1IdByxuB3m7exSLfrikb7luhyk1vN6lMq1s2xWTdjgPgRzgO2Chz7H7calTipdwOKjszt2vKPs/tEGDX6HZQ2YO6HVR2tG4Hlf2x20G9FzS9cQqiTfmHqtW7xielX3v+6l3nzCaP75KbfJT8P6ZUMkNCCwAA</t>
  </si>
  <si>
    <t>80124E3102D868F27856FAAA568F0776</t>
  </si>
  <si>
    <t>JChemExcelqg4AAB+LCAAAAAAABADtvQdgHEmWJSYvbcp7f0r1StfgdKEIgGATJNiQQBDswYjN5pLsHWlHIymrKoHKZVZlXWYWQMztnbz33nvvvffee++997o7nU4n99//P1xmZAFs9s5K2smeIYCqyB8/fnwfPyIe/x7vFmV6mddNUS0/+2h3vPPR73H0eOp/djLPF8fvqmV6XpR5el7Vi6xNL++Pd3fGO6P0Il/mddbms3RynV6OX5y+Sd0/1Gh3fO+jo+TxF0+r6XqRL9ujx18AYDHNytdtvZ7SB4uqzKdrgk2/nD397KPF7kdHj7O2WhzXdXad4jd8nO2m2V6a3Uuz/TS7n2afptmDNDtIs4dptrtD/6fvd6nBLrXYpSa71GaXGu1Sq11qtkvt9qjdHuBQuz1qt0ft9qjdHrXbo3Z71G6P2t2jdveo3T10SO3uUbt71O4etbtH7e5Ru3sPP0rzMseg3lyvciJU6v77kv7z/3afn9hvXAvzqfz/BX6WH6Xv9j776NPxw/3d3Qd7O58++HRv//7BQ6LppzsP9h/uPdy//+Dhp/fv3+9+8uluuj/ee3DvYPfewd69h58e3KeR7hGcnd17+w929nb3d/YPHnza+2i/+xoRbZdAf7pPnRzs3Nvd298/uBf7qAuJqBv5qPvip/fTHepw78ED+vSA+t/f3TlIt4kFP915uLP36af37u3f+3SPpmB7b3yPBnew+4CQerD76f2H0Y8ib3Y72Lv/oN9u5366fW/8YO9gDx9/+vDhw08f7n/a/4xIvX2f3t2loe3sHRwQ4Hu9T4h7ei8Sx/Q+o1F9SkOg2Xq4e3+H5vEB0WP7AbWiiSRAe0TYg53d6EeRF7sfRRCLjBxTvv/g4S5xzYP7xEIHBw/BTns0afTKAU3SDkkQffDwPnW/t08v4u2UBnP/073dnXv05/2Hn5KEdTnuQdrhXAJMumB3L/joo/R6D0qH/qTZ3HlwsPPw4S448/49/wPi3/3xzoOgzf74YN//YBdjCdvc7wHaT7t97YGhw48+fQC22Qs+ombbO+P7+w8+pfHu7T7c2Tm4t8eMuXPgf3YPHx3cD5rd7zfb6zfb7bfa7fdJOq6L28H+/Qhu93vDehgdVW/wkYGSsrvVQNPtfeLCG8YZIdpelLZdbB/Q2LvYPujzyqcDWOzu7967v7u7/ympImLQe5DI+zu7JA3790i47u+TRACPg3v3791/QNAe7O8+eAhpu0fg7t0noT2g/xH3EieTtB34ne722JHQ3yErdteasaPHk2o5835lu/YqP2/21LR9lFb1LK9JHvAimkQawh7dqiHM5K0awpjeqiFM7q0awjDfquHebRsSxINbNYQ3cKuG7DPcqqW4Frdryh7I7Zqyo3K7puzP2KZ7m5qy23M7qOwd3Q4qO1G3g8q+1q2gPgxa3kiAWzZF/7fjAIxq73YsIF7jrUbFTW/HAuKD3g4qu6q3gop5vWVTcX5vj8DtpF9c6dtBZY/7dlDZMb8d1L2g6Uao7OrfqqlEBLdqCim8dzsegMa4dzs1IGHIrSjATW+pBoDA7SYWo7qdFkD30WnlH2oD75qwj37thYR3XbyYPL5L4ehR8v8AKRtO8KoOAAA=</t>
  </si>
  <si>
    <t>0815F65EF306CE22F0C9DBFEC5F07828</t>
  </si>
  <si>
    <t>JChemExceldg8AAB+LCAAAAAAABADtvQdgHEmWJSYvbcp7f0r1StfgdKEIgGATJNiQQBDswYjN5pLsHWlHIymrKoHKZVZlXWYWQMztnbz33nvvvffee++997o7nU4n99//P1xmZAFs9s5K2smeIYCqyB8/fnwfPyIe/x7vFmV6mddNUS0/+2h3vPPR73H0eOp/djLPF8fvqmV6XpR5el7Vi6xNL++Pd3fGO6P0Il/mddbms3RynV6OX5y+STv/UMvd8b2PjpLHXzytputFvmyPHn8BqMU0K1+39XpKHyyqMp+uqQP65ezpZx8tdj9Ks0nzus3rvPrsI2qVf3T0OGurxXFdZ9cpfkO7bDfN9tLsXprtp9n9NPs0zR6k2UGaPUyz3R36P32/Sw12qcUuNdmlNrvUaJda7VKzXWq3R+32AIfa7VG7PWq3R+32qN0etdujdnvU7h61u0ft7qFDaneP2t2jdveo3T1qd4/a3Xv4UZqXOUb55nqVE/lS99+X9J//t/v8xH7jWphP5f8v8LP8KH2399lHn44f7u/uPtjb+fTBp3v79w8eEpE/3Xmw/3Dv4f79Bw8/vX//fveTT3fT/fHeg3sHu/cO9u49/PTgPo10j+Ds7N7bf7Czt7u/s3/w4NPeR/vd14houwT6033q5GDn3u7e/v7BvdhHXUhE3chH3Rc/vZ/uUId7Dx7QpwfU//7uzkG6TYz56c7Dnb1PP713b//ep3s0Bdt743s0uIPdB4TUg91P7z+MfhR5s9vB3v0H/XY799Pte+MHewd7+PjThw8ffvpw/9P+Z0Tq7fv07i4NbWfv4IAA3+t9QtzTe5E4pvcZjepTGgLN1sPd+zs0jw+IHtsPqBVNJAHaI8Ie7OxGP4q82P0oglhk5Jjy/QcPd4lrHtwnFjo4eAh22qNJo1cOaJJ2SILog4f3qfu9fXoRb6c0mPuf7u3u3KM/7z/8lCSsy3EP0g7nEmBSDrt7wUcfpdd7UEX0J83mzoODnYcPd8GZ9+/5HxD/7o93HgRt9scH+/4HuxhL2OZ+D9B+2u1rDwwdfvTpA7DNXvARNdveGd/ff/ApjXdv9+HOzsG9PWbMnQP/s3v46OB+0Ox+v9lev9luv9Vuv0/ScV3cDvbvR3C73xvWw+ioeoOPDJSU3a0Gmm7vExfeMM4I0faitO1i+4DG3sX2QZ9XPh3AYnd/99793d39T0kVEYPeg0Te39kladi/R8J1f58kAngc3Lt/7/4DgvZgf/fBQ0jbPQJ37z4J7QH9j7iXOJmk7cDvdLfHjoT+Dlmxu9aMHT2eVMuZ9yvbtVf5eUMSALtGVrCqZ3lN8vCRtBCLePTtx3e9v+SPOIh7AYihhjCgt2oIM3urhjDGt2oIk32rhnu3bUgQD4YI993bEe7hNwJid+dW+Iqjcrum7M/crim7Pbdryt6Rbbq3qSk7UbeDyr7W7aCyS3Y7qOy53Qrqw6DljQS4ZVP0//B2TeFA3o4FxAe91ai46e1YQDza20Flx/dWUDGvt2wqrvTtEbidxhDH/HZQ2X+/HVR2828HdS9ouhEqBw63airxxa2aQgrv3Y4HoDHuhWoAbVR73dKOSLhzK9pw01sqCKAWTrmHzC3VLCgRao6vMTwEb+8Hg3+o5b5rolf6tRfZ3nVhb/L4LoXWR8n/Ayy5zeZ2DwAA</t>
  </si>
  <si>
    <t>C94D1D9718D1EEB9F41D859E20265947</t>
  </si>
  <si>
    <t>JChemExcel1w8AAB+LCAAAAAAABADtvQdgHEmWJSYvbcp7f0r1StfgdKEIgGATJNiQQBDswYjN5pLsHWlHIymrKoHKZVZlXWYWQMztnbz33nvvvffee++997o7nU4n99//P1xmZAFs9s5K2smeIYCqyB8/fnwfPyIe/x7vFmV6mddNUS0/+2h3vPPR73H0eOp/djLPF8fvqmV6XpR5el7Vi6xNL++Pd3fGO6P0Il/mddbms3RynV6OX5y+SWP/UPPd8b2PjpLHXzytputFvmyPHn8B0MU0K1+39XpKHyyqMp+uqRf65ezpZx8tdj9Ks0nzus3rvPrsI2qVf3T0OGurxXFdZ9cpfkO7bDfN9tLsXprtp9n9NPs0zR6k2UGaPUyz3R36P32/Sw12qcUuNdmlNrvUaJda7VKzXWq3R+32AIfa7VG7PWq3R+32qN0etdujdnvU7h61u0ft7qFDaneP2t2jdveo3T1qd4/a3aN2+zsfpXmZY6Rvrlc50TF1/31J//l/u89P7DeuhflU/v9l+gK/lR+l7/Y++2h/vHv/0/sP7j/Y29k/2D04eJh2Pzkg4u8/3Nm7v3+wv3dv5+FDGmH3k95Le+ne+GBv7+Dhp/cfHnx6/97B/sG97kf3093x/sHDvd0H+w8+Pdi7f7BLtIp81IX0afSj7os7B+kOIXWfvr53f//hwwcPHtyn+dveHe8+ONjd33nw6acH92gMNL7tvfH93d2D3Yc02E/vH+w93L8f/yzybrePTx/2m326m27fGx/so8nOLhHo03v0cf8zakZ8/uAh3r63d293/x6Nq/fR/d6LhFz/swf06qc0hr0DmpT7+7v7e/s71MEDakYk+/Teg/sPH+wIuNhnkVfDj+49fNjHba8/+IcPiDnufbr78P7B/oO9PcLs/j7xz87B/sP9/U8fHDy8f+8+yQkgHezc29+993D3gIDTS/v37+/sP3h4b2+f5pXeT++NP7138BBA7hMWD6nX9NMxGt+79/BTevPBQwLd/eRhSppjZyf46KP0mlj/U0Lr4CEx5sHO3kMaOvo82HOffEp/79z3/t4BV9/f9Vvsjh/s+y127neb7OyBAF043fdI+nfGezvBR0TynTExz879XSLfgx0aFo2PGHN3x//sU3x08CBo9mm/2f1+s/17/Wb4rNsrfdZF7j6prz52fXrcP4iNqzf6yFAhSLcZarpNnLJ7w0jvR+kRoW4PWeKKLrb70TmOo7F7nzj40wPi9D2SogOW3fu7+yRsxImf7n368CFEfIcE8IBAkfq4v3+P5AHccH935yGJ4u6n+/cfErR7eJXEirr/9ODBgwOS+r0uvUkdPugwMX1EsHbI7N21du/o8aRazrxf2RC+ys8bkgoYQjKbVT3LazLoH0kLMaFH33181/tL/oiDuBeAGGoIi3urhrDLt2oI632rhrDxt2q4d9uGBPFgiHDfvh3hHm4AcUvas8tyK3zFs7ldU3aAbteU/aTbNWV3yjbd29SUva7bQWXn7HZQ2Ye7HVR29W4F9WHQ8kYC3LIp+n94u6bwOG/HAuK03mpU3PR2LCAu8O2gsqd8K6iY11s2Fd/79gjcTmOIJ387qOzw3w4qxwW3g7oXNN0IlSONWzWVgORWTSGF927HA9AY90I1gDaqvW6pDiU+uhVtuOntFIREW7dqyqMIFYSH9y01Moj2oVodowtn/kYY/EON/F0TGdOvvaj5rgupk8d3KXY/Sv4fFYWVx9cPAAA=</t>
  </si>
  <si>
    <t>1953-04-4</t>
  </si>
  <si>
    <t>4342-03-4</t>
  </si>
  <si>
    <t>6493-05-6</t>
  </si>
  <si>
    <t>5300-03-8</t>
  </si>
  <si>
    <t>5451-09-2</t>
  </si>
  <si>
    <t>5534-09-8</t>
  </si>
  <si>
    <t>3737-09-5</t>
  </si>
  <si>
    <t>3385-03-3</t>
  </si>
  <si>
    <t>5370-01-4</t>
  </si>
  <si>
    <t>5875-06-9</t>
  </si>
  <si>
    <t>1953-02-2</t>
  </si>
  <si>
    <t>CCCC1CC(N(C1)C)C(=O)NC(C2C(C(C(C(O2)SC)O)O)O)C(C)O</t>
  </si>
  <si>
    <t>3086C783473BD64CBD7D9E22F526A7AC</t>
  </si>
  <si>
    <t>JChemExcelWwoAAB+LCAAAAAAABADtvQdgHEmWJSYvbcp7f0r1StfgdKEIgGATJNiQQBDswYjN5pLsHWlHIymrKoHKZVZlXWYWQMztnbz33nvvvffee++997o7nU4n99//P1xmZAFs9s5K2smeIYCqyB8/fnwfPyIe/x7vFmV6mddNUS0/+2h3vPPR73H0eOp/djLPF8fvqmV6XpR5el7Vi6xNL++Pd3fGO6P0Il/mddbms3RynV6OX5y+SWP/UPPd8b2PjpLHXzytputFvmyPHn8B0MU0K1+39XpKHyyqMp+uqRf65ezpZx8tdj86epy11eK4rrPrFL/h42w3zfbS7F6a7afZ/TT7NM0epNlBmj1Ms90d+j99v0sNdqnFLjXZpTa71GiXWu1Ss11qt0ft9gCH2u1Ruz1qt0ft9qjd3oOP0rzMgeSb61VOJEjdfy/055f2N/P3a/4X//HfH6Xv9j77aPvB+P7+/t69Bw8f7Oze39ml/rY/HdPPTx/s793f3TvYe3iwm26DnA/2D/Yffrr34P7e/Qf00b3x/Qf3H+7t7u3fOzi4v0/t0u09AnZ//9Od3d2dnYd7Dw4efJpu74537x18urOzu3P/3t693YO9B/hs7+HD+w/uPbx38OD+/XufPryHdw92PHj0yc549/793Xs7D3eozx168979lD57eH/nwcOd3U/v7+wf3L+3m+6O7+8RmAPq5t69vYODg3u9VnufHvSb9T558KAPPgKLBtB7cz8l9D8l1B/s0eg/pcHfi3yyT6A+3d399N7B7sODg4f3H/Y/uR/DqkdDQqtP116H+5EOe0jtf5Regw/2x/fu099EvfsHD+4R0PspfXZ/d/fhzt6nNEE79/cwS/fG9Be9uv/wwcNPH2Dg9NH+3qcPH+7cu7e7v7Oz8ymxMk0mcc79/Qf3dtCWhoOPHu4c0PzSZ/fR9wPuYH8fNN3ff3jvUwL2EB89+HSHOtynUe0d7Dx8AObbf7DzcP/T+wf3dj/dvfdwF8Bo8B6wgz78g31w0P2HQZ8PMZ0PiJcPCOX9hwf36Eui+IPdzkd74/0D/6Md0HJnz/9olz558ND/JNKkC4dEvPfWp2OiXPBW/5PeS12cbzfW+zwPHdKRDrtrldjR40m1nHm/slZ7lZ83e6rYPkqrepbXpIzxIppEGkL93aohlOStGkKV3qohFO6tGkIt36ohlPetGu7ftiFBfHirhrAKO7dqKYbFNt27qent5lHM1O2asjW7XVM2erdryrbxdk3ZhN6uKVva2zVlg3y7pvu3b3oAE3+rpuIJ3KophrV3y4mFH3HLiYXbccuJhadyu4kVZ+b2TaMTyz9UWd013hn92vPc7jq3Lnl8l/zHo+T/ATdQWRhbCgAA</t>
  </si>
  <si>
    <t>(2S,4R)-N-[(1R,2R)-2-hydroxy-1-[(2R,3R,4S,5R,6R)-3,4,5-trihydroxy-6-methylsulfanyloxan-2-yl]propyl]-1-methyl-4-propylpyrrolidine-2-carboxamide</t>
  </si>
  <si>
    <t>7A97C7C57E373C5A792E44862DB5D2A8</t>
  </si>
  <si>
    <t>JChemExcelXwoAAB+LCAAAAAAABADtvQdgHEmWJSYvbcp7f0r1StfgdKEIgGATJNiQQBDswYjN5pLsHWlHIymrKoHKZVZlXWYWQMztnbz33nvvvffee++997o7nU4n99//P1xmZAFs9s5K2smeIYCqyB8/fnwfPyIe/x7vFmV6mddNUS0/+2h3vPPR73H0eOp/djLPF8fvqmV6XpR5el7Vi6xNL++Pd3fGO6P0Il/mddbms3RynV6OX5y+SW/xD729O7730VHy+Iun1XS9yJft0eMv0FMxzcrXbb2e0geLqsyna+qUfjl7+tlHi92Pjh5nbbU4ruvsOsVv+DjbTbO9NLuXZvtpdj/NPk2zB2l2kGYP02x3h/5P3+9Sg11qsUtNdqnNLjXapVa71GyX2u1Ruz3AoXZ71G6P2u1Ruz1qt/fgozQvcyD55nqVE0VS998L/fml/c38/Zr/xX/890fpu73PPtp+MH5w7+G93U8fHnz66f39hw8epNufjvd2Hjy4f2/v0wcPDh4c3Ps03b4/vrezd//Tew8fPNy7/2CfsNi+N37wYHdnZ2fv0517D3f2Du7vpdt74wf7O/fvPdzd+/T+wwef7t9Lt4ms9+59+oA+2j3YO9i5d4CP9h/uf3p/7+H9+/Ty3t4+Q9vZCaARHjvje/d39nYePtzbp8537gG3vfHep3s7+5/u7h/s7d3b23vw4HSb6Nft5R5afvrp/v179/fuPyTA9x7cj7fcO+h/tI+3d+7v7n66s/vw4GDn4e69fX4ZaD74lMa49/Bgb/feg53de3Ggeym6f3Dv/sHe/r1P73+6Qy/FPtrnYd97QB/sH+zv7kQ+iUDfj5D10/5nD+71ujy4F+my1+ij9Bqs8en44N7ezg7N8v17D3b3H34K1qDZeEgUuUdkuffpwT5Y48H+g52H+6DLp5/uEc3x2cOdAwL06c7OwcODfbDG/vjBp/c+3bt//9OHn35KrMWt7h089J4Dhr+3S3z2YPfg4NMHu/cepsSge/u71MUDmmyCfnCAjx7e39vZ2yeeA58d7AL8p7sdWF3wD2X6glbMJ/d2up/tELLBZ3spKReaiPug1j0wqnvu8+f+J7uYMhouuPzBwwc79/aF9yKv3hsf3L/5I7zIWD0Ivti/5Ygi5CHFdddqrqPHk2o5835lVfYqP2/2VJt9lFb1LK9JIeNFNIk0hM67VUNoxls1hP68VUNo2Vs1hC6+VUNo7Fs13L9tQ4L48FYNYQp2btVSrIltundT09vNo9im2zVlE3a7pmzpbteUDeLtmrLdvF1TNq+3a8pW+HZN92/f9AB2/VZNxfzfqimGtXfLiYXzcMuJha9xy4mFe3K7iRUP5vZNoxPLP1RZ3TUuGf3ac9fuOl8ueXyXfMij5P8B5Q/hH18KAAA=</t>
  </si>
  <si>
    <t>208538-73-2</t>
  </si>
  <si>
    <t>CC(=O)CC(C1=CC=CC=C1)C2=C(C3=CC=CC=C3OC2=O)O</t>
  </si>
  <si>
    <t>4624435C3D1D88B32497C5E01B9AAF39</t>
  </si>
  <si>
    <t>JChemExcelBgk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717H6V5mQOpN9ernMaYnqRfpvh3039f8v+//Ch9t/fZR9s0vHv3Pn3wcHdv92DvYOfew/tp/7N0e2/86acP7t0/2Nu/9+n9T3ce7OOjh/cP7j/YOTg42HtwsL+/f/90m1Cmz+8d3P+UPvl05969B7s7+/JxF+iDB/3PDvb6Pd1Lt/fHOzu79AZ9sH+wv7vzsP/RQezFLvh799NOo09pIF1Q92jW793bf7D76f7Bg3v07r0H6af02gHR5tOdh7v7O7sP9nqf9N86iECOdN9Fcu/TdPveGGS9d0CffnqP3rz3KdOw+/bBR+k1zeG98QG+u7dLsO7fe+g/n+Kj/R3/uU9oHXz6cPf+LiH/6b09TA91uTPGhBCUHf/9g3tAZudB8FmsHQP4NPgINHpw/97+w/v3qJfdvb2dB35X+2P67MHO3sH+3s7upzs799yXAb67YBMa7e6nnz7c+3Rv59NP93dt06DHh/t9xB728SeioNluhypD7W4CdxChOon/XSv/R48n1XLm/coK4VV+3uypTvgorepZXpPiwotoEmkIzWEb7m1uuH8riNBCt2oIXXWrhtBot8IReu9WEKEdbwWRdeitQIqqvRXQT4OWN5Bo93bzKBr+Vt2LIbgdVLYXt4PKZuV2UNn63A4qG6nbQWVbdjuo+0HTjVDZOt6qqRjRWzXFbN2yqZjl2w3rnljvPlT+obrirvEr6Neez3HXOSTJ47vk6hwl/w9Y8qm9BgkAAA==</t>
  </si>
  <si>
    <t>4-hydroxy-3-(3-oxo-1-phenylbutyl)chromen-2-one</t>
  </si>
  <si>
    <t>Warfarin</t>
  </si>
  <si>
    <t>81-81-2</t>
  </si>
  <si>
    <t>C1CN(CCN1CCC2=C(C=C3C(=C2)CC(=O)N3)Cl)C4=NSC5=CC=CC=C54.O.Cl</t>
  </si>
  <si>
    <t>9FD4C2A6ACA16AE6903F0C9373885E39</t>
  </si>
  <si>
    <t>JChemExcelZAsAAB+LCAAAAAAABADtvQdgHEmWJSYvbcp7f0r1StfgdKEIgGATJNiQQBDswYjN5pLsHWlHIymrKoHKZVZlXWYWQMztnbz33nvvvffee++997o7nU4n99//P1xmZAFs9s5K2smeIYCqyB8/fnwfPyIe/x7vFmV6mddNUS0/+2h3vPPR73H0eOp/djLPF8fvqmV6XpR5el7Vi6xNL++Pd3fGO6P0Il/mddbms3RynV6OX5y+Sd0/1Gh3fO+jo+TxF0+r6XqRL9ujx18AYDHNytdtvZ7SB4uqzKdrgk2/nD397KPF7kdHj7O2WhzXdXad4jd8nO2m2V6a3Uuz/TS7n2afptmDNDtIs4dptrtD/6fvd6nBLrXYpSa71GaXGu1Sq11qtkvt9qjdHuBQuz1qt0ft9qjdHrXbo3Z71G6P2t3b+SjNyxwIv7le5USE9CR9kbp/u/99ic9L/vp154uT8qP03d5nH23vjh/sPdjZ2dnf2/30wf79h9Q5fbZ3f3d3d3/v/s69ew92H9x7kO7QR/f37t3bub//4OHewcEDGgQ1O7j/6cP93YOD+wf07cEeNTvYeXiwc7Cz+2Bv/2B35+Ag3d4Zf/rw0/v36K0HBwe7D+/voQN8v3cf/e0+vPfg3h6a7e7vPvx0/x59vPfpg3v3dvnV3QcH93f2H3764NP93fv7B9TD/u7ep7s7n957sLN3sH8gr9Kfew/u37+3f2/n4OG9Ax4Dofbp3t7BvYf79w4ePnx4L93eG39KI6VPqMN7u5/eO8BHu3vU7QPC+OAhaJBu7493dmhU9/DhDn1LH90bHxCqD3Z29/cJKvpGs4cPd/Z37+0+uH9A1LvP8O/ds30+3Nm5d59o9JAA338A2EQkep9G8OAeUffhHg3j3s69nU+ZRrsP9ndoHj7d26dOCcles4PdlJAlUPuf0id7RN79/fTe+P7eQ3R+QDMDAqf744NP7+3u7BPRDmguiOf6n/Tf6kN+ON7ZD98iKn+UXu9BHj8lCtx/sLdDvLG/t8947NKoD+gPQvfgwYOH9Mn+PnHHAdGPvqL/7VMn94hge/f3dvcPHhICPEjQ6uHB7oOHDx4e7O8wee4TSxAvPLj/kIh4/z6T5+H+/XsE5P7D3fvgwE9BbJpqmvODhzvU7NNPH2Ka6Mt7B3sPiYUO7u/tEGI0TZ8+PDjYu//w/qeEMHFhuv3pmOZ+n0hAU7O7/5AYB58RK31679OHaLe/94Bm8z5mk1AhnsRsHggfkIxQX3sP79FUEm3QjLibBkrjeECsQMK+/WC8//DB7r293d17n+7vPbxPrQ6I5BjQ3v6D/Xv37z9EIxo1ceEuDXRn794Os9S9BwfE5yQjB8TixHnEZMRh+JvmZY/InhLy9wmZXcL/PnEzyRz1JgKydw8E2dmjNoRgpw2NzPuE1FC/EQ34IPyEiLd7UxtiC5I24okdf3ykLO9abXn0eFItZ96vrD5f5efNnmrQj9KqnuU18RZeRJNIQ+jZWzWENr5VQ+jsWzWEZr9Vw93bNoShuFVDmJNbNYTRuVVDNk225d6m0bAFuxVQMXS3g8r28HZQ2WzeCurDoOWNQG8372Kub9eUrfqtUOWmt5tUptUtm2KybscBcDIcB2yUOfZNbjUqcWFuB5U9nds1ZYfodgiw33Q7qOxe3Q4qe2G3g8rO2u2g3gua3jgF0ab8Q9XqXeOw0q89Z/au83STx3fJkT5K/h98ev3/ZAsAAA==</t>
  </si>
  <si>
    <t>5-[2-[4-(1,2-benzothiazol-3-yl)piperazin-1-yl]ethyl]-6-chloro-1,3-dihydroindol-2-one;hydrate;hydrochloride</t>
  </si>
  <si>
    <t>138982-67-9</t>
  </si>
  <si>
    <t>2-(diethylamino)-N-(2,6-dimethylphenyl)acetamide;hydrate;hydrochloride</t>
  </si>
  <si>
    <t>CCN(CC)CC(=O)NC1=C(C=CC=C1C)C.O.Cl</t>
  </si>
  <si>
    <t>2795C765616088692CDAAFFA7589DFBE</t>
  </si>
  <si>
    <t>JChemExcelCgcAAB+LCAAAAAAABADtvQdgHEmWJSYvbcp7f0r1StfgdKEIgGATJNiQQBDswYjN5pLsHWlHIymrKoHKZVZlXWYWQMztnbz33nvvvffee++997o7nU4n99//P1xmZAFs9s5K2smeIYCqyB8/fnwfPyIe/x7vFmV6mddNUS0/+2h3vPPR73H0eOp/djLPF8fvqmV6XpR5el7Vi6xNL++Pd3fGO6P0Il/mddbms3RynV6OX5y+STv/UMvd8b2PjpLHXzytputFvmyPHn8BqMU0K1+39XpKHyyqMp+uqQP65ezpZx8tdj86epy11eK4rrPrFL/h42w3zfbS7F6a7afZ/TT7NM0epNlBmj1Ms90d+j99v0sNdqnFLjXZpTa71GiXWu1Ss92HH6V5mQOJN9ernEaXnqQvUvyL/770fnefnZQfpe/2Pvtoe3/88N6DnfsHB3v37u893KeOtu+N7z3sfLQ3/nTP/4j6jjWLACPyHwQf3U+3d8b3doPPHt7vN7y3n+6O9/akt0/3+Sv65OFD/5MH99N74/v3/I/up/vjezv+J/uxRl1I/d4+3etjuv+gB/3T9GC8fxB+Qmz0UXpN5CUaPbi3v3fv0093dx7u7+/fS3uf3E/3xjtEyf39+/ce7n366f7OgwMC8GDn051P7+/vPti/d3DvAVGt+xHRp/ti9D0aA83dp7s0MfTRw08/vbfXa0bs1Gu2vxv/jAj3Kc3Y3sHep3s04ocPD8AKNP6HD3Yf7h/s7N8n1B7EP+u+e9D/6NN7Pex2HoCg6fanRDof4n0Sp7tWno4eT6rlzPuVBexVft7sqYx9lFb1LK9JJeBFNIk0hCTeqiHk9VYNIdW3akgQP71VQ2iIWzWEHrEN9zY3fHgriKyTbtVSVNetehcNdzuorAhvB5X15e2gslq9HdSdoOlGqKyob9cUFIjOKf9Qrr5rLAr92rM2d50pSh7fJXN3lPw/yC7O9AoHAAA=</t>
  </si>
  <si>
    <t>6108-05-0</t>
  </si>
  <si>
    <t>Guananenz</t>
  </si>
  <si>
    <t>2-[(E)-(2,6-dichlorophenyl)methylideneamino]guanidine</t>
  </si>
  <si>
    <t>C1=CC(=C(C(=C1)Cl)C=NN=C(N)N)Cl</t>
  </si>
  <si>
    <t>87FE5F8F9A74486BBCB037AA3DE9CC56</t>
  </si>
  <si>
    <t>JChemExcelGQYAAB+LCAAAAAAABADtvQdgHEmWJSYvbcp7f0r1StfgdKEIgGATJNiQQBDswYjN5pLsHWlHIymrKoHKZVZlXWYWQMztnbz33nvvvffee++997o7nU4n99//P1xmZAFs9s5K2smeIYCqyB8/fnwfPyIe/x7vFmV6mddNUS0/+2h3vPPR73H0eOp/djLPF8fvqmV6XpR5el7Vi6xNL++Pd3fGO6P0Il/mddbms3RynV6OX5y+SWP/UPPd8b2PjpLHXzytputFvmyPHn8B0MU0K1+39XpKHyyqMp+uqRf65ezpZx8tdj86epy11eK4rrPrFL/h42w3zfbS7F6a7afZ/TT7NM0epNlBmj1Ms90d+j99v0sNdqnF7v5HaV7m6PDN9Sqn4aTefyX984L+03/Lj9J3e599tDf+9NMH9+4f7O3f+/T+pzufPnyQEvL37n364OHu3u7B3sHOvfsP0u2H472Hu5/u7n1KH+3sPHhw73R7lz7eHe/tP9zZ2Xm4s/dg5969nV36+NM+gHtpp5t+J5/uA1rvvd5n+9QugnPvswN6d3+8s7O7c+8BfbJ/sL+7E+liL/LZpx+l10QZ+vzTh/c/fbi3+/DBA4K995AHt70zfvDpQ/9h8uzfe/DwwcOHu7v7B5/e2/2UybM7vn8vaHlAdLi3E3z0ab/VfnpvfLDfaUUv7u74z320ut/5aH/86Z7/yW766Xj30+4nD+8Fn9zvfxQbJbHnXcufR48n1XLm/coM+yo/b/aUZz9Kq3qW18RheBFNIg3B2bbh7oaG4P9bQYSU3AoiZOlWEHf9hjdAfHCrhgf+YNAQLV63eZ1X6bRaXpL8sjb64unzj7wPfjIr1yTU+wayvLGxm4e3GiGrklthLhrnVkBFMd0OKpremg92Q9ppS/6h/HjX6Fb6tad37zqlnDy+S9r/KPl/AMzYg4wZBgAA</t>
  </si>
  <si>
    <t>850608-87-6</t>
  </si>
  <si>
    <t>CN1CCC2=CC=CC3=C2[C@H]1CC4=C3C(=C(C=C4)O)O.Cl</t>
  </si>
  <si>
    <t>CA2F2E6C4A52DB45F7BD780B4078E031</t>
  </si>
  <si>
    <t>JChemExcelmwgAAB+LCAAAAAAABADtvQdgHEmWJSYvbcp7f0r1StfgdKEIgGATJNiQQBDswYjN5pLsHWlHIymrKoHKZVZlXWYWQMztnbz33nvvvffee++997o7nU4n99//P1xmZAFs9s5K2smeIYCqyB8/fnwfPyIe/x7vFmV6mddNUS0/+2h3vPPR73H0eOp/djLPF8fvqmV6XpR5el7Vi6xNL++Pd3fGO6P0Il/mddbms3RynV6OX5y+SQf/oXd2x/c+Okoef/G0mq4X+bI9evwF4BfTrHzd1uspfbCoyny6pq7ol7Onn3202P0ozSbN6zav8+qzj6hV/tHR46ytFsd1nV2n+A3tst0020uze2m2n2b30+zTNHuQZgdp9jDNdnfo//T9LjXYpRa71GSX2uxSo11qtUvNdqndHrXbo/7yMgd2b65XOREgfZGe3PDfl/TfSflR+m7vs4+298YP7u3v7O/tPnz4YJ/+29tPo5/tj3c+ffBgb/fe3u79B/fv73za/+hB/03Cu/fZvXvp9u54f2fn3qf3dh48eLj7cP/eAX1GU/Tpp58e3Ht4/9Odh7v7O3sPPh34sPv2pw/6nz3Y7b+88/Bhujve+/TThw/v7356/8G9Tz+9t3+v99G9/XRv/OkODW5/7+DB/U/3CcaD9N74ITW+T0N5eO/h3oOde/d7H+33X3z4KXHS3qcHO/f27t/b3dvbeXDvYR96+nC8v++12f8ovabJuTcmjPYfuofe3N0NPyEm3X9wH2Pdfbh3f8c9xD704cNPww8xHfd39jwQD4h498Z7D/zPDvrNDj5VcH7ve5F+d+4JTn67+33EH/RbKTC/0wcHkV5NQ7/X/fsReH1q9Slihno/JW4hWb1rhfXo8aRazrxfWXpf5efNngrwR2lVz/KaVBFeRJNIQ4j5rRpCGdyqIVTGrRpCsdiGexsaQv3cCiKU1K0gQpXdCiIrvFuBvB+03ARTNOjtmvbmEU1Efx99W17TvzbC2L0dM4hOv11TVv23oszDoOVGoGxLbteUTc6t+hfLdDuobMBuB/Ve0HQjVCBwO37DsPaibMQ/VNzvGsNOv/aM/l3nESSP75L/cZT8P2KZuwCbCAAA</t>
  </si>
  <si>
    <t>(6aR)-6-methyl-5,6,6a,7-tetrahydro-4H-dibenzo[de,g]quinoline-10,11-diol;hydrochloride</t>
  </si>
  <si>
    <t>(R)-(-)-Apomorphine·HCl</t>
  </si>
  <si>
    <t>314-19-2</t>
  </si>
  <si>
    <t>(2R,3R)-2,3-dihydroxybutanedioic acid;4-[(1R)-1-hydroxy-2-(methylamino)ethyl]benzene-1,2-diol</t>
  </si>
  <si>
    <t>CNC[C@@H](C1=CC(=C(C=C1)O)O)O.[C@@H]([C@H](C(=O)O)O)(C(=O)O)O</t>
  </si>
  <si>
    <t>3A6EF24DBF73F61005848745343ADEB6</t>
  </si>
  <si>
    <t>JChemExcelHAkAAB+LCAAAAAAABADtvQdgHEmWJSYvbcp7f0r1StfgdKEIgGATJNiQQBDswYjN5pLsHWlHIymrKoHKZVZlXWYWQMztnbz33nvvvffee++997o7nU4n99//P1xmZAFs9s5K2smeIYCqyB8/fnwfPyIe/x7vFmV6mddNUS0/+2h3vPPR73H0eOp/djLPF8fvqmV6XpR5el7Vi6xNL++Pd3fGO6P0Il/mddbms3RynV6OX5y+STf/Qy/uju99dJQ8/uJpNV0v8mV79PgLdFJMs/J1W6+n9MGiKvPpmvqjX86efvbRYvejNJs0r9u8zqvPPqJW+UdHj7O2WhzXdXad4je0y3bTbC/N7qXZfprdT7NP0+xBmh2k2cM0292h/9P3u9Rgl1rsUpNdarNLjXap1S4126V2e9RuD3Co3d69j9K8zIHlm+tVTtRIX6Qnnf++5P/C3/nnR+m7vc8+2t4b3/90/8GnD+7v7z588OnDh/fS7d3x3r3dnYOD/b2d3f2Dh/cf7PY/+/R+ukNU3rv/cOfBzu6nD+jHw08fdj872KGx7I7373269+nDg71793ce7O7uP+h99Gn/xYN+n/Ri77MeGgc79w/SvTGGQt/v37937/7u/QEsdsb3d3ceHnwKiLsP9+5/mj4c7z54cI++Pzh4+HB3j6j8YHyAFw92Pn2wSw0PPk0/Hd/f8YH3mtyPgCG+Otjf//TT+/v39ojee0Tn3XvU6uDe/v79+/v7D+7f23sQbdVD8qP0miZuf/wA87VHvfC/99P98c6e/8kDIsP+gf/JpwdEhge7QSMm/YPOR9vUqf/Bwx36bG+8ey/47AE+e7jjf7bbb7bXh0b02N4f7+93mnWBRUZwgPm+d3B/x3v27qGH/of4bP+h9xxE2oEXH+4FzfbBZURov5l2EbS7D9L1wG334H2a9sGRfrhrFcTR40m1nHm/ssZ4lZ83e6o0PkqrepbXpAPxIppEGkK13KohFNCtGkJN3aohlJltuLehIVTerSBCMd4KItTnrSCykr0VyPtBy00woZR3b9USKvx20wjFH84jmohxOfq2vKZ/DcIQ63Gr7sTI3K4p26JbkZCbugm8EYFwCr0hfvf2A9673ZyJBb3VKLjp7WaNERictvgo+IeK/V3jVNCvPYfjrvNGksd3yQE6Sv4fU11AnRwJAAA=</t>
  </si>
  <si>
    <t>L-Norepinephrine bitartrate monohydrate</t>
  </si>
  <si>
    <t>1010F6DF8E0F44753044B6A27173DA39</t>
  </si>
  <si>
    <t>JChemExcel0AgAAB+LCAAAAAAABADtvQdgHEmWJSYvbcp7f0r1StfgdKEIgGATJNiQQBDswYjN5pLsHWlHIymrKoHKZVZlXWYWQMztnbz33nvvvffee++997o7nU4n99//P1xmZAFs9s5K2smeIYCqyB8/fnwfPyIe/x7vFmV6mddNUS0/+2h3vPPR73H0eOp/djLPF8fvqmV6XpR5el7Vi6xNL++Pd3fGO6P0Il/mddbms3RynV6OX5y+SW/xD729O7730VHy+Iun1XS9yJft0eMv0FMxzcrXbb2e0geLqsyna+qUfjl7+tlHi92P0mzSvG7zOq8++4ha5R8dPc7aanFc19l1it/QLttNs700u5dm+2l2P80+TbMHaXaQZg/TbHeH/k/f71KDXWqxS012qc0uNdqlVrvUbJfa7VG7PcChdnv3PkrzMgeWb65XOZEkDf97kX7J/8lf5nf5+eVH6bs9UPbTTx/sPDx4uLO3d3B/Z/9e2vvkfrozvnfv3v7uwwcHO/v3H+zs0I90m+ZkZ2fv/kP64t6D3Z29B/cjn/Vf7UN7eNB/8X4E2H4Ptfv05h6gPbx3sP/pvd2HD3c+3e/Bf7CfPhzv7xzs3vt079MHDz59uHt/Lz0Y0+f09e7+/Yf7u7tE3k/HD/Z3HtBLe/T3vZ2DPeIG+sDr7tNem90IHOK/B/u7B7v37x08vP/wwe7Bw3R3j1rd33+4f393d3/v/t7evVirPpLEyR+l1zRL2zvj3Yd793fss0sgiEAP7u3tP3TPfZDjPtEs8t2DVID4nz2kHu4/eOB/tJfukQwEHz2gjw4OHvi9p/vj/b3wE27jv3ZPkfE+O/g03d4f7xAJMEkH3vs00feAYP9DfBbgfBBp94BYozM05tCAZjs72kXQ7v6nfVweyLtBu0/TGLgH49294MP7JPl3regfPZ5Uy5n3K+uCV/l5s6fq4KO0qmd5/dlHe3gRTSINoTRsw90NDaFabgURCuhWEKGmbgVx12+4CSK03q0aQjfeqiE06K0aQo/uBC3RRPT20bflNf1rE+V2d2/VG7S4m99NLUXh364p24XbNWXzcbvJQ9PbzQojEM6LR7bv3o6IPODbzZkYvduNAk1vNzdAYC+cnBtHwT9Ulu8aH4B+7fkHd53zkDy+S07LUfL/AHFgagXQCAAA</t>
  </si>
  <si>
    <t>E64ED77E44C80BA69CF16DECD988A5AA</t>
  </si>
  <si>
    <t>JChemExcel7AoAAB+LCAAAAAAABADtvQdgHEmWJSYvbcp7f0r1StfgdKEIgGATJNiQQBDswYjN5pLsHWlHIymrKoHKZVZlXWYWQMztnbz33nvvvffee++997o7nU4n99//P1xmZAFs9s5K2smeIYCqyB8/fnwfPyIe/x7vFmV6mddNUS0/+2h3vPPR73H0eOp/djLPF8fvqmV6XpR5el7Vi6xNL++Pd3fGO6P0Il/mddbms3RynV6OX5y+SW/7D4HYHd/76Ch5/MXTarpe5Mv26PEX6K6YZuXrtl5P6YNFVebTNfVMv5w9/eyjxe5HR4+ztloc13V2neI3fJztptlemt1Ls/00u59mn6bZgzQ7SLOHaba7Q/+n73epwS612KUmu9RmlxrtUqtdarZL7fao3R7gULs9ardH7fao3R6123vwUZqXOZB8c73KiSyp+e+F/W3ovy/1v5Pyo/Td3mcfbe+N9w4+fbC/9+DgYPf+w4Ode+n27vj+/Z379+4f7N7b2793/8Gn91Nq9nDn3u6ne5/SJ/fu7z98kG7fG3967+G9Tx/ef/hw7/7uA0KRPrp3j9o92Huwc//+vb17Ow/w5t6DBwf3du59iv99uoce9sYPPn346e69/Z2He3v7+7sPPkWvew936ZX9+/sHn3766S6RaYdwO6Df9h88+PQBdXpw7x59tntw/x7B29+9v3vv3qcPDvbw7v7uzv7O/U/v79/be3iwv8t93N+5t7+3d//Tg4OH9w8+PUCzB5/uHlA39wjBB3uf3if0qI8HDw8O7u0S3vuf3v+UPwL6OzufUgf7e9QZMHlwgO8fHBDCDz/dp3nbG+/Qi9Twwf2He0SI+5+mgL/zcOdTUGr3ITWjRg/2CMm9T/d39miUB/fT/TE13tvZo9HvEunuP6RPPiVK7376cOfh/d3dezsP03vj+/j1YPcBzQMhT9xxf3xv/+G9A0JqF7Q5QF/37hP5aKyEEmG6Rx/t3t/bp3Ed3EOTvV0e8gF9dm+foNBPmr699OH4/p4P6qP0mhjh/vj+/u6nD3b2qem9e/v3dwmv3YOHO/v3Pr33gCh6/97Op4TY/v09gv7pp3s055hTakU02P/03v6D/R1iAuKC3fHDB/cPdg529w52Pn0AZiDyHRBvEQya632aABo1UZlYh0h8QE0xivtA9lMiJU0j4NwDGzBbHNDsP6BXaQqIAw8wtQd7xBC71Mu9h4T1HjiPCH6PSE1tHuzukexQqx1CimZrF8x4n1gVne4/fEhEpjnb3d/b/fTeLj7bBa8/JHofHDwgadjDTO492CWIu/f3d2hOd3hYGMD9/b0DIhOx4P4ehvUp4Xvw4N7e/YfETQefyrDugW33ieCfEqMxex48oNHcI7p8ure78/DhQ3x271PisV2aQaLTw/v74GyStof7xIU7hAwhDTT2iTmIc2jiaJox0r0x8Tjx8M4eTdQDwvlTHj3JE9Eag9ojUhEwGvkBsfbe/QfEG/Ruuk2M9mCfxHJnb+/B/j2Semq1QyrsrtVhR48n1XLm/cpK7VV+3uypXvsorepZXpN+xotoEmkI7XerhtCRt2q4e9uGBPH+rRpCMd+qIdT3rRpCyd+qIUzBrRqywbhVS7Ert2vK5ud2TdlK3a4pG7NbNX1465ZiHW/V9NNbtxRze7umbJVv15SNt226d8P4b8co4g3crik7DbfqX3yLW0EVF+RWUEEAr+lGqEDglmyFYd2SWXZu35S9qds1BQWi3MI/VFXeNa4h/dpzG+86nzJ5fJcc2qPk/wF1461S7AoAAA==</t>
  </si>
  <si>
    <t>3-[[2-[2-[2-[[(2S,3R)-2-[[(2S,3S,4R)-4-[[(2S,3R)-2-[[6-amino-2-[(1S)-3-amino-1-[[(2S)-2,3-diamino-3-oxopropyl]amino]-3-oxopropyl]-5-methylpyrimidine-4-carbonyl]amino]-3-[3-[4-carbamoyloxy-3,5-dihydroxy-6-(hydroxymethyl)oxan-2-yl]oxy-4,5-dihydroxy-6-(hydroxymethyl)oxan-2-yl]oxy-3-(1H-imidazol-5-yl)propanoyl]amino]-3-hydroxy-2-methylpentanoyl]amino]-3-hydroxybutanoyl]amino]ethyl]-1,3-thiazol-4-yl]-1,3-thiazole-4-carbonyl]amino]propyl-dimethylsulfanium</t>
  </si>
  <si>
    <t>CC1=C(N=C(N=C1N)C(CC(=O)N)NCC(C(=O)N)N)C(=O)NC(C(C2=CN=CN2)OC3C(C(C(C(O3)CO)O)O)OC4C(C(C(C(O4)CO)O)OC(=O)N)O)C(=O)NC(C)C(C(C)C(=O)NC(C(C)O)C(=O)NCCC5=NC(=CS5)C6=NC(=CS6)C(=O)NCCC[S+](C)C)O</t>
  </si>
  <si>
    <t>510BCDFE47A74392BEA6EB44EC1CFAA5</t>
  </si>
  <si>
    <t>JChemExcelbiMAAB+LCAAAAAAABADtvQdgHEmWJSYvbcp7f0r1StfgdKEIgGATJNiQQBDswYjN5pLsHWlHIymrKoHKZVZlXWYWQMztnbz33nvvvffee++997o7nU4n99//P1xmZAFs9s5K2smeIYCqyB8/fnwfPyIe/x7vFmV6mddNUS0/+2h3vPPR73H0eOp/djLPF8fvqmV6XpR5el7Vi6xNL++Pd3fGO6P0Il/mddbms3RynV6OX5y+Sd/rH4KzO7730VHy+Iun1XS9yJft0eMv0GcxzcrXbb2e0geLqsyna+qefjl7+tlHi92Pjh5nbbU4ruvsOsVv+DjbTbO9NLuXZvtpdj/NPk2zB2l2kGYP02x3h/5P3+9Sg11qsUtNdqnNLjXapVa71GyX2u1Ruz3AoXZ71G6P2u1Ruz1qt0ft9qjdHrW7R+3uUbt76JDa3aN296jdPWp3j9rdo3b3qN0+tdundvvUbh+YUbt9ardP7fap3T6126d296ndfWp3n9rdp3b3MQRqd5/a3ad296ndfWr3KbX7lNp9Su0+pXafUrtPMVZq9ym1+5TafUrtHlC7B9TuAbV7QO0eULsH1O4BiELtHlC7B9TugNodULsDandA7Q6o3QG1O6B2B6AetTugdg+p3UNq95DaPaR2D6ndQ2r38NOP0rzMMXFvrlc58UuK/154/8d/X9Jv3d+/tJ+Ytl/av0/49y/1v9in8r756Vr4f4ffys/XwW/u29f875cfCYuXJ/OsvqDh7KT/3/xvV35+lL7b++yj7b3x/Xs7n+4+fLjz6c69+7vEzPTRvb0He/fuP9j/9NMH9+gL+mxn/JC+pg/u7e7u37/3gBiWPnuws7P76d7+g90HB/u7xJPbu+OHezv7nz7Y33vw8P7u/qfEH9v3xvf26dtP7+/f2z/Y2dkh+aHP7u8/uL+/82Bnj97cI7Ha3h8/fEC/PTzYPbj36UP6EtAI8s7Bvb1PD+4/3Nm7v8OI7D28d+8hAQTa9P1+Srjtffpwd+dg597uzv37D4l5CTUawN6nn+4TqvR/woNGdX/n/sOHD3cPPr23v3uPxJpG+vDeg3sHB3s0hvsPCMV7+OzBvf2dnf0d+ushtSTRIHQfEvY7hAON496nn5K402cP7u883Ns/+HRvb2ePOvm0P4aHPWLSQO+P7z148JDa3HtA7+8+/JSwvbf76YP7NND71MPD/Z179NHu7j3CfffT+59+uvNgb5c+I3Ls7+zv04BolDv0k8b0kL68v0eIEiUe0EDoIxrJvU8P9mhgNCASeEL+wQPqe/chUYQGS1NHH93bp3d2CCxGeUDa9t4BIXAP//t0f2+XRv0pYX5/Dyg9IFx2SKXcH+/f3yfqHxw8fPDpHuFOKN27d+/TBw9393YP9g4AjD6ixnsPCfweDfmA+KM/aZ8y9wCDBwf3dvf2iWT3Pt0HIcJpI3W0N97dp+HT7DwkOj4kTHozubNPAyIs7u/tPNi9T9QhpD9N98dAa+fhAc3bpweYi50xtdjdpynbp3HuYnY6/PoAn9zfpbkjdnpIWBFH9bmEFDXNNKH06UPiIuYB0pk0r/dpTqnVw09JQoir8REJxgMazn36ah+j3h/j/U939x9SK5qTfTDSLgkCDZwkYZcg7aEVTdjBPs3fw52dg/v3+hJDBmr7wXhvhxrdv/9g997+PSbqp+MDksiDBzRxnxI1wKefju+DBkQFms6HxLJAi8Tm0917xBcP6PMHDIt49lMSof2H+yRue32mv/8QNCUkIczE5DQckmQaD1C+T/wHTtwnHvkUrEmzSWjeo/fSB2OgfI9IQBywt0scSYgT4XYfkhYhxO7R5KQHY1CRGHufePIhzVD6cPzpA+KMh5/ep94xKvqEWoLEoN5DYpSUPI0DYot7NBiaiPtkbekTUjrEH/v394ApzcLuHsRrnwSCWoK96T2iJjHM3sGnB9SU3sUn9B0pKnqNCENj3aWhUSOiB/E1SEmvEbvsAKH9nQPqcZ8sPrUiEdzfhUQT15OkpLtEXsb4IUZM7PEw3f10TPg92CMg92nYpC7S3QcgFM84fUFjTHcPxgfQpUR9GsIeqLK3A7IQVYhwRDqa/XSPGPRTaIkdIgVJDSk2aCzi3wcPScM8INVwHx+RlgYLkYohFqL+CNSnuzukKYiERFCa9XRvfwxmBRHQIY2ZPiGBPSBZJ51LZCXgpAVICeyDoLukFYlU9NEDoHJANABWO/QRaQaSuk9Jy5GNeEjKJ917wFJKIvvw4ICk9gHeO7i3v3efFM0eKRBydfZoxJ8S9B2SUtKfe8QsezTJn5Khodmk8T7YJSfjHimZBzTW+8R2JCY07vQeTekDehP6fp+Yeze9d484YZesBX2/C9zSezSWA1JDB7v3CQFSe/iE0N4HexAlaCQHYxrVPWYv+njv03sfpdewiZ+Oobc+JSxJodCEpNsHELVd0qhE5v1PWSAPSL/cJ71FXH9/7wFME/HePQK7Q6iRVJIOo1bEMnvEKoTH/QcY0wOoGJoKYnWSlk9hOSB+D6Hl6JUHoBeZ1weAfx8MgleIEgfkDW4TJz84wBRDuojpYXCJb4E7KS/q5/6utCJp24e+Jf6gqbzPXT7coTmmaSWB+/QhlDK9Ck15H0wPU/0pLC5ZNRoMMQWZQOriIT67P6ZJYztDFCaZwVCJoR9iaomn70Gj00cPiC2gX4in78Eakzoilv70PlGRfAtSFw8fykdkAxxtd7mDT2lWHzwEBxGvQAOSPiJLvrMLrUv6BXoS9ughQSauJ6E42Oc5ICtBU3kPtD1gp+TB+P4OqR16k3jo4cFDVsyk6Lw5uI+PaJZI/unl+6QcyM0ldUe8co/Y51MYgj1qzJr/gLhzd58GC/WwwzaeJg3mENp4h2Ya0OgF4rN9UqCkJ4Es7OlD7zlABzBXxH2k4IhfYKPos70HpCPBpCTRJKvs9BAiBIXmE5Yf00JqbhdmikZO4yd2xhSMWZbJdB18SiZo50D8GfqNoEFQyCnbZTMLRUHCRZaReB1k22W+JwN2D3qcNBRbXuqNzOB94lZCYJfdLzLeD+AE7bA6O+DBw+6RJoANfQiC3xvTZH7KNoFmb39XrON90iKklEhzQbvx6B/SfOySgOxQQ2JzYLvP1poknSgCORTzC41M79IEkilGM0jrvR3SKuR0EI6ELLUgG3CP1T6Zrb19eEzEfMRVpJ3JajwgNge0g0+9WSYvkX20PVLo1DH5V2Q72WqSSaYpgCmHAfwUbERfk5PEuuM+yygpNPL1aOIO4CiSk0nvEbd7kgaGJHtJ5KPR3weqDyDaJB8QO5I6puEDch127xGpDkjDknJibif/goT/IbwhUINVAk096c5P4f2QAthDf7Ay9AmxNal85r0uVowEMQ9NJ1QVAYS8dkd40KeDAAtH/Wl/jLuR2b3f54L7vRlnOgd6FQ5YRLGS00QOocM/LvpdAXswIOdkEuDEHLDfBvebNBfcQWJeIhLxyi7rDKILbA7Gpf4QOTFQgXDBqG8WaTKMD0nT0v9AMvbTyJEktiTJ/RQGi9mL2Jd8UQqNKF7Zg34jvEigabYg9aQ+D8RPIwTvwVKRR7/DDh6NkeCQ1/oQg33AEgjnivQsnCmSyQNWGaQVwC07pLIhJaynOLYiIpIXTmOhtAXimF04fQ8wA1A6HJ6RzgIzkTLZZ6POfZBGgZNPZKOp22PfnCwMaXbSOg+hQ3dEVREHf8o+IYkcyz5ZBpp/pw/2KPly12Zfjh5PquXM+5XTMa/y82ZPMzIfpVU9y2tKL+FFNIk0RBrFNtzb0BA5lFtBRALlVhCRPbkVRKRObgVxz2+4CSISLLdqiEzLrRpyqutWLSUjdrumnDi71dC5qZvJm1C93VRKsu52TTmnd7umnPq7XVPOEN6OAGh6u7kCAnu3myxkIm83V5K8vBWq3PR2cyWp0Ns13UfG9HZNObF6u6acf73dsDhNezuonM29HVRO+t4O6qe3b4qU8e0mVrLNt2vKSenbNeXc9e2a7iPFfbumnAm/XVNOmN+u6d7tmwLq7XhAMvW3a4rE/e0mFsTav+XEwqTdbmJlFeF2TXmx4XZNgevtJlaWLm7XlFc4bteUF0Ju1/Te7ZsC6u0mVlZgbtcUCzK3m1gQ6/7tJlaWfW7XlFeHbqWzuOktJ3Yfa023agoFf/92EysrV7fDFU1vN1uyDnarprJcdvumt5stWXy7XVNeo7t909vNlqz43Yqu3PR2syXrh7drysuMt2vKq5G3b3rL2cL65e1mS5ZAb0Usbnq72ZIF1ds15XXX2zXl5dnbNeVV3NsNixd7I1AjTXlN+FZQD3jp+HZQH9y+KRC43cQe8Jr17XDlpe3bQd3HCvjtoPJC+e2g7t2+KRC4HQ/ICv3tcEXT2/GArPffqulD4oGHt5tYSstkD283sQ+JWA9vp18pFZY9vN3EctPbSSwU/MPobPEPzXbcXVRlPl2XOf36xck8XxTTrHzd1utpi0+eVtP1Il+2R8nju9NFeZT8P1EbvTpuIwAA</t>
  </si>
  <si>
    <t>Prostaglandin E2</t>
  </si>
  <si>
    <t>9C2FBD5D05E0E767E1786F81D2587AAA</t>
  </si>
  <si>
    <t>JChemExcelTgoAAB+LCAAAAAAABADtvQdgHEmWJSYvbcp7f0r1StfgdKEIgGATJNiQQBDswYjN5pLsHWlHIymrKoHKZVZlXWYWQMztnbz33nvvvffee++997o7nU4n99//P1xmZAFs9s5K2smeIYCqyB8/fnwfPyIe/x7vFmV6mddNUS0/+2h3vPPR73H0eOp/djLPF8fvqmV6XpR5el7Vi6xNL++Pd3fGO6P0Il/mddbms3RynV6OX5y+Sd//HwK2O7730VHy+Iun1XS9yJft0eMv0HExzcrXbb2e0geLqsyna8KBfjl7+tlHi92P0mzSvG7zOq8++4ha5R8dPc7aanFc19l1it/QLttNs700u5dm+2l2P80+TbMHaXaQZg/TbHeH/k/f71KDXWqxS012qc0uNdqlVrvUbJfa7VG7PcChdnvUbo/a7d3/KM3LHNi+uV7lRKk0/t+XkU/4v4/Sd3uffbRNVL//6cHDnYOdvQef7j64v38/3RnTrw8ODu7tPtz59NO9g5376e74092d/U8f7O/vHDzcv7f76f10b/xwf393/9P7n+492Nu7d59GsE8vPjjYI3j79+/v3Dt4QMT9dHf3/s7+wc6n9x4c7BP2n9Jr93cP7j3cO9jb+XT//sH99IBeOzj49N7O/Z2de/v7D++lD+m1vfv7e7sPdg8+3bu/95A+efCA+vh0Z4f+2n9AZKJZ23vwkF67R5jt7T94QB/tjXf2/Y8+TXfvje8f7O7vPdjZe7j3cPch0ZRe3Nl9uL9D0D/99N7e7r19fHTv3sP7B5/uHhCA3f0D+mhnvPvw/i6Ndf8hjWjv4QE+ur97/94e9X6PRvXp/gO8+PDBw4f393cPDvZ2d2hcQOLezs7uvYPdhzTAh9QeSDyg1p/e36N3P93foff2xzsH+w8JNKG6d2+fpnn3/vj+/sP7Dz7d+5Ro9uDh/U8BivC8v/Pp7sOHRKG9e/eIVoTKzoO9hw/oi4f39/ok3vsovcbEHozppQcEeweEJHKm20TET/2PPk17rR78XLR6MN6nMd9/+OnBp/fv36MJxEe7+/cfPiBW2vv04f6n9/jF/QcPP71PA90nQn76AJ8QMYlBaeA0BQdEMerw0739HaLWvfsP7j84uH+QbtMc7d7b2SeuI+Y9ePBwjz7aGxMrEXfvPdj/lPj7U3x2b/zppw/27tOLDw926atd+mx/DA64R4js7qJj+ojoTRN38ABvPaCGaPbpmOh778G9PcjQ/fuA9mD86b3dB3s74BeSBuBxQGrrwac7nz7YIUT2iAr8GUnY7sHup59+ev/eAUn49qfj/Xv3P314QGAI2D16l4dwbycgGimbu1bbHD2eVMuZ9yurn1f5ebOnGuijtKpneU1KFi+iSaQh9NStGkKb3aohdN6tGkIz3qoh9OetGkLL2oZ7H0kLUddHb+Qt/WsQxEMfxG4I4ru3BrG7cyt8xRjcrinbjNs1ZdMS0GFj09tN68NbtxSTNkTEb9+OiGITb9cfm86heT+5ZX9se2/XH5vo2zVlS36rpmLwb9eU/YJbTTA3vZ2Agxn3whl+/2n7VLyU95Ef/qF67K5xuejXnjt21/lqyeO75DIeJf8PhrIa0k4KAAA=</t>
  </si>
  <si>
    <t>CC(C)C=CCCCCC(=O)NCC1=CC(=C(C=C1)O)OC</t>
  </si>
  <si>
    <t>5792B27D671BBB32DC92A7EF21ED4E7C</t>
  </si>
  <si>
    <t>JChemExceltQgAAB+LCAAAAAAABADtvQdgHEmWJSYvbcp7f0r1StfgdKEIgGATJNiQQBDswYjN5pLsHWlHIymrKoHKZVZlXWYWQMztnbz33nvvvffee++997o7nU4n99//P1xmZAFs9s5K2smeIYCqyB8/fnwfPyIe/x7vFmV6mddNUS0/+2h3vPPR73H0eOp/djLPF8fvqmV6XpR5el7Vi6xNL++Pd3fGO6P0Il/mddbms3RynV6OX5y+Sb/mPwRxd3zvo6Pk8RdPq+l6kS/bo8dfoPdimpWv23o9pQ8WVZlP14QI/XL29LOPFrsfHT3O2mpxXNfZdYrf8HG2m2Z7aXYvzfbT7H6afZpmD9LsIM0eptnuDv2fvt+lBrvUYpea7FKbXWq0S612qdkutdujdnuAs/dRmpc5EHpzvcqJImn/vy/TF71PvkxPPkrf7X320cPxw/sP7u3uPbi/t7vz6cGDe6fb1BmN9t69Tx883N3bPdg72LnX/+T+g3Rv/OmnD+7dP9jbv/fp/U93Huym++Odnd2dew/o7/2D/d2d+0S5e/f2H+x+un+ATnb3d9NP6a2Dew/phYe7+zu7Dx6kB/TW3s6D/Qf3dh5+ekDDekgv3X9w/97B/b0HDz/d26fed+ith/v39h4+2KcP9g72+h+lu3sE6N7u7h6B2b+/d4+ItXtvHGJN7+2PP32ws/9g5x71vnNw74BafUov7u/uP9z/dPfhvU/3qdEDeu8BvXL/4N6DT/f379+PftR/LwL8gD7avb/z4MHO/fsP9/Yf3ot9tEccu3N/94DG/2B/b4cG/lF6TdOz/XC8t7/jPXvpNrh7t/vZ7pgQ4tbagP+499B7DuSbnc5nX7/Zg/Gn/icPH9y/3asPbtdsABEMdd//DOD2xvd2u5/dpt3DwW4hvHet9B49nlTLmfcri/Or/LzZU4n+KK3qWV6TosKLaBJpCLm/VcP9LkS0eN3mdV6l02p5SQLPGvCLp88/8j74yaxckxbYN5DljY3d3Lfd7G3AB3rqVohDm92qIXTerRpCM96qIevPW7UUNXurgXPT202uKO3bNWXdfrumbAJuhytbittBZYNyO6hsd24Hlc3T7aDuB003Qn0Ag3e7pp/CLt6qqTGf/ab8Q0X9rjHq9GvP4N913kDy+C55JkfJ/wOzyilMtQgAAA==</t>
  </si>
  <si>
    <t>74431-23-5</t>
  </si>
  <si>
    <t>(5R,6S)-3-[2-(aminomethylideneamino)ethylsulfanyl]-6-[(1R)-1-hydroxyethyl]-7-oxo-1-azabicyclo[3.2.0]hept-2-ene-2-carboxylic acid;hydrate</t>
  </si>
  <si>
    <t>CC(C1C2CC(=C(N2C1=O)C(=O)O)SCCN=CN)O.O</t>
  </si>
  <si>
    <t>AF7D46742808C8BBBEEA133C4CB98C69</t>
  </si>
  <si>
    <t>JChemExcelhQgAAB+LCAAAAAAABADtvQdgHEmWJSYvbcp7f0r1StfgdKEIgGATJNiQQBDswYjN5pLsHWlHIymrKoHKZVZlXWYWQMztnbz33nvvvffee++997o7nU4n99//P1xmZAFs9s5K2smeIYCqyB8/fnwfPyIe/x7vFmV6mddNUS0/+2h3vPPR73H0eOp/djLPF8fvqmV6XpR5el7Vi6xNL++Pd3fGO6P0Il/mddbms3RynV6OX5y+ST/kHwK7O7730VHy+Iun1XS9yJft0eMvgEIxzcrXbb2e0geLqsyna8KGfjl7+tlHi92Pjh5nbbU4ruvsOsVv+DjbTbO9NLuXZvtpdj/NPk2zB2l2kGYP02x3h/5P3+9Sg11qsUtNdqnNLjXapVa71GyX2u1Ru73dj9K8zIHMm+tVTiRJ/f9e0P+/5P9/mb62n7zA3x+l7/Y++2j7/vjh/r37O/cOdnd3Pr2//+BBur0/3r9//+GDA/rwPv1DqGzfG9/79MHOvXv3H96/f//ezt7DdHt3fLDnf3RwkG7vULO9fYLz6c7+/YP9h3sP76c74/v7ew+o7d7BzoPdh7uf7kfa7TyIANyP9tvHbocm5t7+g4ef7u4cPDh4uPcAg9gZU1cPD3bv7+093L33YPfew3R3/Onuw4O9T+mLnZ2DhwfUwd5456CD3N744L7/0f10f3zvYfgJscKn4Sefjh/sBIDSB+P9B/4n9+4D9537D+49pCE93N3b27+XEkd9GvS2/1F6vcfM/pCa7e8+uL9DLXd3gf0+IU9k2Nnff7Cz8/DeAQ18n35i4nb39/cOdnfuRz7ap88ODu7vPnywd4962iF66EztfHpwQGDu33+we4DZI1xoSh7c3915ePBw/9MdTMDuePee3+5h7DOalb3x3u7DT+/dIz6iCd1/cO8eJo+GtLezR5gQQPqXeWtv9/6n+/d3H3wKAtwT3iLqHBDCNCPEDMoffg8PHmBkNIKHD3d2D2gYhNtB/6OHmD1C7dNPH97buU+joHF/2vvoQXpv/On+zj3qi3gB/6Op2Rs/PLj/4GB378GnxGp79x8S8B2S3LtWdI8eT6rlzPuVZflVft7sqTh/lFb1LK9p9vAimkQaQuhv1RCq4VYNoUBu1RBq5lYNoYxsw70NDaGybgVx/7YNoQFv1fDebRuyQr3taHZ3bwVTtPOtgHLT28041Pvtplwswu2asuG4XVO2L7drymbodgRgaxVARZvXbV7nVTqtlpdku9iaf/H0+UfeBz+ZlWsyaPsGtryxUbL23ER72PMPFdy7xj7Trz3bfdcZ9uTxXfI0jpL/B/M2X/+FCAAA</t>
  </si>
  <si>
    <t>Ceftazidime Hydrate</t>
  </si>
  <si>
    <t>78439-06-2</t>
  </si>
  <si>
    <t>CCC1(CC2CC(C3=C(CCN(C2)C1)C4=CC=CC=C4N3)(C5=C(C=C6C(=C5)C78CCN9C7C(C=CC9)(C(C(C8N6C)(C(=O)OC)O)OC(=O)C)CC)OC)C(=O)OC)O.OS(=O)(=O)O</t>
  </si>
  <si>
    <t>39F9F94B0D6FEA914CEC449F8CE861EA</t>
  </si>
  <si>
    <t>JChemExcelCBgAAB+LCAAAAAAABADtvQdgHEmWJSYvbcp7f0r1StfgdKEIgGATJNiQQBDswYjN5pLsHWlHIymrKoHKZVZlXWYWQMztnbz33nvvvffee++997o7nU4n99//P1xmZAFs9s5K2smeIYCqyB8/fnwfPyIe/x7vFmV6mddNUS0/+2h3vPPR73H0eOp/djLPF8fvqmV6XpR5el7Vi6xNL++Pd3fGO6P0Il/mddbms3RynV6OX5y+ST/4H4K9O7730VHy+Iun1XS9yJft0eMvgEcxzcrXbb2e0geLqsyna0KJfjl7+tlHi92Pjh5nbbU4ruvsOsVv+DjbTbO9NLuXZvtpdj/NPk2zB2l2kGYP02x3h/5P3+9Sg11qsUtNdqnNLjXapVa71GyX2u1Ruz3AoXZ71G6P2u1Ruz1qt0ft9qjdHrW7R+3uUbt76JDa3aN296jdPWp3j9rdo3b3qN0+tdundvvUbh+YUbt9ardP7fap3T6126d296ndfWp3n9rdp3b3MQRqd5/a3ad296ndfWr3KbX7lNp9Su0+pXaf7n+U5mUOwr25XuU0h2nsvxe3+GS41Zf0n/v3RD8Lv3nN/375Ufpuj5hrZ3z/4OHuzt793YMHu/cfEmUfjvcO9u7v7T+kvz492Hn4IH0wfrh3797Ovb39ezu79/cePEw/HT94cLCz8+n+g/0Hn366S/NE/PFg98GDTx8e7N7bfXDw4EF6jyB/uv8pAXnwcG/nwcP9dG+88+DBw08fHOztPri3f7BH00U8tXdwf+/+fYL+8CHNze740wfo5eGD/YPdg/1dmuK98cP7O/v3Dh7ufXrw4P7uQ6L4/vj+/sHBzsGn96m3T+/tE4PcHx/s0Av3Hty7v793b+eAPrh3f/fBPvWyv3/v4e7BPRrHPUJ7997B/t6DvU93HuymO2jz8P6Dvd39h3t7D4nnSIDuf0og79072P30Pg2P5nJ7d7y/s3P/YGdvb//g090HO9Rue29M7e4T0rs0/N2HB/zRHr1y79Ode4QGof9pur1DWB08fLi3/2D33j59hWY7470dwmln5wFRhpA9IBJj2A9pzPv3CN2HB5/u3KdhEzXv7RP9HtIM7RNV6aN7BOf+faL9gx3Q9lPC9+Dg3sODB5/e398lCPeI1aSDewcPdg6IOCAP8TF9uLN37+HDAxroAwyDaImB3X/ApNgh2t6j/3bR8NOdAxoskekBjY8gMAH2HxzQnB3Q+HcOaNzp9r3x3v1P6UWa0v1PadDo+d6Ypm73Ib6g/+8Sh6Tb++O9XQKyv7f78NM9QE63748/Jfbap372dx/e2yXxpY/Ahvc/3Xv4KVHm070H+3jzU4De/5SIde8+8L03fkjU3wHt9nfv3bsv83CP+IlmcI+g7RwcAFv66gHxzMMdYk/i3IdEpt0DIgmBOjjY27m3e29nj0l3f+fB3h4x4z5R7gEPCoxIkvCAuH3vIbERdUDzvkts83CfhrpLhABmNIE0wF1i5R2QFAPY2b8PMuySLFEPTLVPd/YPHu4QjxDGxFL30Wz300+J4T8lDide3HlIn32KdvuEMQkYCcKDe/iI3yHkSVT2mN4PiJV2DggDYptd8D2A7e8cMGmIAcG2ePFg/z7JGPEa+OSARAWzQQQiwhKHfApJIZLukEzeu0fcfZ+UIE35p/t7+0CRECLqQzKIR4hT7hMLEB2IM5iH7qPrh/TevQcHnz4gPUmDpK739j8lWWf5I315MD4gAdzdJTkhZfHpwcN099Pxjq9m9m73yYMx8YOnnA7SXVDeb/RRek1qDFzwAPIJSbu3zwJ6b3yPeIuworGR8joA9fdooDRw0mEHnxIDkp5jGbiPGYH00CQ8YAY6IOIRX5PoQneBGUkE7j/4dG8fIzzYY2YhzqC5pfnaB/sdiADcA9Ptk/xgTh4w/0N894lx90CS+8wrRJ17kB1iwD0SbxYJJjwU3KfE2AfM/sTrpM6o312oMpG5h/sEGn3QbB4wL5KGeEjqkabj/sOd+8wXhOLDHYybGPs+mSfint2HpBdJj+99em93H1JI1AXyhAVhT7Q4YE482H1IioLYYG9n74AFkxQeYUC93jvYu0fKH4gRBg9ImkDGnV1FjLQqGQNiaugPZpY9KF+S/d09KFPiqfuffkoDOKCxEGn2oNBIUT0kNGmYhD6JHH1EYkRvgFj7BOHhPRiJT4mpqXfI5P69T1lL7YIuhDeJ9d4O0QKv0pDJnBzcJ4xJKiHhpKFgku6DHz+FciDG3iOzQnBIQewST+2IciQLRaqQZG2XhkGsRb3e3yWhIVQJOxAIqBHHPIQs8HSTq0HcT/rrwX0yT2Sq7kOVUwc0a/dIsUDEVSHfJ1Z9eJ+kjtQIofspiSXGfI9EhyRz7wAf3CeGvE/0JFX/kKjKBvQ+TcV9sOzeA5Lue2PqH2rsAcZCJILZpXnf3SPApIloZGSad8gi3adZJ/B7bL1JhZAqeQibQe8fUBMCSkoCiovmkTjmAdma3QNYG7KNNJSHBJjmFzZ3Z4eEjb4gBB8+gDyRWqAB0tzQJ6TUWacSTphDoEwaFUaHZIf03cE+tA2x/wPyKXbu75CGOKBGmFeaM+L9T+8fsF17SJJEk0i6juwWiQ8UNqZuB0aEfttjWtPgSVPePwDt7++Ch4k1SELJrJBzQOSmX/EmsT3U8L0DNlXQUmQ5SYWTv0DakQwemWm8+4DMCNkTQn0XmlCkfI/QBHVpWA/J2LOC2CekiSlAZLI7JAj7B6fbuzDb8hKx1wOQgawwKdSH9+jLT+OvkD981zrER48n1XLm/coe8qv8vNlTJ/mjtKpneU2OGl5Ek0hDeLa3agi39lYN4dPeqiGc91s1hIt/q4YIBG7VEOGCbbi3oSEHFbcCKbHH7ZpyiHK7phzJ3Krp/Vu3ZKC3m8x7t24JSt1u3iUiuxX5JXC7HVSO724HlcPA20HlaPF2UO8HTTcKHceft2p6cOuWiFtvx1QS9t5qUBId3w7qPoLo20HlWPt2UDkkvx3UvaDpjVBvpyokF3C7ppwyuFVTySzcriknIG7VFLjesqmkNG7XlDMft2u6jwTJrWZL8ii3g7p7+6bA9XY8IAmc2zXlPM+tmu7dvqlkjm7VFAJzy6aSi7pVUwxr/3bsIpmtW00sN70du0ie7FZNGddb8gAybrfjAUnO3a4p5/BuRwGk8W43W+DX+7ebLUkc3qoptPb92wm3pCFv1RQJyttNluQ0b0Urbnq7yZIM6a2aYlC3E0JJtd6uKWdkbzUqbno7ceGm0QngH+rg3zXZcfq1lzm/69LqyeO7lOw/Sv4fMkNrAAgYAAA=</t>
  </si>
  <si>
    <t>Paclitaxel</t>
  </si>
  <si>
    <t>Prostaglandin E1</t>
  </si>
  <si>
    <t>C1CC1NC2=NC(=NC3=C2N=CN3C4CC(C=C4)CO)N.C1CC1NC2=NC(=NC3=C2N=CN3C4CC(C=C4)CO)N.OS(=O)(=O)O</t>
  </si>
  <si>
    <t>83A2F3D006AE8E1BBBE41294BFDCCF07</t>
  </si>
  <si>
    <t>JChemExcel1xEAAB+LCAAAAAAABADtvQdgHEmWJSYvbcp7f0r1StfgdKEIgGATJNiQQBDswYjN5pLsHWlHIymrKoHKZVZlXWYWQMztnbz33nvvvffee++997o7nU4n99//P1xmZAFs9s5K2smeIYCqyB8/fnwfPyIe/x7vFmV6mddNUS0/+2h3vPPR73H0eOp/djLPF8fvqmV6XpR5el7Vi6xNL++Pd3fGO6P0Il/mddbms3RynV6OX5y+Sb+Zf6iD3fG9j46Sx188rabrRb5sjx5/AWSKaVa+buv1lD5YVGU+XRNe9MvZ088+Wux+dPQ4a6vFcV1n1yl+w8fZbprtpdm9NNtPs/tp9mmaPUizgzR7mGa7O/R/+n6XGuxSi11qskttdqnRLrXapWa71G6P2u0BDrXbo3Z71G6P2u1Ruz1qt0ft9qjdPWp3j9rdQ4fU7h61u0ft7lG7e9TuHrW7R+32qd0+tdundvvAjNrtU7t9arf/4KM0L3MM+s31KqdJSPHfC+///m/mvy/t37dp+WX6mv5P/32Uvtv77KN7492Dhw/2Pn24u7t/7+HOp5+m98YP7/ufPEj3xvu74SfEMQef7uw/eHDw8NPd3Z17RL3uR0Ss7nuf9j+KgtreGe/tP/j03u69e3t7uw92du4NfLY7frC7t3f/4N6nD+7t7t7f39lNt/fGn+4+2Kem9+8fUF/7D+8Ptds9ONjd379/7+DT/QMaMrfbO9h7eP/+3v2d3d2D+/d39vrtHjxIt++NP72/9+DB7v0H9x7s39t/SBPY++x+H797BzKOnfs0/J1P93YJ7gMiBpH8wf17+zuf7tDgPn2wS93u7o8ffLpH7957+Ck1JMrt3h/fvxd+QjP10P9kN92l0d8/uL//6d6D/QcP72FQvY8eRF+8HSySzb39A0Lx/t5DIvCnkU8ejmk694jEuw8OMJT99IAY6v7O/R0iLQZJE9xv83BMxLlHve9/ev/ePeKHlBTNHpF7nxjp/s6n1PZer9Gn6YPxw4CdHkY+6XYmSH9KY3uwv3dvZ2eX+A/Uvbd3/+HO/v3dg/19osH9lBQd/39vvLe3s79POD0kviAGPN0mJbE7lgm+v/9Rek1y9Cmx8cOdvYOdvXufPiTWIV1CU3ifppU+3j14sHOftEr/EyL7gf/JfZa2/c5Hu+NPHwTv7RNmu/eCj0jJEG99eo9os7vz8GB37+H+wb1es08ffNqD9il1uXt/F3R+cG9vB3NN7z3cCdow59L03b8H4u5/+ikN9j6LzAF/fY9I9ylI/ilEgT6iCd9/cP/g4cEBi8z+mPjjIZF9/wFRiASF2x3s+e0ggkTtg+5n90kWdu9/eu/Tg71793YOoCFAbiLDg08PPt0lHD/d6w+etPOPJuX/hZOyTYplb99rd/8hfbYzfrDjv5tuPxzvfhp+EmnU+4gcgbvWEzh6PKmWM+9Xdg1e5efNnnoHH6VVPctr8oHwIppEGsKk36rh7m0bwvDfqiEcl1s1hHtjG+5taAgn6FYQ4SrdCiIcqltBZLfrViDvBy03kpz9uNs1ZXfvVv2LV3grqA9v3VLczNs1ZW/0dk3Zab1dU/Ztb9eUXeDb0Wo/aHojArfjFfG9b9UUXvjtOECc+Ns1ZV//dk33bt90H9HD7ZpykHG7phyL3GqyJGS5HVSObG4HlQOgW0GVOOl2UD8Nmm6EypHX7ZpygHYrBCSOux3Unds33UdkeLumHEDerinHmbdryuHo7Zpy1Ho7Yt0Pmt6EwP7t2EXC5Vs1Bb/u344HJPC+XdN9xOe3ogA3vZ0R5qbR2eIf6rHcNXkO+rWXA7nrEiTJ47uUuzlK/h/TWSLe1xEAAA==</t>
  </si>
  <si>
    <t>(±)-Baclofen</t>
  </si>
  <si>
    <t>(3S)-3,6-diamino-N-[[(2S,5S,8E,11S,15S)-15-amino-11-[(6R)-2-amino-1,4,5,6-tetrahydropyrimidin-6-yl]-8-[(carbamoylamino)methylidene]-2-(hydroxymethyl)-3,6,9,12,16-pentaoxo-1,4,7,10,13-pentazacyclohexadec-5-yl]methyl]hexanamide;(3S)-3,6-diamino-N-[[(2S,5S,8E,11S,15S)-15-amino-11-[(6R)-2-amino-1,4,5,6-tetrahydropyrimidin-6-yl]-8-[(carbamoylamino)methylidene]-2-methyl-3,6,9,12,16-pentaoxo-1,4,7,10,13-pentazacyclohexadec-5-yl]methyl]hexanamide;sulfuric acid</t>
  </si>
  <si>
    <t>CC1C(=O)NC(C(=O)NC(=CNC(=O)N)C(=O)NC(C(=O)NCC(C(=O)N1)N)C2CCN=C(N2)N)CNC(=O)CC(CCCN)N.C1CN=C(NC1C2C(=O)NCC(C(=O)NC(C(=O)NC(C(=O)NC(=CNC(=O)N)C(=O)N2)CNC(=O)CC(CCCN)N)CO)N)N.OS(=O)(=O)O.OS(=O)(=O)O</t>
  </si>
  <si>
    <t>CE8EFAF11112F3A5A7DC1D111DBC005D</t>
  </si>
  <si>
    <t>JChemExcelBCQAAB+LCAAAAAAABADtvQdgHEmWJSYvbcp7f0r1StfgdKEIgGATJNiQQBDswYjN5pLsHWlHIymrKoHKZVZlXWYWQMztnbz33nvvvffee++997o7nU4n99//P1xmZAFs9s5K2smeIYCqyB8/fnwfPyIe/x7vFmV6mddNUS0/+2h3vPPR73H0eOp/djLPF8fvqmV6XpR5el7Vi6xNL++Pd3fGO6P0Il/mddbms3RynV6OX5y+Sfkf+n53fO+jo+TxF0+r6XqRL9ujx18AVjHNytdtvZ7SB4uqzKdrAku/nD397KPF7kdHj7O2WhzXdXad4jd8nO2m2V6a3Uuz/TS7n2afptmDNDtIs4dptrtD/6fvd6nBLrXYpSa71GaXGu1Sq11qtkvt9qjdHuBQuz1qt0ft9qjdHrXbo3Z71G6P2t2jdveo3T10SO3uUbt71O4etbtH7e5Ru3vUbp/a7VO7fWq3D8yo3T6126d2+9Run9rtU7v71O4+tbtP7e5Tu/sYArW7T+3uU7v71O4+tfuU2n1K7T6ldp9Su0+p3acYK7X7lNp9Su0+pXYPqN0DaveA2j2gdg+o3QNq9wBEoXYPqN0DandA7Q6o3QG1O6B2B9TugNodULsDUI/aHVC7h9TuIbV7SO0eUruH1O4htXtI7R5Su4cgM9MZhN4BpXdA6p17H6V5mWNi31yvcuKTFP99mb4Ifr6wv3e/kd/M7y/4/y/0ty/10xP7qWkR9tKHOtRvHKpg8GX6mv4v/+lvH6Xv9j77aGe8v3f//sHOvfsPdh/e39/do4neHT+4/3Dv/sP9Bw8f3KdPiZfujXce7j28d3D/4X35KN2nFz/9dPfBg92DezsH+0TbfpsuIGJU29+n96TRXrpNnz14+OnOwcO9/QcPDvbvE2/QZw93DnYeHjygFvsHO/s0z9t747196vDBwacH8ln0I/vm/qf7ezs7u3s+NO+z/qsWtwf396n5HsnF9r0xDYZQeniwbzqIfLRP8B/u3vuUOIg/Iq6OftZ99YGPxu6nD3fv7zy4odWB+ahLoQf3+sT9tP8ZCX5vfu9HoW1/Sp3uHezSJ3v0yX2iXrr9gHD7dP/h/r39ew939ndJBW0fjB+S0Dy4t//pp/uf7nxKEu999ODh7oNPScC9Fz892D3YJX3jwSdW2r3/MGh1sEe4kcbp8dC+ZbRPd3bvP3hIODtmpDnDzHnsaT+5P37w6c7ew0+JwfbufbpDJE4fEKB7BPbhpw92Pt2n39MDeu3Bp/fv7xwcEDvukrZ8SK/t3ru3v7e782BvZ5coSlp/5+H9Hfrw3t59YkxSHbt79N7Bp8TA9/fvPfiU4Pdg76Z7O+NPdx4+2HtIU7h3b/cekXj34Zi626FZ38FwiCi7D8YP6dsHuzRlhOK9Hf+jB0TK3T1Sc/Y94pGde3v3iGs86Lv3iPT3073dMQhJcrW/++nBAWl17xN6+eE+XiMTtku975Nw3jvYJ9zTvXsE/AFRYOfTA0wLqfu9/THx8YNPSdg/PdjZDT8hlbFDWmPvPgGn59N7Ozv82n6694AgHewSlWi8D4ivvFY0E3v7+w+JgVwrmm8CRaZq79Pxp/sPdvZ2P31wj+hHCnrvgPrbBRuiM2r0qQeKuHaHyO8h9elD0ICMlRsM8SLpmJ1P+x/teYTZOyCq7z30qXdvj0hAttJRmCzDwUOyQu4Tbka2yU3MwafMCN7sfXqfvgqa0PAf7gWA9xmhA3+C9/aEJK4RaRWarPhwHXl3d4lWBz519x5SG3IYYh858u5jggnSQ4JE7H3v0/ufErR94rp7u/Qezdgea2loivTe3pg5cvchabmD+2Tx792j92ioZEL3dknMH6b37o9Jf0Dtks7YhwRFYHsIEE9/SmbZa0QU+dSfyvsk8zQD6S6xyY4ndvuk7Xb4/6QviWzE5WSY7u+QsJ1uE6ftjsk12eZ/STz9fw7G5KTcH9//KL3eYx+RRI0ovXdwjwZHSo1ehXDgIxLnTz+9D1G1reSjfa/RfdgF0nRs3IgNdnYPaOpIY+yTA0QY7N3zP7vP6rzXbmf84ODefTICZAh2SFj3GPmbX72PhntjmhH/QzZ50IfeZ7BS93Y7H90f7xz4Hw19FkOl18MAel3aUbsuhe/DEenNw73xvYOA6Puk6kkzBvNwq0b3x8Rlfn+x16JIhZN8AOYweIIRaap8fiHM6Z97Pnj5KMBKXtz1Ggl00ikOUWm0FyczeQ37AQPFm8VmrftqlFdu267fbJ/ZMWwWZ2XSFKSVSO3tki7ZJ7eDPnn4kD+B/SW1Q76KbQQzTqrqgIj26YH/CbQHeSD+e/uukYH9qWu0S7aXjNY9uA335RMyOvfuQe3cHx98urf3KRqRz0Ea3fYPdUzzd+C9dQ8a2+9eO4PFHBNmjBFxw8NP9yny6iB57z7cNdL6/BFpuE8PyDJDgHY/pUHtk+9CXtGD3V04iaTF7t0nA0KofXpv/+EDeE/khTyQhp+CCx+yg2w+2iMLT/YObz7Y8Vvd91vd32HSPIBmYFLazx74bzIiO/dZvylyhO+DfbKCB+Jv35MPybEjBUNRoutDP2NGIReAPyLCwWvxW+2QTSU/jHUU7I3fzFFJaInowCHy6b2HNNNkyBzNyfsgK0HBsevTjd6N1H7UaxWj273+q5/GX/1mm/UQ+dQjyEPyvDv0YKqR5b7v0YPUCfH8nicDNCtkKsmqUwe78Mw90aSRkh8c2JN9ePm7oWKPtop89LMLn/Ird22C5ejxpFrOvF854/IqP2/2NOnyUVrVs7wmq48X0STSEJmSWzVEmsQ23Nvc8P6tICJBcquGyI7cqiFSI7fCEbmRW0Hk5MmtWkou61a9S8orgIo2r9u8zqt0Wi0vKTHD+bsvnj7/yPvgJ7NyTdmafQNb3tjQEefVboc+p99uhz6a3m6KmSi3m2TJ+d0OATR1E70RKmcQb9eUE423air5yFvhyk1vKYqc3bxdU06C3q4p50pv15RTqrcbFpreTij3bt8SqN5yXjFZt5tXSQzfqqnkj2/XlNPMt2vK2ehbkVWS1reCysO6XVOGejsWQKL8dvIqOfXbNeXU++2acob+drRCkv528yr5/ts15WWB2zXl1YPbNeVFhts13cdaxO2aAtfbzZasatyuKS9+3K4pr5HcarZkKeVWUGXF5VZNMaxbNpU1nNs15aWe2zXdx4rQ7SiAprebLVlful1TXoa6XVNerbpdU17Uut2w0PR2EytLZLdryitpt2vKC263wpWb3k62ZPnudk15le92TXkx8Ha4ountZkuWFm/VVFYgb4WALFQGUNHmdftNe6myGno79HnR9Hboo+nt5pqJcru5lpXa2yGApreUzHu3bgpmeyBscSOuvJJ8q6ay4Hy7prwufSsKcNPbTaysct+u6T4Ww2/XlNfMb9eUl9Zv15RX4G/XFLjebrag8R7ebrZk2f9WTaHzH95O5cJCP7zdbD2kYT283RRQbiZ7eLuYgpveTra46e2m4CGH8LcjLLVD49vpR218O1HQxlHy8g9N5NxdVGU+XZc5/frFyTxfFNOsfN3W62mLT55W0/WCtOxR8vjudFEeJf8POIYOpAQkAAA=</t>
  </si>
  <si>
    <t>4-(2-aminoethyl)benzene-1,2-diol;hydrochloride</t>
  </si>
  <si>
    <t>(2Z,4E,6E,8E)-3,7-dimethyl-9-(2,6,6-trimethylcyclohexen-1-yl)nona-2,4,6,8-tetraenoic acid</t>
  </si>
  <si>
    <t>CC1=C(C(CCC1)(C)C)/C=C/C(=C/C=C/C(=C\C(=O)O)/C)/C</t>
  </si>
  <si>
    <t>BA39B1AA579F70EEA908AC5E0D563800</t>
  </si>
  <si>
    <t>JChemExcel9ggAAB+LCAAAAAAABADtvQdgHEmWJSYvbcp7f0r1StfgdKEIgGATJNiQQBDswYjN5pLsHWlHIymrKoHKZVZlXWYWQMztnbz33nvvvffee++997o7nU4n99//P1xmZAFs9s5K2smeIYCqyB8/fnwfPyIe/x7vFmV6mddNUS0/+2h3vPPR73H0eOp/djLPF8fvqmV6XpR5el7Vi6xNL++Pd3fGO6P0Il/mddbms3RynV6OX5y+Sd0/1Gh3fO+jo+TxF0+r6XqRL9ujx18AYDHNytdtvZ7SB4uqzKdrgk2/nD397KPF7kdHj7O2WhzXdXad4jd8nO2m2V6a3Uuz/TS7n2afptmDNDtIs4dptrtD/6fvd6nBLrXYpSa71GaXGu1Sq11qtkvt9qjdHuDsfZTmZQ6E3lyvchpkevN/X9J/9POj9N3eZx9t08Du3fv0wcPdvd2DvYOde5+m9NHOpw939u7d29/beYD/9k+3CYPtvfGnO/sPHt5/sPvw3sNP9/f25fMuhPv3Umr56YN79w/29u99ev9TAnG/91Hvtf1P053xp7vU9d7D3fu79x48+PQeXtu5/+mnn96/t3dwf/fg3s5B2sP4/n1GLYC+m27vj3d2dnfuPaAP9g/2CW66fZ/e3H+w++n+wYN79Pb+Xrr9Kb14cO8hvfNwd39n9wHBP6AXaeD7D+7tPPz0YI/mYfshvXj/wf17B/f3Hjz8dG8fWBCynz7cv7f38ME+fbJ3sB/5bK//KuhLg9q5t7u7R/D37+/do1mN9dAbwEfpNWZsZ/zg04fec3CfaLm7/5Caold66d6DT2lm8PH9e37Lh/tETxqV/3waa7V9j9AhkuzsHBAZHhw8fCAc0O364f30Hob84B5N2j0iG6jW/+hWvX56q1a3G8HtYH0KGu/tPnywu39w//69XeKfe/cGBsofPdjxn10a6MF+2Kr3CamAu1YHHD2eVMuZ9ysrhVf5ebOneuGjtKpneU0aDC+iSaQhtIdtuLehIXTMrSBCE92qIfTVrRpCq92q4d5tGxKOB7dt+PBWDaFgd27VUvRyQHO0ed3mdV4dvZH39K9hIKzYb9cf6/8P7Y8NyO36Yzvzof2xobpdf2zPhvo7uWV/bBBv1x/bzVvJDJru3ZIrPoUVvl3TPTHW/ab8Q1XCXeNC0K899+Ku8z2Sx3fJtTlK/h8CmnG29ggAAA==</t>
  </si>
  <si>
    <t>Miconazole nitrate</t>
  </si>
  <si>
    <t>1-[2-(2,4-dichlorophenyl)-2-[(2,4-dichlorophenyl)methoxy]ethyl]imidazole;nitric acid</t>
  </si>
  <si>
    <t>C1=CC(=C(C=C1Cl)Cl)COC(CN2C=CN=C2)C3=C(C=C(C=C3)Cl)Cl.[N+](=O)(O)[O-]</t>
  </si>
  <si>
    <t>21160B391A77BE2BD3E88722D78EFB7D</t>
  </si>
  <si>
    <t>JChemExcelZQsAAB+LCAAAAAAABADtvQdgHEmWJSYvbcp7f0r1StfgdKEIgGATJNiQQBDswYjN5pLsHWlHIymrKoHKZVZlXWYWQMztnbz33nvvvffee++997o7nU4n99//P1xmZAFs9s5K2smeIYCqyB8/fnwfPyIe/x7vFmV6mddNUS0/+2h3vPPR73H0eOp/djLPF8fvqmV6XpR5el7Vi6xNL++Pd3fGO6P0Il/mddbms3RynV6OX5y+STv/UMvd8b2PjpLHXzytputFvmyPHn8BqMU0K1+39XpKHyyqMp+uqQP65ezpZx8tdj86epy11eK4rrPrFL/h42w3zfbS7F6a7afZ/TT7NM0epNlBmj1Ms90d+j99v0sNdqnFLjXZpTa71GiXWu1Ss11qt0ft9gCH2u1Ruz1qt0ft9qjdHrXbo3Z7Dz9K8zIHsm+uVzlRIfX+K/l/6Zf81wvv326bF9SG/vtIyFaezLP6goDtpO/73y7/u737Ufpu77OPtvfGD+/t7zzc3/n0YGdv99MHDz6l78af7uzs7+4/3P909+G9T/dpGL3PiAy9dz+9l27vj/cIyIN7uwcPD/YfPiAK9j6iVvcJ2u7+/b17u+jywf4AsB1689MH9+4f7O3f+/T+pzufotfeh5+mxGyffvpw/97ewwf7n+4Rvg/SvfH+zs6ne3v7uw/3Hu7sf7q/H/vo3vjT/U/v7xzcf0hfPDg42KNPdh8EjQj4p/e6n+ze339wj3p68PD+vZ19fHIjAsQTkY+6L376sD/ABw/3Ix/u3O+/TNg/uLd/b4fQ293dJWIf3EsfjvfCj1KI247/0YPYRw/GAO2991F6TQyzP753cPDg4cP793d39h7cJ3yJhrveJw92aZw7D/xPdqiD8b0d/6NuG+qrCwgfdXqT2b+3u0fI7h88fEBjfvjgfg/4rtAraHdwwIy9sxN8GGu4v9cHiLnb27338ODg4B59+oCoSNg+OPh09/4B0f7+3v3dT3kAwUcP7vVe2wWjE0n9EaTb98YkCN5HEML98cH9AC+Wmr3OR91WD+LAHox3P+0066LBMr5L4927t7NH7HR/9/6n90+3d8Gj9+7d+/TBw9293YO9g517mIbeZ/eGXifle9dq36PHk2o5835ldfwqP2/2VCN/lFb1LK8/+2gPL6JJpCH0tm24u6EhtPutIMIG3AoiLMWtIO76DTdBhOG5VUPC8eBWDWnUD2/VkE3drVqKRbxdUzact2vK9vV2TdkM364pW+vbTRIb9dtBZdt/O6j3gqY3Eut2sypOx+0QYN/kVlDFhbkVVPF0bgeVHaJbQcWwvKYboQKBW/IAKHA7iRZn7Va4ctPbzRY3jUoh/1AVeNc4q/Rrz5G967zc5PFd8qSPkv8HC7ATqGULAAA=</t>
  </si>
  <si>
    <t>22832-87-7</t>
  </si>
  <si>
    <t>85650-52-8</t>
  </si>
  <si>
    <t>Pravastatin sodium</t>
  </si>
  <si>
    <t>Quinidine hydrochloride monohydrate</t>
  </si>
  <si>
    <t>Rabeprazole . Sodium</t>
  </si>
  <si>
    <t>871038-72-1</t>
  </si>
  <si>
    <t>EI240</t>
  </si>
  <si>
    <t>A190</t>
  </si>
  <si>
    <t>DL567</t>
  </si>
  <si>
    <t>A195</t>
  </si>
  <si>
    <t>DL568</t>
  </si>
  <si>
    <t>A240</t>
  </si>
  <si>
    <t>A249</t>
  </si>
  <si>
    <t>A275</t>
  </si>
  <si>
    <t>A280</t>
  </si>
  <si>
    <t>AC105</t>
  </si>
  <si>
    <t>AC109</t>
  </si>
  <si>
    <t>AC121</t>
  </si>
  <si>
    <t>AC122</t>
  </si>
  <si>
    <t>AC124</t>
  </si>
  <si>
    <t>AC125</t>
  </si>
  <si>
    <t>AC130</t>
  </si>
  <si>
    <t>AC146</t>
  </si>
  <si>
    <t>AC153</t>
  </si>
  <si>
    <t>AC164</t>
  </si>
  <si>
    <t>DL564</t>
  </si>
  <si>
    <t>AC169</t>
  </si>
  <si>
    <t>AC172</t>
  </si>
  <si>
    <t>AC176</t>
  </si>
  <si>
    <t>AC181</t>
  </si>
  <si>
    <t>AC185</t>
  </si>
  <si>
    <t>AC192</t>
  </si>
  <si>
    <t>AR111</t>
  </si>
  <si>
    <t>AC218</t>
  </si>
  <si>
    <t>AC232</t>
  </si>
  <si>
    <t>AC238</t>
  </si>
  <si>
    <t>AC250</t>
  </si>
  <si>
    <t>AC280</t>
  </si>
  <si>
    <t>DL555</t>
  </si>
  <si>
    <t>AC322</t>
  </si>
  <si>
    <t>DL560</t>
  </si>
  <si>
    <t>AC501</t>
  </si>
  <si>
    <t>AC615</t>
  </si>
  <si>
    <t>DL561</t>
  </si>
  <si>
    <t>AC729</t>
  </si>
  <si>
    <t>AC735</t>
  </si>
  <si>
    <t>AC748</t>
  </si>
  <si>
    <t>AC753</t>
  </si>
  <si>
    <t>AC758</t>
  </si>
  <si>
    <t>AC763</t>
  </si>
  <si>
    <t>AC765</t>
  </si>
  <si>
    <t>AC766</t>
  </si>
  <si>
    <t>AC808</t>
  </si>
  <si>
    <t>DL557</t>
  </si>
  <si>
    <t>AC813</t>
  </si>
  <si>
    <t>AC814</t>
  </si>
  <si>
    <t>AC840</t>
  </si>
  <si>
    <t>AC893</t>
  </si>
  <si>
    <t>AC911</t>
  </si>
  <si>
    <t>AC925</t>
  </si>
  <si>
    <t>AC986</t>
  </si>
  <si>
    <t>AC993</t>
  </si>
  <si>
    <t>DL247</t>
  </si>
  <si>
    <t>DL248</t>
  </si>
  <si>
    <t>DL249</t>
  </si>
  <si>
    <t>DL250</t>
  </si>
  <si>
    <t>DL251</t>
  </si>
  <si>
    <t>DL252</t>
  </si>
  <si>
    <t>DL254</t>
  </si>
  <si>
    <t>DL255</t>
  </si>
  <si>
    <t>DL257</t>
  </si>
  <si>
    <t>G226</t>
  </si>
  <si>
    <t>DL572</t>
  </si>
  <si>
    <t>DL261</t>
  </si>
  <si>
    <t>DL262</t>
  </si>
  <si>
    <t>DL208</t>
  </si>
  <si>
    <t>DL191</t>
  </si>
  <si>
    <t>DL178</t>
  </si>
  <si>
    <t>DL264</t>
  </si>
  <si>
    <t>DL101</t>
  </si>
  <si>
    <t>DL200</t>
  </si>
  <si>
    <t>DL212</t>
  </si>
  <si>
    <t>DL209</t>
  </si>
  <si>
    <t>DL217</t>
  </si>
  <si>
    <t>AP302</t>
  </si>
  <si>
    <t>AR102</t>
  </si>
  <si>
    <t>AR103</t>
  </si>
  <si>
    <t>AR112</t>
  </si>
  <si>
    <t>B100</t>
  </si>
  <si>
    <t>DL269</t>
  </si>
  <si>
    <t>DL273</t>
  </si>
  <si>
    <t>DL573</t>
  </si>
  <si>
    <t>PG007</t>
  </si>
  <si>
    <t>DL277</t>
  </si>
  <si>
    <t>DL278</t>
  </si>
  <si>
    <t>C110</t>
  </si>
  <si>
    <t>CA202</t>
  </si>
  <si>
    <t>CA234</t>
  </si>
  <si>
    <t>CA236</t>
  </si>
  <si>
    <t>DL281</t>
  </si>
  <si>
    <t>DL574</t>
  </si>
  <si>
    <t>D102</t>
  </si>
  <si>
    <t>D107</t>
  </si>
  <si>
    <t>DM200</t>
  </si>
  <si>
    <t>EI107</t>
  </si>
  <si>
    <t>EI121</t>
  </si>
  <si>
    <t>EI125</t>
  </si>
  <si>
    <t>EI126</t>
  </si>
  <si>
    <t>EI127</t>
  </si>
  <si>
    <t>EI128</t>
  </si>
  <si>
    <t>EI164</t>
  </si>
  <si>
    <t>EI168</t>
  </si>
  <si>
    <t>EI206</t>
  </si>
  <si>
    <t>EI217</t>
  </si>
  <si>
    <t>DL577</t>
  </si>
  <si>
    <t>EI265</t>
  </si>
  <si>
    <t>EI288</t>
  </si>
  <si>
    <t>EI292</t>
  </si>
  <si>
    <t>EI318</t>
  </si>
  <si>
    <t>EI320</t>
  </si>
  <si>
    <t>G244</t>
  </si>
  <si>
    <t>DL282</t>
  </si>
  <si>
    <t>GR243</t>
  </si>
  <si>
    <t>GR307</t>
  </si>
  <si>
    <t>GR311</t>
  </si>
  <si>
    <t>GR314</t>
  </si>
  <si>
    <t>GR319</t>
  </si>
  <si>
    <t>DL578</t>
  </si>
  <si>
    <t>DL284</t>
  </si>
  <si>
    <t>GR240</t>
  </si>
  <si>
    <t>DL288</t>
  </si>
  <si>
    <t>DL547</t>
  </si>
  <si>
    <t>DL294</t>
  </si>
  <si>
    <t>DL295</t>
  </si>
  <si>
    <t>DL297</t>
  </si>
  <si>
    <t>KC120</t>
  </si>
  <si>
    <t>KC125</t>
  </si>
  <si>
    <t>DL298</t>
  </si>
  <si>
    <t>DL579</t>
  </si>
  <si>
    <t>DL299</t>
  </si>
  <si>
    <t>DL172</t>
  </si>
  <si>
    <t>DL300</t>
  </si>
  <si>
    <t>DL144</t>
  </si>
  <si>
    <t>DL102</t>
  </si>
  <si>
    <t>DL302</t>
  </si>
  <si>
    <t>DL199</t>
  </si>
  <si>
    <t>DL192</t>
  </si>
  <si>
    <t>DL155</t>
  </si>
  <si>
    <t>DL166</t>
  </si>
  <si>
    <t>DL546</t>
  </si>
  <si>
    <t>IM101</t>
  </si>
  <si>
    <t>DL103</t>
  </si>
  <si>
    <t>DL219</t>
  </si>
  <si>
    <t>DL213</t>
  </si>
  <si>
    <t>DL202</t>
  </si>
  <si>
    <t>GR111</t>
  </si>
  <si>
    <t>DL167</t>
  </si>
  <si>
    <t>DL194</t>
  </si>
  <si>
    <t>DL196</t>
  </si>
  <si>
    <t>DL197</t>
  </si>
  <si>
    <t>DL310</t>
  </si>
  <si>
    <t>DL198</t>
  </si>
  <si>
    <t>DL187</t>
  </si>
  <si>
    <t>NP461</t>
  </si>
  <si>
    <t>DL210</t>
  </si>
  <si>
    <t>T117</t>
  </si>
  <si>
    <t>DL316</t>
  </si>
  <si>
    <t>DL317</t>
  </si>
  <si>
    <t>DL318</t>
  </si>
  <si>
    <t>DL320</t>
  </si>
  <si>
    <t>PR123</t>
  </si>
  <si>
    <t>DL321</t>
  </si>
  <si>
    <t>DL565</t>
  </si>
  <si>
    <t>GR341</t>
  </si>
  <si>
    <t>DL325</t>
  </si>
  <si>
    <t>DL327</t>
  </si>
  <si>
    <t>AC166</t>
  </si>
  <si>
    <t>DL332</t>
  </si>
  <si>
    <t>DL335</t>
  </si>
  <si>
    <t>DL336</t>
  </si>
  <si>
    <t>DL337</t>
  </si>
  <si>
    <t>DL339</t>
  </si>
  <si>
    <t>DL341</t>
  </si>
  <si>
    <t>DL347</t>
  </si>
  <si>
    <t>DL348</t>
  </si>
  <si>
    <t>DL349</t>
  </si>
  <si>
    <t>DL352</t>
  </si>
  <si>
    <t>DL353</t>
  </si>
  <si>
    <t>T115</t>
  </si>
  <si>
    <t>NS112</t>
  </si>
  <si>
    <t>DL357</t>
  </si>
  <si>
    <t>DL360</t>
  </si>
  <si>
    <t>AC1290</t>
  </si>
  <si>
    <t>DL363</t>
  </si>
  <si>
    <t>AC1386</t>
  </si>
  <si>
    <t>DL366</t>
  </si>
  <si>
    <t>DL370</t>
  </si>
  <si>
    <t>DL371</t>
  </si>
  <si>
    <t>DL372</t>
  </si>
  <si>
    <t>DL154</t>
  </si>
  <si>
    <t>DL374</t>
  </si>
  <si>
    <t>DL375</t>
  </si>
  <si>
    <t>DL376</t>
  </si>
  <si>
    <t>DL378</t>
  </si>
  <si>
    <t>DL379</t>
  </si>
  <si>
    <t>DL204</t>
  </si>
  <si>
    <t>DL381</t>
  </si>
  <si>
    <t>PI152</t>
  </si>
  <si>
    <t>DL386</t>
  </si>
  <si>
    <t>BL093</t>
  </si>
  <si>
    <t>BL090</t>
  </si>
  <si>
    <t>DL390</t>
  </si>
  <si>
    <t>DL392</t>
  </si>
  <si>
    <t>DL395</t>
  </si>
  <si>
    <t>DL396</t>
  </si>
  <si>
    <t>DL400</t>
  </si>
  <si>
    <t>DL581</t>
  </si>
  <si>
    <t>DL403</t>
  </si>
  <si>
    <t>DL404</t>
  </si>
  <si>
    <t>DL406</t>
  </si>
  <si>
    <t>DL407</t>
  </si>
  <si>
    <t>DL410</t>
  </si>
  <si>
    <t>DL411</t>
  </si>
  <si>
    <t>DL414</t>
  </si>
  <si>
    <t>DL416</t>
  </si>
  <si>
    <t>DL419</t>
  </si>
  <si>
    <t>DL420</t>
  </si>
  <si>
    <t>DL422</t>
  </si>
  <si>
    <t>DL423</t>
  </si>
  <si>
    <t>DL425</t>
  </si>
  <si>
    <t>DL427</t>
  </si>
  <si>
    <t>DL430</t>
  </si>
  <si>
    <t>DL434</t>
  </si>
  <si>
    <t>DL436</t>
  </si>
  <si>
    <t>DL438</t>
  </si>
  <si>
    <t>DL439</t>
  </si>
  <si>
    <t>DL440</t>
  </si>
  <si>
    <t>DL441</t>
  </si>
  <si>
    <t>DL442</t>
  </si>
  <si>
    <t>DL444</t>
  </si>
  <si>
    <t>DL445</t>
  </si>
  <si>
    <t>DL446</t>
  </si>
  <si>
    <t>DL447</t>
  </si>
  <si>
    <t>DL449</t>
  </si>
  <si>
    <t>T104</t>
  </si>
  <si>
    <t>DL454</t>
  </si>
  <si>
    <t>DL455</t>
  </si>
  <si>
    <t>DL456</t>
  </si>
  <si>
    <t>DL458</t>
  </si>
  <si>
    <t>DL460</t>
  </si>
  <si>
    <t>DL462</t>
  </si>
  <si>
    <t>DL463</t>
  </si>
  <si>
    <t>DL464</t>
  </si>
  <si>
    <t>DL465</t>
  </si>
  <si>
    <t>DL468</t>
  </si>
  <si>
    <t>NS710</t>
  </si>
  <si>
    <t>DL472</t>
  </si>
  <si>
    <t>DL474</t>
  </si>
  <si>
    <t>DL476</t>
  </si>
  <si>
    <t>DL479</t>
  </si>
  <si>
    <t>DL481</t>
  </si>
  <si>
    <t>DL483</t>
  </si>
  <si>
    <t>DL485</t>
  </si>
  <si>
    <t>DL486</t>
  </si>
  <si>
    <t>DL489</t>
  </si>
  <si>
    <t>DL490</t>
  </si>
  <si>
    <t>DL491</t>
  </si>
  <si>
    <t>DL492</t>
  </si>
  <si>
    <t>DL566</t>
  </si>
  <si>
    <t>DL494</t>
  </si>
  <si>
    <t>ST405</t>
  </si>
  <si>
    <t>DL504</t>
  </si>
  <si>
    <t>DL508</t>
  </si>
  <si>
    <t>DL510</t>
  </si>
  <si>
    <t>DL160</t>
  </si>
  <si>
    <t>DL511</t>
  </si>
  <si>
    <t>DL513</t>
  </si>
  <si>
    <t>DL514</t>
  </si>
  <si>
    <t>DL516</t>
  </si>
  <si>
    <t>DL519</t>
  </si>
  <si>
    <t>DL521</t>
  </si>
  <si>
    <t>DL582</t>
  </si>
  <si>
    <t>DL523</t>
  </si>
  <si>
    <t>DL525</t>
  </si>
  <si>
    <t>DL527</t>
  </si>
  <si>
    <t>DL528</t>
  </si>
  <si>
    <t>NA139</t>
  </si>
  <si>
    <t>NH106</t>
  </si>
  <si>
    <t>NS140</t>
  </si>
  <si>
    <t>NS145</t>
  </si>
  <si>
    <t>DL562</t>
  </si>
  <si>
    <t>NS835</t>
  </si>
  <si>
    <t>DL583</t>
  </si>
  <si>
    <t>PG006</t>
  </si>
  <si>
    <t>PG051</t>
  </si>
  <si>
    <t>PI146</t>
  </si>
  <si>
    <t>PI153</t>
  </si>
  <si>
    <t>DL584</t>
  </si>
  <si>
    <t>S510</t>
  </si>
  <si>
    <t>S515</t>
  </si>
  <si>
    <t>DL533</t>
  </si>
  <si>
    <t>DL534</t>
  </si>
  <si>
    <t>DL535</t>
  </si>
  <si>
    <t>SL230</t>
  </si>
  <si>
    <t>DL104</t>
  </si>
  <si>
    <t>DL107</t>
  </si>
  <si>
    <t>DL585</t>
  </si>
  <si>
    <t>DL234</t>
  </si>
  <si>
    <t>DL136</t>
  </si>
  <si>
    <t>AC2300</t>
  </si>
  <si>
    <t>AC3000</t>
  </si>
  <si>
    <t>AC2310</t>
  </si>
  <si>
    <t>AC2003</t>
  </si>
  <si>
    <t>AC2337</t>
  </si>
  <si>
    <t>AC3001</t>
  </si>
  <si>
    <t>AC3002</t>
  </si>
  <si>
    <t>AC3003</t>
  </si>
  <si>
    <t>AC3005</t>
  </si>
  <si>
    <t>AC3006</t>
  </si>
  <si>
    <t>AC589</t>
  </si>
  <si>
    <t>AC3009</t>
  </si>
  <si>
    <t>AC3010</t>
  </si>
  <si>
    <t>AC3012</t>
  </si>
  <si>
    <t>AC3013</t>
  </si>
  <si>
    <t>AC3014</t>
  </si>
  <si>
    <t>AC3015</t>
  </si>
  <si>
    <t>AC3016</t>
  </si>
  <si>
    <t>AC3017</t>
  </si>
  <si>
    <t>AC2011</t>
  </si>
  <si>
    <t>AC3019</t>
  </si>
  <si>
    <t>AC3020</t>
  </si>
  <si>
    <t>AC3021</t>
  </si>
  <si>
    <t>AC3022</t>
  </si>
  <si>
    <t>AC3024</t>
  </si>
  <si>
    <t>AC3025</t>
  </si>
  <si>
    <t>AC3026</t>
  </si>
  <si>
    <t>AC3027</t>
  </si>
  <si>
    <t>EA128</t>
  </si>
  <si>
    <t>AC3028</t>
  </si>
  <si>
    <t>AC3029</t>
  </si>
  <si>
    <t>AC3030</t>
  </si>
  <si>
    <t>AC1523</t>
  </si>
  <si>
    <t>AC3031</t>
  </si>
  <si>
    <t>AC3032</t>
  </si>
  <si>
    <t>AC3033</t>
  </si>
  <si>
    <t>RA121</t>
  </si>
  <si>
    <t>AC3034</t>
  </si>
  <si>
    <t>AC3035</t>
  </si>
  <si>
    <t>AC3036</t>
  </si>
  <si>
    <t>AC3037</t>
  </si>
  <si>
    <t>AC3038</t>
  </si>
  <si>
    <t>AC3039</t>
  </si>
  <si>
    <t>AC2606</t>
  </si>
  <si>
    <t>NP042</t>
  </si>
  <si>
    <t>AC3041</t>
  </si>
  <si>
    <t>AC3042</t>
  </si>
  <si>
    <t>AC3044</t>
  </si>
  <si>
    <t>AC3045</t>
  </si>
  <si>
    <t>AC3046</t>
  </si>
  <si>
    <t>AC3047</t>
  </si>
  <si>
    <t>AC3048</t>
  </si>
  <si>
    <t>AC3049</t>
  </si>
  <si>
    <t>AC3050</t>
  </si>
  <si>
    <t>AC3051</t>
  </si>
  <si>
    <t>AC3052</t>
  </si>
  <si>
    <t>AC3053</t>
  </si>
  <si>
    <t>AC3054</t>
  </si>
  <si>
    <t>AC3055</t>
  </si>
  <si>
    <t>AC3056</t>
  </si>
  <si>
    <t>AC3057</t>
  </si>
  <si>
    <t>BL053</t>
  </si>
  <si>
    <t>AC3059</t>
  </si>
  <si>
    <t>AC3060</t>
  </si>
  <si>
    <t>AC3061</t>
  </si>
  <si>
    <t>AC2325</t>
  </si>
  <si>
    <t>AC3062</t>
  </si>
  <si>
    <t>AC3063</t>
  </si>
  <si>
    <t>AC3064</t>
  </si>
  <si>
    <t>PD127</t>
  </si>
  <si>
    <t>AC3065</t>
  </si>
  <si>
    <t>AC3066</t>
  </si>
  <si>
    <t>AC2617</t>
  </si>
  <si>
    <t>AC3067</t>
  </si>
  <si>
    <t>AC3069</t>
  </si>
  <si>
    <t>AC572</t>
  </si>
  <si>
    <t>AC2327</t>
  </si>
  <si>
    <t>AC3071</t>
  </si>
  <si>
    <t>AC3072</t>
  </si>
  <si>
    <t>AC3073</t>
  </si>
  <si>
    <t>AC3074</t>
  </si>
  <si>
    <t>AC3075</t>
  </si>
  <si>
    <t>AC3076</t>
  </si>
  <si>
    <t>AC3077</t>
  </si>
  <si>
    <t>GR300</t>
  </si>
  <si>
    <t>A201</t>
  </si>
  <si>
    <t>AC3079</t>
  </si>
  <si>
    <t>AC3080</t>
  </si>
  <si>
    <t>AC1526</t>
  </si>
  <si>
    <t>AC3082</t>
  </si>
  <si>
    <t>R121</t>
  </si>
  <si>
    <t>AC3083</t>
  </si>
  <si>
    <t>AR119</t>
  </si>
  <si>
    <t>AC3084</t>
  </si>
  <si>
    <t>AC3085</t>
  </si>
  <si>
    <t>AC3086</t>
  </si>
  <si>
    <t>AC3087</t>
  </si>
  <si>
    <t>AC3088</t>
  </si>
  <si>
    <t>AC3089</t>
  </si>
  <si>
    <t>AC3091</t>
  </si>
  <si>
    <t>AC3092</t>
  </si>
  <si>
    <t>AC3094</t>
  </si>
  <si>
    <t>AC3095</t>
  </si>
  <si>
    <t>AC3096</t>
  </si>
  <si>
    <t>AC3098</t>
  </si>
  <si>
    <t>AC2000</t>
  </si>
  <si>
    <t>AC3099</t>
  </si>
  <si>
    <t>AC2001</t>
  </si>
  <si>
    <t>AC752</t>
  </si>
  <si>
    <t>AC3100</t>
  </si>
  <si>
    <t>AC3101</t>
  </si>
  <si>
    <t>AC2010</t>
  </si>
  <si>
    <t>AC2008</t>
  </si>
  <si>
    <t>AC3102</t>
  </si>
  <si>
    <t>AC3103</t>
  </si>
  <si>
    <t>AC3104</t>
  </si>
  <si>
    <t>AC3105</t>
  </si>
  <si>
    <t>AC2356</t>
  </si>
  <si>
    <t>AC3107</t>
  </si>
  <si>
    <t>AC3108</t>
  </si>
  <si>
    <t>AC3109</t>
  </si>
  <si>
    <t>AC3110</t>
  </si>
  <si>
    <t>AC3111</t>
  </si>
  <si>
    <t>AC1524</t>
  </si>
  <si>
    <t>AC3112</t>
  </si>
  <si>
    <t>AC3113</t>
  </si>
  <si>
    <t>AC3114</t>
  </si>
  <si>
    <t>AC2329</t>
  </si>
  <si>
    <t>AC3116</t>
  </si>
  <si>
    <t>AC3117</t>
  </si>
  <si>
    <t>AC3118</t>
  </si>
  <si>
    <t>AC3119</t>
  </si>
  <si>
    <t>AC3120</t>
  </si>
  <si>
    <t>AC3121</t>
  </si>
  <si>
    <t>AC2311</t>
  </si>
  <si>
    <t>AC3122</t>
  </si>
  <si>
    <t>AC3123</t>
  </si>
  <si>
    <t>AC3125</t>
  </si>
  <si>
    <t>AC3126</t>
  </si>
  <si>
    <t>AC2615</t>
  </si>
  <si>
    <t>AC3127</t>
  </si>
  <si>
    <t>AC3128</t>
  </si>
  <si>
    <t>AC3129</t>
  </si>
  <si>
    <t>AC3130</t>
  </si>
  <si>
    <t>AC3131</t>
  </si>
  <si>
    <t>AC3133</t>
  </si>
  <si>
    <t>AC325</t>
  </si>
  <si>
    <t>AC3134</t>
  </si>
  <si>
    <t>AC3135</t>
  </si>
  <si>
    <t>AC3136</t>
  </si>
  <si>
    <t>AC3137</t>
  </si>
  <si>
    <t>AC3138</t>
  </si>
  <si>
    <t>AC3139</t>
  </si>
  <si>
    <t>AC3140</t>
  </si>
  <si>
    <t>NP119</t>
  </si>
  <si>
    <t>AC3141</t>
  </si>
  <si>
    <t>AC3142</t>
  </si>
  <si>
    <t>AC3143</t>
  </si>
  <si>
    <t>AC1549</t>
  </si>
  <si>
    <t>AC3144</t>
  </si>
  <si>
    <t>AC2012</t>
  </si>
  <si>
    <t>AC3145</t>
  </si>
  <si>
    <t>AC3146</t>
  </si>
  <si>
    <t>AC3147</t>
  </si>
  <si>
    <t>AC3148</t>
  </si>
  <si>
    <t>AC3149</t>
  </si>
  <si>
    <t>AC1559</t>
  </si>
  <si>
    <t>AC3150</t>
  </si>
  <si>
    <t>AC3151</t>
  </si>
  <si>
    <t>AC2017</t>
  </si>
  <si>
    <t>AC2613</t>
  </si>
  <si>
    <t>AC3152</t>
  </si>
  <si>
    <t>GR102</t>
  </si>
  <si>
    <t>CA213</t>
  </si>
  <si>
    <t>AC3153</t>
  </si>
  <si>
    <t>AC2359</t>
  </si>
  <si>
    <t>AC3154</t>
  </si>
  <si>
    <t>AC2301</t>
  </si>
  <si>
    <t>AC3155</t>
  </si>
  <si>
    <t>AC2604</t>
  </si>
  <si>
    <t>AC3156</t>
  </si>
  <si>
    <t>AC3157</t>
  </si>
  <si>
    <t>AC3158</t>
  </si>
  <si>
    <t>AC3159</t>
  </si>
  <si>
    <t>AC3160</t>
  </si>
  <si>
    <t>AC3161</t>
  </si>
  <si>
    <t>AC2612</t>
  </si>
  <si>
    <t>AC3162</t>
  </si>
  <si>
    <t>AC3163</t>
  </si>
  <si>
    <t>AC3165</t>
  </si>
  <si>
    <t>AC1561</t>
  </si>
  <si>
    <t>AC3166</t>
  </si>
  <si>
    <t>AC3167</t>
  </si>
  <si>
    <t>AC3168</t>
  </si>
  <si>
    <t>AC3169</t>
  </si>
  <si>
    <t>AC3170</t>
  </si>
  <si>
    <t>AC3171</t>
  </si>
  <si>
    <t>EI163</t>
  </si>
  <si>
    <t>AC2020</t>
  </si>
  <si>
    <t>AC3172</t>
  </si>
  <si>
    <t>AC3173</t>
  </si>
  <si>
    <t>AC3175</t>
  </si>
  <si>
    <t>AC2360</t>
  </si>
  <si>
    <t>AC3176</t>
  </si>
  <si>
    <t>AC3177</t>
  </si>
  <si>
    <t>AC1569</t>
  </si>
  <si>
    <t>AC3178</t>
  </si>
  <si>
    <t>AC3179</t>
  </si>
  <si>
    <t>AC3180</t>
  </si>
  <si>
    <t>AC3181</t>
  </si>
  <si>
    <t>AC3182</t>
  </si>
  <si>
    <t>AC3183</t>
  </si>
  <si>
    <t>EI132</t>
  </si>
  <si>
    <t>AC3184</t>
  </si>
  <si>
    <t>AC3185</t>
  </si>
  <si>
    <t>AC3186</t>
  </si>
  <si>
    <t>AC3187</t>
  </si>
  <si>
    <t>NP189</t>
  </si>
  <si>
    <t>AC2611</t>
  </si>
  <si>
    <t>EI256</t>
  </si>
  <si>
    <t>AC2002</t>
  </si>
  <si>
    <t>AC2328</t>
  </si>
  <si>
    <t>AC2343</t>
  </si>
  <si>
    <t>AC3190</t>
  </si>
  <si>
    <t>AC3191</t>
  </si>
  <si>
    <t>AC2021</t>
  </si>
  <si>
    <t>AC1366</t>
  </si>
  <si>
    <t>AC2341</t>
  </si>
  <si>
    <t>AC3192</t>
  </si>
  <si>
    <t>AC3193</t>
  </si>
  <si>
    <t>AC3194</t>
  </si>
  <si>
    <t>AC3195</t>
  </si>
  <si>
    <t>AC3196</t>
  </si>
  <si>
    <t>AC3197</t>
  </si>
  <si>
    <t>AC3198</t>
  </si>
  <si>
    <t>AC2112</t>
  </si>
  <si>
    <t>AC3199</t>
  </si>
  <si>
    <t>AC3200</t>
  </si>
  <si>
    <t>AC3201</t>
  </si>
  <si>
    <t>AC2306</t>
  </si>
  <si>
    <t>AC782</t>
  </si>
  <si>
    <t>AC2005</t>
  </si>
  <si>
    <t>AC3202</t>
  </si>
  <si>
    <t>AC3203</t>
  </si>
  <si>
    <t>AC3204</t>
  </si>
  <si>
    <t>AC2317</t>
  </si>
  <si>
    <t>AC2345</t>
  </si>
  <si>
    <t>AC3205</t>
  </si>
  <si>
    <t>AC3206</t>
  </si>
  <si>
    <t>AC3207</t>
  </si>
  <si>
    <t>AC3209</t>
  </si>
  <si>
    <t>AC3210</t>
  </si>
  <si>
    <t>AC3211</t>
  </si>
  <si>
    <t>AC2009</t>
  </si>
  <si>
    <t>AC3212</t>
  </si>
  <si>
    <t>AC3213</t>
  </si>
  <si>
    <t>AC3214</t>
  </si>
  <si>
    <t>AC3215</t>
  </si>
  <si>
    <t>AC3216</t>
  </si>
  <si>
    <t>AC3217</t>
  </si>
  <si>
    <t>AC2607</t>
  </si>
  <si>
    <t>AC1801</t>
  </si>
  <si>
    <t>AC2019</t>
  </si>
  <si>
    <t>AC3218</t>
  </si>
  <si>
    <t>PR103</t>
  </si>
  <si>
    <t>AC2349</t>
  </si>
  <si>
    <t>AC3219</t>
  </si>
  <si>
    <t>AC3220</t>
  </si>
  <si>
    <t>AC3221</t>
  </si>
  <si>
    <t>AC3222</t>
  </si>
  <si>
    <t>AC3223</t>
  </si>
  <si>
    <t>AC3226</t>
  </si>
  <si>
    <t>AC3227</t>
  </si>
  <si>
    <t>AC3228</t>
  </si>
  <si>
    <t>AC2309</t>
  </si>
  <si>
    <t>AC3230</t>
  </si>
  <si>
    <t>AC484</t>
  </si>
  <si>
    <t>AC3232</t>
  </si>
  <si>
    <t>AC2344</t>
  </si>
  <si>
    <t>AC3233</t>
  </si>
  <si>
    <t>AC2314</t>
  </si>
  <si>
    <t>AC3234</t>
  </si>
  <si>
    <t>AC2358</t>
  </si>
  <si>
    <t>AC129</t>
  </si>
  <si>
    <t>AC3235</t>
  </si>
  <si>
    <t>AC3236</t>
  </si>
  <si>
    <t>AC3237</t>
  </si>
  <si>
    <t>AC3238</t>
  </si>
  <si>
    <t>AC3239</t>
  </si>
  <si>
    <t>AC3240</t>
  </si>
  <si>
    <t>NP254</t>
  </si>
  <si>
    <t>AC3241</t>
  </si>
  <si>
    <t>AC3242</t>
  </si>
  <si>
    <t>AC3243</t>
  </si>
  <si>
    <t>AC2014</t>
  </si>
  <si>
    <t>AC2026</t>
  </si>
  <si>
    <t>D113</t>
  </si>
  <si>
    <t>AC3245</t>
  </si>
  <si>
    <t>AC2346</t>
  </si>
  <si>
    <t>AC3246</t>
  </si>
  <si>
    <t>AC3247</t>
  </si>
  <si>
    <t>NS115</t>
  </si>
  <si>
    <t>AC3249</t>
  </si>
  <si>
    <t>AC3251</t>
  </si>
  <si>
    <t>AC1514</t>
  </si>
  <si>
    <t>AC2302</t>
  </si>
  <si>
    <t>AC3252</t>
  </si>
  <si>
    <t>AC3253</t>
  </si>
  <si>
    <t>AC2319</t>
  </si>
  <si>
    <t>AC3254</t>
  </si>
  <si>
    <t>AC2013</t>
  </si>
  <si>
    <t>AC3255</t>
  </si>
  <si>
    <t>AC3256</t>
  </si>
  <si>
    <t>AC3257</t>
  </si>
  <si>
    <t>AC3258</t>
  </si>
  <si>
    <t>AC3260</t>
  </si>
  <si>
    <t>AC2303</t>
  </si>
  <si>
    <t>AC3261</t>
  </si>
  <si>
    <t>AC3262</t>
  </si>
  <si>
    <t>AC3264</t>
  </si>
  <si>
    <t>AC3265</t>
  </si>
  <si>
    <t>AC1532</t>
  </si>
  <si>
    <t>AC2601</t>
  </si>
  <si>
    <t>AC3267</t>
  </si>
  <si>
    <t>AC3268</t>
  </si>
  <si>
    <t>AC3269</t>
  </si>
  <si>
    <t>AC3270</t>
  </si>
  <si>
    <t>AC3271</t>
  </si>
  <si>
    <t>AC3272</t>
  </si>
  <si>
    <t>AC3273</t>
  </si>
  <si>
    <t>AC3274</t>
  </si>
  <si>
    <t>AC3275</t>
  </si>
  <si>
    <t>AC3276</t>
  </si>
  <si>
    <t>AC2318</t>
  </si>
  <si>
    <t>AC3277</t>
  </si>
  <si>
    <t>AC3279</t>
  </si>
  <si>
    <t>AC3280</t>
  </si>
  <si>
    <t>AC3281</t>
  </si>
  <si>
    <t>AC3282</t>
  </si>
  <si>
    <t>AC3283</t>
  </si>
  <si>
    <t>AC3284</t>
  </si>
  <si>
    <t>AC3285</t>
  </si>
  <si>
    <t>AC3286</t>
  </si>
  <si>
    <t>AC3287</t>
  </si>
  <si>
    <t>AC3288</t>
  </si>
  <si>
    <t>AC506</t>
  </si>
  <si>
    <t>AC3289</t>
  </si>
  <si>
    <t>AC2354</t>
  </si>
  <si>
    <t>AC3290</t>
  </si>
  <si>
    <t>AC3291</t>
  </si>
  <si>
    <t>AC1570</t>
  </si>
  <si>
    <t>Sorafenib tosylate</t>
  </si>
  <si>
    <t>Sunitinib . malate</t>
  </si>
  <si>
    <t>Tenofovir Hydrate</t>
  </si>
  <si>
    <t>Thioguanine</t>
  </si>
  <si>
    <t>Thio-TEPA</t>
  </si>
  <si>
    <t>GR100</t>
  </si>
  <si>
    <t>Vancomycin . hydrochloride</t>
  </si>
  <si>
    <t>Ziprasidone Hydrochloride Monohydrate</t>
  </si>
  <si>
    <t>Clindamycin · HCl</t>
  </si>
  <si>
    <t>Cyclosporin A</t>
  </si>
  <si>
    <t>7179-49-9</t>
  </si>
  <si>
    <t>Rapamycin</t>
  </si>
  <si>
    <t>Spectinomycin . dihydrochloride</t>
  </si>
  <si>
    <t>Amiodarone hydrochloride</t>
  </si>
  <si>
    <t>Nicardipine . hydrochloride</t>
  </si>
  <si>
    <t>Loperamide . hydrochloride</t>
  </si>
  <si>
    <t>Phentolamine Hydrochloride</t>
  </si>
  <si>
    <t>Quinine hydrochloride dihydrate</t>
  </si>
  <si>
    <t>Propafenone hydrochloride</t>
  </si>
  <si>
    <t>Procainamide . hydrochloride</t>
  </si>
  <si>
    <t>Lidocaine . hydrochloride . hydrate</t>
  </si>
  <si>
    <t>AC133</t>
  </si>
  <si>
    <t>Prazosin hydrochloride</t>
  </si>
  <si>
    <t>Betaxolol hydrochloride</t>
  </si>
  <si>
    <t>Clonidine . hydrochloride</t>
  </si>
  <si>
    <t>Timolol maleate salt</t>
  </si>
  <si>
    <t>(+)-Pilocarpine . hydrochloride</t>
  </si>
  <si>
    <t>Ipratropium . bromide</t>
  </si>
  <si>
    <t>Pancuronium . dibromide</t>
  </si>
  <si>
    <t>Memantine . hydrochloride</t>
  </si>
  <si>
    <t>Chlorpromazine . hydrochloride</t>
  </si>
  <si>
    <t>Fluphenazine dihydrochloride</t>
  </si>
  <si>
    <t>Epinephrine Bitartrate</t>
  </si>
  <si>
    <t>Nalbuphine hydrochloride hydrate</t>
  </si>
  <si>
    <t>Carbamoylcholine chloride</t>
  </si>
  <si>
    <t xml:space="preserve">Docetaxel </t>
  </si>
  <si>
    <t>Sertaconazole . Nitrate</t>
  </si>
  <si>
    <t>Escitalopram oxalate</t>
  </si>
  <si>
    <t>Bleomycin sulfate</t>
  </si>
  <si>
    <t>9041-93-4</t>
  </si>
  <si>
    <t>Imatinib . mesylate</t>
  </si>
  <si>
    <t>Idarubicin . Hydrochloride</t>
  </si>
  <si>
    <t>Metformin</t>
  </si>
  <si>
    <t>Erlotinib HCl</t>
  </si>
  <si>
    <t>Galanthamine . hydrobromide</t>
  </si>
  <si>
    <t>Amiloride . hydrochloride . dihydrate</t>
  </si>
  <si>
    <t>Diltiazem . hydrochloride</t>
  </si>
  <si>
    <t>(±)-Verapamil . hydrochloride</t>
  </si>
  <si>
    <t>Phenoxybenzamine . hydrochloride</t>
  </si>
  <si>
    <t>Trifluoperazine . dihydrochloride</t>
  </si>
  <si>
    <t>GR108</t>
  </si>
  <si>
    <t>1α,25-Dihydroxyvitamin D3</t>
  </si>
  <si>
    <t>Neomycin . sulfate</t>
  </si>
  <si>
    <t>Rifampicin</t>
  </si>
  <si>
    <t>Daunorubicin . hydrochloride</t>
  </si>
  <si>
    <t>Doxorubicin . HCl</t>
  </si>
  <si>
    <t xml:space="preserve">388082-78-8 </t>
  </si>
  <si>
    <t>Valproic acid . sodium salt</t>
  </si>
  <si>
    <t>Vorinostat (SAHA)</t>
  </si>
  <si>
    <t>Fluvastatin . sodium salt</t>
  </si>
  <si>
    <t>Gemcitabine . hydrochloride</t>
  </si>
  <si>
    <t xml:space="preserve">Acyclovir </t>
  </si>
  <si>
    <t xml:space="preserve">Zidovudine </t>
  </si>
  <si>
    <t>5-Aminosalicylic acid</t>
  </si>
  <si>
    <t>2068-78-2</t>
  </si>
  <si>
    <t>Atenolol</t>
  </si>
  <si>
    <t>Vinblastine . sulfate</t>
  </si>
  <si>
    <t>Clopidogrel sulfate</t>
  </si>
  <si>
    <t>Orphenadrine citrate</t>
  </si>
  <si>
    <t>Cyclophosphamide . monohydrate</t>
  </si>
  <si>
    <t xml:space="preserve">Diclofenac sodium salt </t>
  </si>
  <si>
    <t xml:space="preserve">Zalcitabine </t>
  </si>
  <si>
    <t>17β-Estradiol</t>
  </si>
  <si>
    <t>5-Fluorouracil</t>
  </si>
  <si>
    <t>Levofloxacin . hydrochloride</t>
  </si>
  <si>
    <t>Lisinopril Dihydrate</t>
  </si>
  <si>
    <t>Alpha-methyl-L-dopa sesquihydrate</t>
  </si>
  <si>
    <t>555-30-6 / 41372-08-1</t>
  </si>
  <si>
    <t>10118-90-8</t>
  </si>
  <si>
    <t>Mitoxantrone . dihydrochloride</t>
  </si>
  <si>
    <t>BL092</t>
  </si>
  <si>
    <t>Scopolamine hydrobromide</t>
  </si>
  <si>
    <t>Streptomycin . sulfate</t>
  </si>
  <si>
    <t>Topotecan . hydrochloride</t>
  </si>
  <si>
    <t>AR114</t>
  </si>
  <si>
    <t>Bupivacaine hydrochloride monohydrate</t>
  </si>
  <si>
    <t>73360-54-0</t>
  </si>
  <si>
    <t>Naloxone . hydrochloride</t>
  </si>
  <si>
    <t>Cilastatin Sodium</t>
  </si>
  <si>
    <t>Tamoxifen . citrate</t>
  </si>
  <si>
    <t>Acebutolol . Hydrochloride</t>
  </si>
  <si>
    <t>N-Acetyl-L-cysteine</t>
  </si>
  <si>
    <t>GR101</t>
  </si>
  <si>
    <t>9-cis-Retinoic acid</t>
  </si>
  <si>
    <t>Amikacin . disulfate</t>
  </si>
  <si>
    <t>6-Aminocaproic acid</t>
  </si>
  <si>
    <t>Aminohippurate . sodium</t>
  </si>
  <si>
    <t>Atomoxetine . Hydrochloride</t>
  </si>
  <si>
    <t>Atorvastatin hemicalcium salt</t>
  </si>
  <si>
    <t>AC2308</t>
  </si>
  <si>
    <t>5-Azacytidine</t>
  </si>
  <si>
    <t>1405-87-4</t>
  </si>
  <si>
    <t>Bendamustine hydrochloride</t>
  </si>
  <si>
    <t>Benztropine . mesylate</t>
  </si>
  <si>
    <t>Capreomycin Sulfate</t>
  </si>
  <si>
    <t>1405-37-4</t>
  </si>
  <si>
    <t>Cefazolin . sodium</t>
  </si>
  <si>
    <t>Chenodeoxycholic Acid</t>
  </si>
  <si>
    <t>Cisplatin</t>
  </si>
  <si>
    <t>Colistin . sulfate</t>
  </si>
  <si>
    <t>Actinomycin D</t>
  </si>
  <si>
    <t>4-Aminopyridine</t>
  </si>
  <si>
    <t>Dantrolene . sodium</t>
  </si>
  <si>
    <t>CHM152</t>
  </si>
  <si>
    <t>Doxepin · Hydrochloride</t>
  </si>
  <si>
    <t>17alpha-Ethynylestradiol</t>
  </si>
  <si>
    <t>FTY-720 . HCl</t>
  </si>
  <si>
    <t>SL233</t>
  </si>
  <si>
    <t>Foscarnet·Na</t>
  </si>
  <si>
    <t>Hydralazine . hydrochloride</t>
  </si>
  <si>
    <t xml:space="preserve">Hydroxyzine dihydrochloride </t>
  </si>
  <si>
    <t>2192-20-3</t>
  </si>
  <si>
    <t>Irinotecan . hydrochloride . trihydrate</t>
  </si>
  <si>
    <t>Isosorbide . Dinitrate</t>
  </si>
  <si>
    <t>13-cis-Retinoic acid</t>
  </si>
  <si>
    <t>Kanamycin . sulfate</t>
  </si>
  <si>
    <t>Labetalol . hydrochloride</t>
  </si>
  <si>
    <t>Loxapine succinate</t>
  </si>
  <si>
    <t>Mefloquine . hydrochloride</t>
  </si>
  <si>
    <t>(±)-Mepivacaine hydrochloride</t>
  </si>
  <si>
    <t>6-Mercaptopurine Monohydrate</t>
  </si>
  <si>
    <t>Metaproterenol sulfate</t>
  </si>
  <si>
    <t>133073-73-1</t>
  </si>
  <si>
    <t>(−)-Scopolamine Methyl Bromide</t>
  </si>
  <si>
    <t>Methyl δ-aminolevulinate hydrochloride</t>
  </si>
  <si>
    <t>Niacin</t>
  </si>
  <si>
    <t xml:space="preserve">Orlistat </t>
  </si>
  <si>
    <t>Penicillin G potassium salt</t>
  </si>
  <si>
    <t>Podophyllotoxin</t>
  </si>
  <si>
    <t>NP238</t>
  </si>
  <si>
    <t>Average:570</t>
  </si>
  <si>
    <t>Lincomycin·HCl monohydrate</t>
  </si>
  <si>
    <t>5051-62-7</t>
  </si>
  <si>
    <t>CHM157</t>
  </si>
  <si>
    <t>183319-69-9</t>
  </si>
  <si>
    <t>Meropenem trihydrate</t>
  </si>
  <si>
    <t>119478-56-7</t>
  </si>
  <si>
    <t>204255-11-8</t>
  </si>
  <si>
    <t>Risedronic Acid</t>
  </si>
  <si>
    <t>Mafenide·HCl</t>
  </si>
  <si>
    <t>147127-20-6 (base molecule)</t>
  </si>
  <si>
    <t>287.2 (base molecule)</t>
  </si>
  <si>
    <t>Zoledronic Acid Monohydrate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</si>
</sst>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sz val="11"/>
      <color rgb="FF2121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1" fontId="0" fillId="0" borderId="0" xfId="0" applyNumberFormat="1"/>
    <xf numFmtId="0" fontId="0" fillId="0" borderId="0" xfId="0" applyFont="1"/>
    <xf numFmtId="0" fontId="0" fillId="0" borderId="0" xfId="0" applyFont="1" applyAlignment="1">
      <alignment wrapText="1"/>
    </xf>
    <xf numFmtId="49" fontId="0" fillId="0" borderId="0" xfId="0" applyNumberFormat="1" applyFont="1"/>
    <xf numFmtId="0" fontId="0" fillId="0" borderId="0" xfId="0" applyFont="1" applyProtection="1">
      <protection locked="0"/>
    </xf>
    <xf numFmtId="0" fontId="0" fillId="0" borderId="0" xfId="0" applyFont="1" applyFill="1"/>
    <xf numFmtId="0" fontId="1" fillId="0" borderId="0" xfId="0" applyFont="1"/>
    <xf numFmtId="164" fontId="0" fillId="0" borderId="0" xfId="0" applyNumberFormat="1" applyFont="1"/>
    <xf numFmtId="164" fontId="0" fillId="0" borderId="0" xfId="0" applyNumberFormat="1" applyFont="1" applyFill="1"/>
    <xf numFmtId="0" fontId="0" fillId="0" borderId="0" xfId="0" applyFont="1" applyAlignment="1" applyProtection="1">
      <alignment wrapText="1"/>
    </xf>
    <xf numFmtId="0" fontId="1" fillId="0" borderId="0" xfId="0"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7"/>
  <sheetViews>
    <sheetView workbookViewId="0"/>
  </sheetViews>
  <sheetFormatPr defaultRowHeight="15" x14ac:dyDescent="0.25"/>
  <sheetData>
    <row r="1" spans="1:4" x14ac:dyDescent="0.25">
      <c r="A1" t="s">
        <v>5587</v>
      </c>
      <c r="B1" t="s">
        <v>5588</v>
      </c>
      <c r="C1" t="s">
        <v>5589</v>
      </c>
      <c r="D1" t="s">
        <v>5590</v>
      </c>
    </row>
    <row r="2" spans="1:4" x14ac:dyDescent="0.25">
      <c r="A2" t="s">
        <v>5591</v>
      </c>
      <c r="B2">
        <v>1</v>
      </c>
      <c r="C2" t="s">
        <v>5592</v>
      </c>
      <c r="D2" t="s">
        <v>5593</v>
      </c>
    </row>
    <row r="3" spans="1:4" x14ac:dyDescent="0.25">
      <c r="A3" t="s">
        <v>5594</v>
      </c>
      <c r="B3">
        <v>1</v>
      </c>
      <c r="C3" t="s">
        <v>5592</v>
      </c>
      <c r="D3" t="s">
        <v>5595</v>
      </c>
    </row>
    <row r="4" spans="1:4" x14ac:dyDescent="0.25">
      <c r="A4" t="s">
        <v>5596</v>
      </c>
      <c r="B4">
        <v>1</v>
      </c>
      <c r="C4" t="s">
        <v>5592</v>
      </c>
      <c r="D4" t="s">
        <v>5597</v>
      </c>
    </row>
    <row r="5" spans="1:4" x14ac:dyDescent="0.25">
      <c r="A5" t="s">
        <v>5598</v>
      </c>
      <c r="B5">
        <v>1</v>
      </c>
      <c r="C5" t="s">
        <v>5592</v>
      </c>
      <c r="D5" t="s">
        <v>5599</v>
      </c>
    </row>
    <row r="6" spans="1:4" x14ac:dyDescent="0.25">
      <c r="A6" t="s">
        <v>5600</v>
      </c>
      <c r="B6">
        <v>1</v>
      </c>
      <c r="C6" t="s">
        <v>5592</v>
      </c>
      <c r="D6" t="s">
        <v>5601</v>
      </c>
    </row>
    <row r="7" spans="1:4" x14ac:dyDescent="0.25">
      <c r="A7" t="s">
        <v>5602</v>
      </c>
      <c r="B7">
        <v>1</v>
      </c>
      <c r="C7" t="s">
        <v>5592</v>
      </c>
      <c r="D7" t="s">
        <v>5603</v>
      </c>
    </row>
    <row r="8" spans="1:4" x14ac:dyDescent="0.25">
      <c r="A8" t="s">
        <v>5604</v>
      </c>
      <c r="B8">
        <v>1</v>
      </c>
      <c r="C8" t="s">
        <v>5592</v>
      </c>
      <c r="D8" t="s">
        <v>5605</v>
      </c>
    </row>
    <row r="9" spans="1:4" x14ac:dyDescent="0.25">
      <c r="A9" t="s">
        <v>5606</v>
      </c>
      <c r="B9">
        <v>1</v>
      </c>
      <c r="C9" t="s">
        <v>5592</v>
      </c>
      <c r="D9" t="s">
        <v>5607</v>
      </c>
    </row>
    <row r="10" spans="1:4" x14ac:dyDescent="0.25">
      <c r="A10" t="s">
        <v>5608</v>
      </c>
      <c r="B10">
        <v>1</v>
      </c>
      <c r="C10" t="s">
        <v>5592</v>
      </c>
      <c r="D10" t="s">
        <v>5609</v>
      </c>
    </row>
    <row r="11" spans="1:4" x14ac:dyDescent="0.25">
      <c r="A11" t="s">
        <v>5610</v>
      </c>
      <c r="B11">
        <v>1</v>
      </c>
      <c r="C11" t="s">
        <v>5592</v>
      </c>
      <c r="D11" t="s">
        <v>5611</v>
      </c>
    </row>
    <row r="12" spans="1:4" x14ac:dyDescent="0.25">
      <c r="A12" t="s">
        <v>5612</v>
      </c>
      <c r="B12">
        <v>1</v>
      </c>
      <c r="C12" t="s">
        <v>5592</v>
      </c>
      <c r="D12" t="s">
        <v>5613</v>
      </c>
    </row>
    <row r="13" spans="1:4" x14ac:dyDescent="0.25">
      <c r="A13" t="s">
        <v>5614</v>
      </c>
      <c r="B13">
        <v>1</v>
      </c>
      <c r="C13" t="s">
        <v>5592</v>
      </c>
      <c r="D13" t="s">
        <v>5615</v>
      </c>
    </row>
    <row r="14" spans="1:4" x14ac:dyDescent="0.25">
      <c r="A14" t="s">
        <v>5616</v>
      </c>
      <c r="B14">
        <v>1</v>
      </c>
      <c r="C14" t="s">
        <v>5592</v>
      </c>
      <c r="D14" t="s">
        <v>5617</v>
      </c>
    </row>
    <row r="15" spans="1:4" x14ac:dyDescent="0.25">
      <c r="A15" t="s">
        <v>5618</v>
      </c>
      <c r="B15">
        <v>1</v>
      </c>
      <c r="C15" t="s">
        <v>5592</v>
      </c>
      <c r="D15" t="s">
        <v>5619</v>
      </c>
    </row>
    <row r="16" spans="1:4" x14ac:dyDescent="0.25">
      <c r="A16" t="s">
        <v>5620</v>
      </c>
      <c r="B16">
        <v>1</v>
      </c>
      <c r="C16" t="s">
        <v>5592</v>
      </c>
      <c r="D16" t="s">
        <v>5621</v>
      </c>
    </row>
    <row r="17" spans="1:4" x14ac:dyDescent="0.25">
      <c r="A17" t="s">
        <v>5622</v>
      </c>
      <c r="B17">
        <v>1</v>
      </c>
      <c r="C17" t="s">
        <v>5592</v>
      </c>
      <c r="D17" t="s">
        <v>5623</v>
      </c>
    </row>
    <row r="18" spans="1:4" x14ac:dyDescent="0.25">
      <c r="A18" t="s">
        <v>5624</v>
      </c>
      <c r="B18">
        <v>1</v>
      </c>
      <c r="C18" t="s">
        <v>5592</v>
      </c>
      <c r="D18" t="s">
        <v>5625</v>
      </c>
    </row>
    <row r="19" spans="1:4" x14ac:dyDescent="0.25">
      <c r="A19" t="s">
        <v>5626</v>
      </c>
      <c r="B19">
        <v>1</v>
      </c>
      <c r="C19" t="s">
        <v>5592</v>
      </c>
      <c r="D19" t="s">
        <v>5627</v>
      </c>
    </row>
    <row r="20" spans="1:4" x14ac:dyDescent="0.25">
      <c r="A20" t="s">
        <v>5628</v>
      </c>
      <c r="B20">
        <v>1</v>
      </c>
      <c r="C20" t="s">
        <v>5592</v>
      </c>
      <c r="D20" t="s">
        <v>5629</v>
      </c>
    </row>
    <row r="21" spans="1:4" x14ac:dyDescent="0.25">
      <c r="A21" t="s">
        <v>5630</v>
      </c>
      <c r="B21">
        <v>1</v>
      </c>
      <c r="C21" t="s">
        <v>5592</v>
      </c>
      <c r="D21" t="s">
        <v>5631</v>
      </c>
    </row>
    <row r="22" spans="1:4" x14ac:dyDescent="0.25">
      <c r="A22" t="s">
        <v>5632</v>
      </c>
      <c r="B22">
        <v>1</v>
      </c>
      <c r="C22" t="s">
        <v>5592</v>
      </c>
      <c r="D22" t="s">
        <v>5633</v>
      </c>
    </row>
    <row r="23" spans="1:4" x14ac:dyDescent="0.25">
      <c r="A23" t="s">
        <v>5634</v>
      </c>
      <c r="B23">
        <v>1</v>
      </c>
      <c r="C23" t="s">
        <v>5592</v>
      </c>
      <c r="D23" t="s">
        <v>5635</v>
      </c>
    </row>
    <row r="24" spans="1:4" x14ac:dyDescent="0.25">
      <c r="A24" t="s">
        <v>5636</v>
      </c>
      <c r="B24">
        <v>1</v>
      </c>
      <c r="C24" t="s">
        <v>5592</v>
      </c>
      <c r="D24" t="s">
        <v>5637</v>
      </c>
    </row>
    <row r="25" spans="1:4" x14ac:dyDescent="0.25">
      <c r="A25" t="s">
        <v>5638</v>
      </c>
      <c r="B25">
        <v>1</v>
      </c>
      <c r="C25" t="s">
        <v>5592</v>
      </c>
      <c r="D25" t="s">
        <v>5639</v>
      </c>
    </row>
    <row r="26" spans="1:4" x14ac:dyDescent="0.25">
      <c r="A26" s="1" t="s">
        <v>5640</v>
      </c>
      <c r="B26">
        <v>1</v>
      </c>
      <c r="C26" t="s">
        <v>5592</v>
      </c>
      <c r="D26" t="s">
        <v>5641</v>
      </c>
    </row>
    <row r="27" spans="1:4" x14ac:dyDescent="0.25">
      <c r="A27" t="s">
        <v>5642</v>
      </c>
      <c r="B27">
        <v>1</v>
      </c>
      <c r="C27" t="s">
        <v>5592</v>
      </c>
      <c r="D27" t="s">
        <v>5643</v>
      </c>
    </row>
    <row r="28" spans="1:4" x14ac:dyDescent="0.25">
      <c r="A28" t="s">
        <v>5644</v>
      </c>
      <c r="B28">
        <v>1</v>
      </c>
      <c r="C28" t="s">
        <v>5592</v>
      </c>
      <c r="D28" t="s">
        <v>5645</v>
      </c>
    </row>
    <row r="29" spans="1:4" x14ac:dyDescent="0.25">
      <c r="A29" t="s">
        <v>5646</v>
      </c>
      <c r="B29">
        <v>1</v>
      </c>
      <c r="C29" t="s">
        <v>5592</v>
      </c>
      <c r="D29" t="s">
        <v>5647</v>
      </c>
    </row>
    <row r="30" spans="1:4" x14ac:dyDescent="0.25">
      <c r="A30" t="s">
        <v>5648</v>
      </c>
      <c r="B30">
        <v>1</v>
      </c>
      <c r="C30" t="s">
        <v>5592</v>
      </c>
      <c r="D30" t="s">
        <v>5649</v>
      </c>
    </row>
    <row r="31" spans="1:4" x14ac:dyDescent="0.25">
      <c r="A31" t="s">
        <v>5650</v>
      </c>
      <c r="B31">
        <v>1</v>
      </c>
      <c r="C31" t="s">
        <v>5592</v>
      </c>
      <c r="D31" t="s">
        <v>5651</v>
      </c>
    </row>
    <row r="32" spans="1:4" x14ac:dyDescent="0.25">
      <c r="A32" t="s">
        <v>5652</v>
      </c>
      <c r="B32">
        <v>1</v>
      </c>
      <c r="C32" t="s">
        <v>5592</v>
      </c>
      <c r="D32" t="s">
        <v>5653</v>
      </c>
    </row>
    <row r="33" spans="1:4" x14ac:dyDescent="0.25">
      <c r="A33" t="s">
        <v>5654</v>
      </c>
      <c r="B33">
        <v>1</v>
      </c>
      <c r="C33" t="s">
        <v>5592</v>
      </c>
      <c r="D33" t="s">
        <v>5655</v>
      </c>
    </row>
    <row r="34" spans="1:4" x14ac:dyDescent="0.25">
      <c r="A34" t="s">
        <v>5656</v>
      </c>
      <c r="B34">
        <v>1</v>
      </c>
      <c r="C34" t="s">
        <v>5592</v>
      </c>
      <c r="D34" t="s">
        <v>5657</v>
      </c>
    </row>
    <row r="35" spans="1:4" x14ac:dyDescent="0.25">
      <c r="A35" t="s">
        <v>5658</v>
      </c>
      <c r="B35">
        <v>1</v>
      </c>
      <c r="C35" t="s">
        <v>5592</v>
      </c>
      <c r="D35" t="s">
        <v>5659</v>
      </c>
    </row>
    <row r="36" spans="1:4" x14ac:dyDescent="0.25">
      <c r="A36" t="s">
        <v>5660</v>
      </c>
      <c r="B36">
        <v>1</v>
      </c>
      <c r="C36" t="s">
        <v>5592</v>
      </c>
      <c r="D36" t="s">
        <v>5661</v>
      </c>
    </row>
    <row r="37" spans="1:4" x14ac:dyDescent="0.25">
      <c r="A37" t="s">
        <v>5662</v>
      </c>
      <c r="B37">
        <v>1</v>
      </c>
      <c r="C37" t="s">
        <v>5592</v>
      </c>
      <c r="D37" t="s">
        <v>5663</v>
      </c>
    </row>
    <row r="38" spans="1:4" x14ac:dyDescent="0.25">
      <c r="A38" t="s">
        <v>5664</v>
      </c>
      <c r="B38">
        <v>1</v>
      </c>
      <c r="C38" t="s">
        <v>5592</v>
      </c>
      <c r="D38" t="s">
        <v>5665</v>
      </c>
    </row>
    <row r="39" spans="1:4" x14ac:dyDescent="0.25">
      <c r="A39" t="s">
        <v>5666</v>
      </c>
      <c r="B39">
        <v>1</v>
      </c>
      <c r="C39" t="s">
        <v>5592</v>
      </c>
      <c r="D39" t="s">
        <v>5667</v>
      </c>
    </row>
    <row r="40" spans="1:4" x14ac:dyDescent="0.25">
      <c r="A40" t="s">
        <v>5668</v>
      </c>
      <c r="B40">
        <v>1</v>
      </c>
      <c r="C40" t="s">
        <v>5592</v>
      </c>
      <c r="D40" t="s">
        <v>5669</v>
      </c>
    </row>
    <row r="41" spans="1:4" x14ac:dyDescent="0.25">
      <c r="A41" t="s">
        <v>5670</v>
      </c>
      <c r="B41">
        <v>1</v>
      </c>
      <c r="C41" t="s">
        <v>5592</v>
      </c>
      <c r="D41" t="s">
        <v>5671</v>
      </c>
    </row>
    <row r="42" spans="1:4" x14ac:dyDescent="0.25">
      <c r="A42" t="s">
        <v>5672</v>
      </c>
      <c r="B42">
        <v>1</v>
      </c>
      <c r="C42" t="s">
        <v>5592</v>
      </c>
      <c r="D42" t="s">
        <v>5673</v>
      </c>
    </row>
    <row r="43" spans="1:4" x14ac:dyDescent="0.25">
      <c r="A43" t="s">
        <v>5674</v>
      </c>
      <c r="B43">
        <v>1</v>
      </c>
      <c r="C43" t="s">
        <v>5592</v>
      </c>
      <c r="D43" t="s">
        <v>5675</v>
      </c>
    </row>
    <row r="44" spans="1:4" x14ac:dyDescent="0.25">
      <c r="A44" t="s">
        <v>5676</v>
      </c>
      <c r="B44">
        <v>1</v>
      </c>
      <c r="C44" t="s">
        <v>5592</v>
      </c>
      <c r="D44" t="s">
        <v>5677</v>
      </c>
    </row>
    <row r="45" spans="1:4" x14ac:dyDescent="0.25">
      <c r="A45" t="s">
        <v>5678</v>
      </c>
      <c r="B45">
        <v>1</v>
      </c>
      <c r="C45" t="s">
        <v>5592</v>
      </c>
      <c r="D45" t="s">
        <v>5679</v>
      </c>
    </row>
    <row r="46" spans="1:4" x14ac:dyDescent="0.25">
      <c r="A46" t="s">
        <v>5680</v>
      </c>
      <c r="B46">
        <v>1</v>
      </c>
      <c r="C46" t="s">
        <v>5592</v>
      </c>
      <c r="D46" t="s">
        <v>5681</v>
      </c>
    </row>
    <row r="47" spans="1:4" x14ac:dyDescent="0.25">
      <c r="A47" t="s">
        <v>5682</v>
      </c>
      <c r="B47">
        <v>1</v>
      </c>
      <c r="C47" t="s">
        <v>5592</v>
      </c>
      <c r="D47" t="s">
        <v>5683</v>
      </c>
    </row>
    <row r="48" spans="1:4" x14ac:dyDescent="0.25">
      <c r="A48" t="s">
        <v>5684</v>
      </c>
      <c r="B48">
        <v>1</v>
      </c>
      <c r="C48" t="s">
        <v>5592</v>
      </c>
      <c r="D48" t="s">
        <v>5685</v>
      </c>
    </row>
    <row r="49" spans="1:4" x14ac:dyDescent="0.25">
      <c r="A49" t="s">
        <v>5686</v>
      </c>
      <c r="B49">
        <v>1</v>
      </c>
      <c r="C49" t="s">
        <v>5592</v>
      </c>
      <c r="D49" t="s">
        <v>5687</v>
      </c>
    </row>
    <row r="50" spans="1:4" x14ac:dyDescent="0.25">
      <c r="A50" t="s">
        <v>5688</v>
      </c>
      <c r="B50">
        <v>1</v>
      </c>
      <c r="C50" t="s">
        <v>5592</v>
      </c>
      <c r="D50" t="s">
        <v>5689</v>
      </c>
    </row>
    <row r="51" spans="1:4" x14ac:dyDescent="0.25">
      <c r="A51" t="s">
        <v>5690</v>
      </c>
      <c r="B51">
        <v>1</v>
      </c>
      <c r="C51" t="s">
        <v>5592</v>
      </c>
      <c r="D51" t="s">
        <v>5691</v>
      </c>
    </row>
    <row r="52" spans="1:4" x14ac:dyDescent="0.25">
      <c r="A52" t="s">
        <v>5692</v>
      </c>
      <c r="B52">
        <v>1</v>
      </c>
      <c r="C52" t="s">
        <v>5592</v>
      </c>
      <c r="D52" t="s">
        <v>5693</v>
      </c>
    </row>
    <row r="53" spans="1:4" x14ac:dyDescent="0.25">
      <c r="A53" t="s">
        <v>5694</v>
      </c>
      <c r="B53">
        <v>1</v>
      </c>
      <c r="C53" t="s">
        <v>5592</v>
      </c>
      <c r="D53" t="s">
        <v>5695</v>
      </c>
    </row>
    <row r="54" spans="1:4" x14ac:dyDescent="0.25">
      <c r="A54" t="s">
        <v>5696</v>
      </c>
      <c r="B54">
        <v>1</v>
      </c>
      <c r="C54" t="s">
        <v>5592</v>
      </c>
      <c r="D54" t="s">
        <v>5697</v>
      </c>
    </row>
    <row r="55" spans="1:4" x14ac:dyDescent="0.25">
      <c r="A55" t="s">
        <v>5698</v>
      </c>
      <c r="B55">
        <v>1</v>
      </c>
      <c r="C55" t="s">
        <v>5592</v>
      </c>
      <c r="D55" t="s">
        <v>5699</v>
      </c>
    </row>
    <row r="56" spans="1:4" x14ac:dyDescent="0.25">
      <c r="A56" t="s">
        <v>5700</v>
      </c>
      <c r="B56">
        <v>1</v>
      </c>
      <c r="C56" t="s">
        <v>5592</v>
      </c>
      <c r="D56" t="s">
        <v>5701</v>
      </c>
    </row>
    <row r="57" spans="1:4" x14ac:dyDescent="0.25">
      <c r="A57" t="s">
        <v>5702</v>
      </c>
      <c r="B57">
        <v>1</v>
      </c>
      <c r="C57" t="s">
        <v>5592</v>
      </c>
      <c r="D57" t="s">
        <v>5703</v>
      </c>
    </row>
    <row r="58" spans="1:4" x14ac:dyDescent="0.25">
      <c r="A58" t="s">
        <v>5704</v>
      </c>
      <c r="B58">
        <v>1</v>
      </c>
      <c r="C58" t="s">
        <v>5592</v>
      </c>
      <c r="D58" t="s">
        <v>5705</v>
      </c>
    </row>
    <row r="59" spans="1:4" x14ac:dyDescent="0.25">
      <c r="A59" t="s">
        <v>5706</v>
      </c>
      <c r="B59">
        <v>1</v>
      </c>
      <c r="C59" t="s">
        <v>5592</v>
      </c>
      <c r="D59" t="s">
        <v>5707</v>
      </c>
    </row>
    <row r="60" spans="1:4" x14ac:dyDescent="0.25">
      <c r="A60" t="s">
        <v>5708</v>
      </c>
      <c r="B60">
        <v>1</v>
      </c>
      <c r="C60" t="s">
        <v>5592</v>
      </c>
      <c r="D60" t="s">
        <v>5709</v>
      </c>
    </row>
    <row r="61" spans="1:4" x14ac:dyDescent="0.25">
      <c r="A61" t="s">
        <v>5710</v>
      </c>
      <c r="B61">
        <v>1</v>
      </c>
      <c r="C61" t="s">
        <v>5592</v>
      </c>
      <c r="D61" t="s">
        <v>5711</v>
      </c>
    </row>
    <row r="62" spans="1:4" x14ac:dyDescent="0.25">
      <c r="A62" t="s">
        <v>5712</v>
      </c>
      <c r="B62">
        <v>1</v>
      </c>
      <c r="C62" t="s">
        <v>5592</v>
      </c>
      <c r="D62" t="s">
        <v>5713</v>
      </c>
    </row>
    <row r="63" spans="1:4" x14ac:dyDescent="0.25">
      <c r="A63" t="s">
        <v>5714</v>
      </c>
      <c r="B63">
        <v>1</v>
      </c>
      <c r="C63" t="s">
        <v>5592</v>
      </c>
      <c r="D63" t="s">
        <v>5715</v>
      </c>
    </row>
    <row r="64" spans="1:4" x14ac:dyDescent="0.25">
      <c r="A64" t="s">
        <v>5716</v>
      </c>
      <c r="B64">
        <v>1</v>
      </c>
      <c r="C64" t="s">
        <v>5592</v>
      </c>
      <c r="D64" t="s">
        <v>5717</v>
      </c>
    </row>
    <row r="65" spans="1:4" x14ac:dyDescent="0.25">
      <c r="A65" t="s">
        <v>5718</v>
      </c>
      <c r="B65">
        <v>1</v>
      </c>
      <c r="C65" t="s">
        <v>5592</v>
      </c>
      <c r="D65" t="s">
        <v>5719</v>
      </c>
    </row>
    <row r="66" spans="1:4" x14ac:dyDescent="0.25">
      <c r="A66" t="s">
        <v>5720</v>
      </c>
      <c r="B66">
        <v>1</v>
      </c>
      <c r="C66" t="s">
        <v>5592</v>
      </c>
      <c r="D66" t="s">
        <v>5721</v>
      </c>
    </row>
    <row r="67" spans="1:4" x14ac:dyDescent="0.25">
      <c r="A67" t="s">
        <v>5722</v>
      </c>
      <c r="B67">
        <v>1</v>
      </c>
      <c r="C67" t="s">
        <v>5592</v>
      </c>
      <c r="D67" t="s">
        <v>5723</v>
      </c>
    </row>
    <row r="68" spans="1:4" x14ac:dyDescent="0.25">
      <c r="A68" t="s">
        <v>5724</v>
      </c>
      <c r="B68">
        <v>1</v>
      </c>
      <c r="C68" t="s">
        <v>5592</v>
      </c>
      <c r="D68" t="s">
        <v>5725</v>
      </c>
    </row>
    <row r="69" spans="1:4" x14ac:dyDescent="0.25">
      <c r="A69" t="s">
        <v>5726</v>
      </c>
      <c r="B69">
        <v>1</v>
      </c>
      <c r="C69" t="s">
        <v>5592</v>
      </c>
      <c r="D69" t="s">
        <v>5727</v>
      </c>
    </row>
    <row r="70" spans="1:4" x14ac:dyDescent="0.25">
      <c r="A70" t="s">
        <v>5728</v>
      </c>
      <c r="B70">
        <v>1</v>
      </c>
      <c r="C70" t="s">
        <v>5592</v>
      </c>
      <c r="D70" t="s">
        <v>5729</v>
      </c>
    </row>
    <row r="71" spans="1:4" x14ac:dyDescent="0.25">
      <c r="A71" t="s">
        <v>5730</v>
      </c>
      <c r="B71">
        <v>1</v>
      </c>
      <c r="C71" t="s">
        <v>5592</v>
      </c>
      <c r="D71" t="s">
        <v>5731</v>
      </c>
    </row>
    <row r="72" spans="1:4" x14ac:dyDescent="0.25">
      <c r="A72" t="s">
        <v>5732</v>
      </c>
      <c r="B72">
        <v>1</v>
      </c>
      <c r="C72" t="s">
        <v>5592</v>
      </c>
      <c r="D72" t="s">
        <v>5733</v>
      </c>
    </row>
    <row r="73" spans="1:4" x14ac:dyDescent="0.25">
      <c r="A73" s="1" t="s">
        <v>5734</v>
      </c>
      <c r="B73">
        <v>1</v>
      </c>
      <c r="C73" t="s">
        <v>5592</v>
      </c>
      <c r="D73" t="s">
        <v>5735</v>
      </c>
    </row>
    <row r="74" spans="1:4" x14ac:dyDescent="0.25">
      <c r="A74" t="s">
        <v>5736</v>
      </c>
      <c r="B74">
        <v>1</v>
      </c>
      <c r="C74" t="s">
        <v>5592</v>
      </c>
      <c r="D74" t="s">
        <v>5737</v>
      </c>
    </row>
    <row r="75" spans="1:4" x14ac:dyDescent="0.25">
      <c r="A75" t="s">
        <v>5738</v>
      </c>
      <c r="B75">
        <v>1</v>
      </c>
      <c r="C75" t="s">
        <v>5592</v>
      </c>
      <c r="D75" t="s">
        <v>5739</v>
      </c>
    </row>
    <row r="76" spans="1:4" x14ac:dyDescent="0.25">
      <c r="A76" t="s">
        <v>5740</v>
      </c>
      <c r="B76">
        <v>1</v>
      </c>
      <c r="C76" t="s">
        <v>5592</v>
      </c>
      <c r="D76" t="s">
        <v>5741</v>
      </c>
    </row>
    <row r="77" spans="1:4" x14ac:dyDescent="0.25">
      <c r="A77" t="s">
        <v>5742</v>
      </c>
      <c r="B77">
        <v>1</v>
      </c>
      <c r="C77" t="s">
        <v>5592</v>
      </c>
      <c r="D77" t="s">
        <v>5743</v>
      </c>
    </row>
    <row r="78" spans="1:4" x14ac:dyDescent="0.25">
      <c r="A78" t="s">
        <v>5744</v>
      </c>
      <c r="B78">
        <v>1</v>
      </c>
      <c r="C78" t="s">
        <v>5592</v>
      </c>
      <c r="D78" t="s">
        <v>5745</v>
      </c>
    </row>
    <row r="79" spans="1:4" x14ac:dyDescent="0.25">
      <c r="A79" t="s">
        <v>5746</v>
      </c>
      <c r="B79">
        <v>1</v>
      </c>
      <c r="C79" t="s">
        <v>5592</v>
      </c>
      <c r="D79" t="s">
        <v>5747</v>
      </c>
    </row>
    <row r="80" spans="1:4" x14ac:dyDescent="0.25">
      <c r="A80" t="s">
        <v>5748</v>
      </c>
      <c r="B80">
        <v>1</v>
      </c>
      <c r="C80" t="s">
        <v>5592</v>
      </c>
      <c r="D80" t="s">
        <v>5749</v>
      </c>
    </row>
    <row r="81" spans="1:4" x14ac:dyDescent="0.25">
      <c r="A81" t="s">
        <v>5750</v>
      </c>
      <c r="B81">
        <v>1</v>
      </c>
      <c r="C81" t="s">
        <v>5592</v>
      </c>
      <c r="D81" t="s">
        <v>5751</v>
      </c>
    </row>
    <row r="82" spans="1:4" x14ac:dyDescent="0.25">
      <c r="A82" t="s">
        <v>5752</v>
      </c>
      <c r="B82">
        <v>1</v>
      </c>
      <c r="C82" t="s">
        <v>5592</v>
      </c>
      <c r="D82" t="s">
        <v>5753</v>
      </c>
    </row>
    <row r="83" spans="1:4" x14ac:dyDescent="0.25">
      <c r="A83" t="s">
        <v>5754</v>
      </c>
      <c r="B83">
        <v>1</v>
      </c>
      <c r="C83" t="s">
        <v>5592</v>
      </c>
      <c r="D83" t="s">
        <v>5755</v>
      </c>
    </row>
    <row r="84" spans="1:4" x14ac:dyDescent="0.25">
      <c r="A84" t="s">
        <v>5756</v>
      </c>
      <c r="B84">
        <v>1</v>
      </c>
      <c r="C84" t="s">
        <v>5592</v>
      </c>
      <c r="D84" t="s">
        <v>5757</v>
      </c>
    </row>
    <row r="85" spans="1:4" x14ac:dyDescent="0.25">
      <c r="A85" t="s">
        <v>5758</v>
      </c>
      <c r="B85">
        <v>1</v>
      </c>
      <c r="C85" t="s">
        <v>5592</v>
      </c>
      <c r="D85" t="s">
        <v>5759</v>
      </c>
    </row>
    <row r="86" spans="1:4" x14ac:dyDescent="0.25">
      <c r="A86" t="s">
        <v>5760</v>
      </c>
      <c r="B86">
        <v>1</v>
      </c>
      <c r="C86" t="s">
        <v>5592</v>
      </c>
      <c r="D86" t="s">
        <v>5761</v>
      </c>
    </row>
    <row r="87" spans="1:4" x14ac:dyDescent="0.25">
      <c r="A87" t="s">
        <v>5762</v>
      </c>
      <c r="B87">
        <v>1</v>
      </c>
      <c r="C87" t="s">
        <v>5592</v>
      </c>
      <c r="D87" t="s">
        <v>5763</v>
      </c>
    </row>
    <row r="88" spans="1:4" x14ac:dyDescent="0.25">
      <c r="A88" t="s">
        <v>5764</v>
      </c>
      <c r="B88">
        <v>1</v>
      </c>
      <c r="C88" t="s">
        <v>5592</v>
      </c>
      <c r="D88" t="s">
        <v>5765</v>
      </c>
    </row>
    <row r="89" spans="1:4" x14ac:dyDescent="0.25">
      <c r="A89" t="s">
        <v>5766</v>
      </c>
      <c r="B89">
        <v>1</v>
      </c>
      <c r="C89" t="s">
        <v>5592</v>
      </c>
      <c r="D89" t="s">
        <v>5767</v>
      </c>
    </row>
    <row r="90" spans="1:4" x14ac:dyDescent="0.25">
      <c r="A90" t="s">
        <v>5768</v>
      </c>
      <c r="B90">
        <v>1</v>
      </c>
      <c r="C90" t="s">
        <v>5592</v>
      </c>
      <c r="D90" t="s">
        <v>5769</v>
      </c>
    </row>
    <row r="91" spans="1:4" x14ac:dyDescent="0.25">
      <c r="A91" t="s">
        <v>5770</v>
      </c>
      <c r="B91">
        <v>1</v>
      </c>
      <c r="C91" t="s">
        <v>5592</v>
      </c>
      <c r="D91" t="s">
        <v>5771</v>
      </c>
    </row>
    <row r="92" spans="1:4" x14ac:dyDescent="0.25">
      <c r="A92" t="s">
        <v>5772</v>
      </c>
      <c r="B92">
        <v>1</v>
      </c>
      <c r="C92" t="s">
        <v>5592</v>
      </c>
      <c r="D92" t="s">
        <v>5773</v>
      </c>
    </row>
    <row r="93" spans="1:4" x14ac:dyDescent="0.25">
      <c r="A93" t="s">
        <v>5774</v>
      </c>
      <c r="B93">
        <v>1</v>
      </c>
      <c r="C93" t="s">
        <v>5592</v>
      </c>
      <c r="D93" t="s">
        <v>5775</v>
      </c>
    </row>
    <row r="94" spans="1:4" x14ac:dyDescent="0.25">
      <c r="A94" t="s">
        <v>5776</v>
      </c>
      <c r="B94">
        <v>1</v>
      </c>
      <c r="C94" t="s">
        <v>5592</v>
      </c>
      <c r="D94" t="s">
        <v>5777</v>
      </c>
    </row>
    <row r="95" spans="1:4" x14ac:dyDescent="0.25">
      <c r="A95" t="s">
        <v>5778</v>
      </c>
      <c r="B95">
        <v>1</v>
      </c>
      <c r="C95" t="s">
        <v>5592</v>
      </c>
      <c r="D95" t="s">
        <v>5779</v>
      </c>
    </row>
    <row r="96" spans="1:4" x14ac:dyDescent="0.25">
      <c r="A96" t="s">
        <v>5780</v>
      </c>
      <c r="B96">
        <v>1</v>
      </c>
      <c r="C96" t="s">
        <v>5592</v>
      </c>
      <c r="D96" t="s">
        <v>5781</v>
      </c>
    </row>
    <row r="97" spans="1:4" x14ac:dyDescent="0.25">
      <c r="A97" t="s">
        <v>5782</v>
      </c>
      <c r="B97">
        <v>1</v>
      </c>
      <c r="C97" t="s">
        <v>5592</v>
      </c>
      <c r="D97" t="s">
        <v>5783</v>
      </c>
    </row>
    <row r="98" spans="1:4" x14ac:dyDescent="0.25">
      <c r="A98" t="s">
        <v>5784</v>
      </c>
      <c r="B98">
        <v>1</v>
      </c>
      <c r="C98" t="s">
        <v>5592</v>
      </c>
      <c r="D98" t="s">
        <v>5785</v>
      </c>
    </row>
    <row r="99" spans="1:4" x14ac:dyDescent="0.25">
      <c r="A99" t="s">
        <v>5786</v>
      </c>
      <c r="B99">
        <v>1</v>
      </c>
      <c r="C99" t="s">
        <v>5592</v>
      </c>
      <c r="D99" t="s">
        <v>5787</v>
      </c>
    </row>
    <row r="100" spans="1:4" x14ac:dyDescent="0.25">
      <c r="A100" t="s">
        <v>5788</v>
      </c>
      <c r="B100">
        <v>1</v>
      </c>
      <c r="C100" t="s">
        <v>5592</v>
      </c>
      <c r="D100" t="s">
        <v>5789</v>
      </c>
    </row>
    <row r="101" spans="1:4" x14ac:dyDescent="0.25">
      <c r="A101" t="s">
        <v>5790</v>
      </c>
      <c r="B101">
        <v>1</v>
      </c>
      <c r="C101" t="s">
        <v>5592</v>
      </c>
      <c r="D101" t="s">
        <v>5791</v>
      </c>
    </row>
    <row r="102" spans="1:4" x14ac:dyDescent="0.25">
      <c r="A102" t="s">
        <v>5792</v>
      </c>
      <c r="B102">
        <v>1</v>
      </c>
      <c r="C102" t="s">
        <v>5592</v>
      </c>
      <c r="D102" t="s">
        <v>5793</v>
      </c>
    </row>
    <row r="103" spans="1:4" x14ac:dyDescent="0.25">
      <c r="A103" t="s">
        <v>5794</v>
      </c>
      <c r="B103">
        <v>1</v>
      </c>
      <c r="C103" t="s">
        <v>5592</v>
      </c>
      <c r="D103" t="s">
        <v>5795</v>
      </c>
    </row>
    <row r="104" spans="1:4" x14ac:dyDescent="0.25">
      <c r="A104" t="s">
        <v>5796</v>
      </c>
      <c r="B104">
        <v>1</v>
      </c>
      <c r="C104" t="s">
        <v>5592</v>
      </c>
      <c r="D104" t="s">
        <v>5797</v>
      </c>
    </row>
    <row r="105" spans="1:4" x14ac:dyDescent="0.25">
      <c r="A105" t="s">
        <v>5798</v>
      </c>
      <c r="B105">
        <v>1</v>
      </c>
      <c r="C105" t="s">
        <v>5592</v>
      </c>
      <c r="D105" t="s">
        <v>5799</v>
      </c>
    </row>
    <row r="106" spans="1:4" x14ac:dyDescent="0.25">
      <c r="A106" t="s">
        <v>5800</v>
      </c>
      <c r="B106">
        <v>1</v>
      </c>
      <c r="C106" t="s">
        <v>5592</v>
      </c>
      <c r="D106" t="s">
        <v>5801</v>
      </c>
    </row>
    <row r="107" spans="1:4" x14ac:dyDescent="0.25">
      <c r="A107" t="s">
        <v>5802</v>
      </c>
      <c r="B107">
        <v>1</v>
      </c>
      <c r="C107" t="s">
        <v>5592</v>
      </c>
      <c r="D107" t="s">
        <v>5803</v>
      </c>
    </row>
    <row r="108" spans="1:4" x14ac:dyDescent="0.25">
      <c r="A108" t="s">
        <v>5804</v>
      </c>
      <c r="B108">
        <v>1</v>
      </c>
      <c r="C108" t="s">
        <v>5592</v>
      </c>
      <c r="D108" t="s">
        <v>5805</v>
      </c>
    </row>
    <row r="109" spans="1:4" x14ac:dyDescent="0.25">
      <c r="A109" t="s">
        <v>5806</v>
      </c>
      <c r="B109">
        <v>1</v>
      </c>
      <c r="C109" t="s">
        <v>5592</v>
      </c>
      <c r="D109" t="s">
        <v>5807</v>
      </c>
    </row>
    <row r="110" spans="1:4" x14ac:dyDescent="0.25">
      <c r="A110" t="s">
        <v>5808</v>
      </c>
      <c r="B110">
        <v>1</v>
      </c>
      <c r="C110" t="s">
        <v>5592</v>
      </c>
      <c r="D110" t="s">
        <v>5809</v>
      </c>
    </row>
    <row r="111" spans="1:4" x14ac:dyDescent="0.25">
      <c r="A111" t="s">
        <v>5810</v>
      </c>
      <c r="B111">
        <v>1</v>
      </c>
      <c r="C111" t="s">
        <v>5592</v>
      </c>
      <c r="D111" t="s">
        <v>5811</v>
      </c>
    </row>
    <row r="112" spans="1:4" x14ac:dyDescent="0.25">
      <c r="A112" t="s">
        <v>5812</v>
      </c>
      <c r="B112">
        <v>1</v>
      </c>
      <c r="C112" t="s">
        <v>5592</v>
      </c>
      <c r="D112" t="s">
        <v>5813</v>
      </c>
    </row>
    <row r="113" spans="1:4" x14ac:dyDescent="0.25">
      <c r="A113" t="s">
        <v>5814</v>
      </c>
      <c r="B113">
        <v>1</v>
      </c>
      <c r="C113" t="s">
        <v>5592</v>
      </c>
      <c r="D113" t="s">
        <v>5815</v>
      </c>
    </row>
    <row r="114" spans="1:4" x14ac:dyDescent="0.25">
      <c r="A114" t="s">
        <v>5816</v>
      </c>
      <c r="B114">
        <v>1</v>
      </c>
      <c r="C114" t="s">
        <v>5592</v>
      </c>
      <c r="D114" t="s">
        <v>5817</v>
      </c>
    </row>
    <row r="115" spans="1:4" x14ac:dyDescent="0.25">
      <c r="A115" t="s">
        <v>5818</v>
      </c>
      <c r="B115">
        <v>1</v>
      </c>
      <c r="C115" t="s">
        <v>5592</v>
      </c>
      <c r="D115" t="s">
        <v>5819</v>
      </c>
    </row>
    <row r="116" spans="1:4" x14ac:dyDescent="0.25">
      <c r="A116" t="s">
        <v>5820</v>
      </c>
      <c r="B116">
        <v>1</v>
      </c>
      <c r="C116" t="s">
        <v>5592</v>
      </c>
      <c r="D116" t="s">
        <v>5821</v>
      </c>
    </row>
    <row r="117" spans="1:4" x14ac:dyDescent="0.25">
      <c r="A117" t="s">
        <v>5822</v>
      </c>
      <c r="B117">
        <v>1</v>
      </c>
      <c r="C117" t="s">
        <v>5592</v>
      </c>
      <c r="D117" t="s">
        <v>5823</v>
      </c>
    </row>
    <row r="118" spans="1:4" x14ac:dyDescent="0.25">
      <c r="A118" t="s">
        <v>5824</v>
      </c>
      <c r="B118">
        <v>1</v>
      </c>
      <c r="C118" t="s">
        <v>5592</v>
      </c>
      <c r="D118" t="s">
        <v>5825</v>
      </c>
    </row>
    <row r="119" spans="1:4" x14ac:dyDescent="0.25">
      <c r="A119" t="s">
        <v>5826</v>
      </c>
      <c r="B119">
        <v>1</v>
      </c>
      <c r="C119" t="s">
        <v>5592</v>
      </c>
      <c r="D119" t="s">
        <v>5827</v>
      </c>
    </row>
    <row r="120" spans="1:4" x14ac:dyDescent="0.25">
      <c r="A120" t="s">
        <v>5828</v>
      </c>
      <c r="B120">
        <v>1</v>
      </c>
      <c r="C120" t="s">
        <v>5592</v>
      </c>
      <c r="D120" t="s">
        <v>5829</v>
      </c>
    </row>
    <row r="121" spans="1:4" x14ac:dyDescent="0.25">
      <c r="A121" t="s">
        <v>5830</v>
      </c>
      <c r="B121">
        <v>1</v>
      </c>
      <c r="C121" t="s">
        <v>5592</v>
      </c>
      <c r="D121" t="s">
        <v>5831</v>
      </c>
    </row>
    <row r="122" spans="1:4" x14ac:dyDescent="0.25">
      <c r="A122" t="s">
        <v>5832</v>
      </c>
      <c r="B122">
        <v>1</v>
      </c>
      <c r="C122" t="s">
        <v>5592</v>
      </c>
      <c r="D122" t="s">
        <v>5833</v>
      </c>
    </row>
    <row r="123" spans="1:4" x14ac:dyDescent="0.25">
      <c r="A123" t="s">
        <v>5834</v>
      </c>
      <c r="B123">
        <v>1</v>
      </c>
      <c r="C123" t="s">
        <v>5592</v>
      </c>
      <c r="D123" t="s">
        <v>5835</v>
      </c>
    </row>
    <row r="124" spans="1:4" x14ac:dyDescent="0.25">
      <c r="A124" t="s">
        <v>5836</v>
      </c>
      <c r="B124">
        <v>1</v>
      </c>
      <c r="C124" t="s">
        <v>5592</v>
      </c>
      <c r="D124" t="s">
        <v>5837</v>
      </c>
    </row>
    <row r="125" spans="1:4" x14ac:dyDescent="0.25">
      <c r="A125" t="s">
        <v>5838</v>
      </c>
      <c r="B125">
        <v>1</v>
      </c>
      <c r="C125" t="s">
        <v>5592</v>
      </c>
      <c r="D125" t="s">
        <v>5839</v>
      </c>
    </row>
    <row r="126" spans="1:4" x14ac:dyDescent="0.25">
      <c r="A126" t="s">
        <v>5840</v>
      </c>
      <c r="B126">
        <v>1</v>
      </c>
      <c r="C126" t="s">
        <v>5592</v>
      </c>
      <c r="D126" t="s">
        <v>5841</v>
      </c>
    </row>
    <row r="127" spans="1:4" x14ac:dyDescent="0.25">
      <c r="A127" t="s">
        <v>5842</v>
      </c>
      <c r="B127">
        <v>1</v>
      </c>
      <c r="C127" t="s">
        <v>5592</v>
      </c>
      <c r="D127" t="s">
        <v>5843</v>
      </c>
    </row>
    <row r="128" spans="1:4" x14ac:dyDescent="0.25">
      <c r="A128" s="1" t="s">
        <v>5844</v>
      </c>
      <c r="B128">
        <v>1</v>
      </c>
      <c r="C128" t="s">
        <v>5592</v>
      </c>
      <c r="D128" t="s">
        <v>5845</v>
      </c>
    </row>
    <row r="129" spans="1:4" x14ac:dyDescent="0.25">
      <c r="A129" t="s">
        <v>5846</v>
      </c>
      <c r="B129">
        <v>1</v>
      </c>
      <c r="C129" t="s">
        <v>5592</v>
      </c>
      <c r="D129" t="s">
        <v>5847</v>
      </c>
    </row>
    <row r="130" spans="1:4" x14ac:dyDescent="0.25">
      <c r="A130" t="s">
        <v>5848</v>
      </c>
      <c r="B130">
        <v>1</v>
      </c>
      <c r="C130" t="s">
        <v>5592</v>
      </c>
      <c r="D130" t="s">
        <v>5849</v>
      </c>
    </row>
    <row r="131" spans="1:4" x14ac:dyDescent="0.25">
      <c r="A131" t="s">
        <v>5850</v>
      </c>
      <c r="B131">
        <v>1</v>
      </c>
      <c r="C131" t="s">
        <v>5592</v>
      </c>
      <c r="D131" t="s">
        <v>5851</v>
      </c>
    </row>
    <row r="132" spans="1:4" x14ac:dyDescent="0.25">
      <c r="A132" t="s">
        <v>5852</v>
      </c>
      <c r="B132">
        <v>1</v>
      </c>
      <c r="C132" t="s">
        <v>5592</v>
      </c>
      <c r="D132" t="s">
        <v>5853</v>
      </c>
    </row>
    <row r="133" spans="1:4" x14ac:dyDescent="0.25">
      <c r="A133" t="s">
        <v>5854</v>
      </c>
      <c r="B133">
        <v>1</v>
      </c>
      <c r="C133" t="s">
        <v>5592</v>
      </c>
      <c r="D133" t="s">
        <v>5855</v>
      </c>
    </row>
    <row r="134" spans="1:4" x14ac:dyDescent="0.25">
      <c r="A134" t="s">
        <v>5856</v>
      </c>
      <c r="B134">
        <v>1</v>
      </c>
      <c r="C134" t="s">
        <v>5592</v>
      </c>
      <c r="D134" t="s">
        <v>5857</v>
      </c>
    </row>
    <row r="135" spans="1:4" x14ac:dyDescent="0.25">
      <c r="A135" t="s">
        <v>5858</v>
      </c>
      <c r="B135">
        <v>1</v>
      </c>
      <c r="C135" t="s">
        <v>5592</v>
      </c>
      <c r="D135" t="s">
        <v>5859</v>
      </c>
    </row>
    <row r="136" spans="1:4" x14ac:dyDescent="0.25">
      <c r="A136" t="s">
        <v>5860</v>
      </c>
      <c r="B136">
        <v>1</v>
      </c>
      <c r="C136" t="s">
        <v>5592</v>
      </c>
      <c r="D136" t="s">
        <v>5861</v>
      </c>
    </row>
    <row r="137" spans="1:4" x14ac:dyDescent="0.25">
      <c r="A137" t="s">
        <v>5862</v>
      </c>
      <c r="B137">
        <v>1</v>
      </c>
      <c r="C137" t="s">
        <v>5592</v>
      </c>
      <c r="D137" t="s">
        <v>5863</v>
      </c>
    </row>
    <row r="138" spans="1:4" x14ac:dyDescent="0.25">
      <c r="A138" t="s">
        <v>5864</v>
      </c>
      <c r="B138">
        <v>1</v>
      </c>
      <c r="C138" t="s">
        <v>5592</v>
      </c>
      <c r="D138" t="s">
        <v>5865</v>
      </c>
    </row>
    <row r="139" spans="1:4" x14ac:dyDescent="0.25">
      <c r="A139" t="s">
        <v>5866</v>
      </c>
      <c r="B139">
        <v>1</v>
      </c>
      <c r="C139" t="s">
        <v>5592</v>
      </c>
      <c r="D139" t="s">
        <v>5867</v>
      </c>
    </row>
    <row r="140" spans="1:4" x14ac:dyDescent="0.25">
      <c r="A140" t="s">
        <v>5868</v>
      </c>
      <c r="B140">
        <v>1</v>
      </c>
      <c r="C140" t="s">
        <v>5592</v>
      </c>
      <c r="D140" t="s">
        <v>5869</v>
      </c>
    </row>
    <row r="141" spans="1:4" x14ac:dyDescent="0.25">
      <c r="A141" t="s">
        <v>5870</v>
      </c>
      <c r="B141">
        <v>1</v>
      </c>
      <c r="C141" t="s">
        <v>5592</v>
      </c>
      <c r="D141" t="s">
        <v>5871</v>
      </c>
    </row>
    <row r="142" spans="1:4" x14ac:dyDescent="0.25">
      <c r="A142" t="s">
        <v>5872</v>
      </c>
      <c r="B142">
        <v>1</v>
      </c>
      <c r="C142" t="s">
        <v>5592</v>
      </c>
      <c r="D142" t="s">
        <v>5873</v>
      </c>
    </row>
    <row r="143" spans="1:4" x14ac:dyDescent="0.25">
      <c r="A143" t="s">
        <v>5874</v>
      </c>
      <c r="B143">
        <v>1</v>
      </c>
      <c r="C143" t="s">
        <v>5592</v>
      </c>
      <c r="D143" t="s">
        <v>5875</v>
      </c>
    </row>
    <row r="144" spans="1:4" x14ac:dyDescent="0.25">
      <c r="A144" s="1" t="s">
        <v>5876</v>
      </c>
      <c r="B144">
        <v>1</v>
      </c>
      <c r="C144" t="s">
        <v>5592</v>
      </c>
      <c r="D144" t="s">
        <v>5877</v>
      </c>
    </row>
    <row r="145" spans="1:4" x14ac:dyDescent="0.25">
      <c r="A145" t="s">
        <v>5878</v>
      </c>
      <c r="B145">
        <v>1</v>
      </c>
      <c r="C145" t="s">
        <v>5592</v>
      </c>
      <c r="D145" t="s">
        <v>5879</v>
      </c>
    </row>
    <row r="146" spans="1:4" x14ac:dyDescent="0.25">
      <c r="A146" t="s">
        <v>5880</v>
      </c>
      <c r="B146">
        <v>1</v>
      </c>
      <c r="C146" t="s">
        <v>5592</v>
      </c>
      <c r="D146" t="s">
        <v>5881</v>
      </c>
    </row>
    <row r="147" spans="1:4" x14ac:dyDescent="0.25">
      <c r="A147" t="s">
        <v>5882</v>
      </c>
      <c r="B147">
        <v>1</v>
      </c>
      <c r="C147" t="s">
        <v>5592</v>
      </c>
      <c r="D147" t="s">
        <v>5883</v>
      </c>
    </row>
    <row r="148" spans="1:4" x14ac:dyDescent="0.25">
      <c r="A148" t="s">
        <v>5884</v>
      </c>
      <c r="B148">
        <v>1</v>
      </c>
      <c r="C148" t="s">
        <v>5592</v>
      </c>
      <c r="D148" t="s">
        <v>5885</v>
      </c>
    </row>
    <row r="149" spans="1:4" x14ac:dyDescent="0.25">
      <c r="A149" t="s">
        <v>5886</v>
      </c>
      <c r="B149">
        <v>1</v>
      </c>
      <c r="C149" t="s">
        <v>5592</v>
      </c>
      <c r="D149" t="s">
        <v>5887</v>
      </c>
    </row>
    <row r="150" spans="1:4" x14ac:dyDescent="0.25">
      <c r="A150" t="s">
        <v>5888</v>
      </c>
      <c r="B150">
        <v>1</v>
      </c>
      <c r="C150" t="s">
        <v>5592</v>
      </c>
      <c r="D150" t="s">
        <v>5889</v>
      </c>
    </row>
    <row r="151" spans="1:4" x14ac:dyDescent="0.25">
      <c r="A151" t="s">
        <v>5890</v>
      </c>
      <c r="B151">
        <v>1</v>
      </c>
      <c r="C151" t="s">
        <v>5592</v>
      </c>
      <c r="D151" t="s">
        <v>5891</v>
      </c>
    </row>
    <row r="152" spans="1:4" x14ac:dyDescent="0.25">
      <c r="A152" t="s">
        <v>5892</v>
      </c>
      <c r="B152">
        <v>1</v>
      </c>
      <c r="C152" t="s">
        <v>5592</v>
      </c>
      <c r="D152" t="s">
        <v>5893</v>
      </c>
    </row>
    <row r="153" spans="1:4" x14ac:dyDescent="0.25">
      <c r="A153" t="s">
        <v>5894</v>
      </c>
      <c r="B153">
        <v>1</v>
      </c>
      <c r="C153" t="s">
        <v>5592</v>
      </c>
      <c r="D153" t="s">
        <v>5895</v>
      </c>
    </row>
    <row r="154" spans="1:4" x14ac:dyDescent="0.25">
      <c r="A154" t="s">
        <v>5896</v>
      </c>
      <c r="B154">
        <v>1</v>
      </c>
      <c r="C154" t="s">
        <v>5592</v>
      </c>
      <c r="D154" t="s">
        <v>5897</v>
      </c>
    </row>
    <row r="155" spans="1:4" x14ac:dyDescent="0.25">
      <c r="A155" t="s">
        <v>5898</v>
      </c>
      <c r="B155">
        <v>1</v>
      </c>
      <c r="C155" t="s">
        <v>5592</v>
      </c>
      <c r="D155" t="s">
        <v>5899</v>
      </c>
    </row>
    <row r="156" spans="1:4" x14ac:dyDescent="0.25">
      <c r="A156" s="1" t="s">
        <v>5900</v>
      </c>
      <c r="B156">
        <v>1</v>
      </c>
      <c r="C156" t="s">
        <v>5592</v>
      </c>
      <c r="D156" t="s">
        <v>5901</v>
      </c>
    </row>
    <row r="157" spans="1:4" x14ac:dyDescent="0.25">
      <c r="A157" t="s">
        <v>5902</v>
      </c>
      <c r="B157">
        <v>1</v>
      </c>
      <c r="C157" t="s">
        <v>5592</v>
      </c>
      <c r="D157" t="s">
        <v>5903</v>
      </c>
    </row>
    <row r="158" spans="1:4" x14ac:dyDescent="0.25">
      <c r="A158" t="s">
        <v>5904</v>
      </c>
      <c r="B158">
        <v>1</v>
      </c>
      <c r="C158" t="s">
        <v>5592</v>
      </c>
      <c r="D158" t="s">
        <v>5905</v>
      </c>
    </row>
    <row r="159" spans="1:4" x14ac:dyDescent="0.25">
      <c r="A159" t="s">
        <v>5906</v>
      </c>
      <c r="B159">
        <v>1</v>
      </c>
      <c r="C159" t="s">
        <v>5592</v>
      </c>
      <c r="D159" t="s">
        <v>5907</v>
      </c>
    </row>
    <row r="160" spans="1:4" x14ac:dyDescent="0.25">
      <c r="A160" t="s">
        <v>5908</v>
      </c>
      <c r="B160">
        <v>1</v>
      </c>
      <c r="C160" t="s">
        <v>5592</v>
      </c>
      <c r="D160" t="s">
        <v>5909</v>
      </c>
    </row>
    <row r="161" spans="1:4" x14ac:dyDescent="0.25">
      <c r="A161" t="s">
        <v>5910</v>
      </c>
      <c r="B161">
        <v>1</v>
      </c>
      <c r="C161" t="s">
        <v>5592</v>
      </c>
      <c r="D161" t="s">
        <v>5911</v>
      </c>
    </row>
    <row r="162" spans="1:4" x14ac:dyDescent="0.25">
      <c r="A162" t="s">
        <v>5912</v>
      </c>
      <c r="B162">
        <v>1</v>
      </c>
      <c r="C162" t="s">
        <v>5592</v>
      </c>
      <c r="D162" t="s">
        <v>5913</v>
      </c>
    </row>
    <row r="163" spans="1:4" x14ac:dyDescent="0.25">
      <c r="A163" t="s">
        <v>5914</v>
      </c>
      <c r="B163">
        <v>1</v>
      </c>
      <c r="C163" t="s">
        <v>5592</v>
      </c>
      <c r="D163" t="s">
        <v>5915</v>
      </c>
    </row>
    <row r="164" spans="1:4" x14ac:dyDescent="0.25">
      <c r="A164" t="s">
        <v>5916</v>
      </c>
      <c r="B164">
        <v>1</v>
      </c>
      <c r="C164" t="s">
        <v>5592</v>
      </c>
      <c r="D164" t="s">
        <v>5917</v>
      </c>
    </row>
    <row r="165" spans="1:4" x14ac:dyDescent="0.25">
      <c r="A165" t="s">
        <v>5918</v>
      </c>
      <c r="B165">
        <v>1</v>
      </c>
      <c r="C165" t="s">
        <v>5592</v>
      </c>
      <c r="D165" t="s">
        <v>5919</v>
      </c>
    </row>
    <row r="166" spans="1:4" x14ac:dyDescent="0.25">
      <c r="A166" t="s">
        <v>5920</v>
      </c>
      <c r="B166">
        <v>1</v>
      </c>
      <c r="C166" t="s">
        <v>5592</v>
      </c>
      <c r="D166" t="s">
        <v>5921</v>
      </c>
    </row>
    <row r="167" spans="1:4" x14ac:dyDescent="0.25">
      <c r="A167" t="s">
        <v>5922</v>
      </c>
      <c r="B167">
        <v>1</v>
      </c>
      <c r="C167" t="s">
        <v>5592</v>
      </c>
      <c r="D167" t="s">
        <v>5923</v>
      </c>
    </row>
    <row r="168" spans="1:4" x14ac:dyDescent="0.25">
      <c r="A168" t="s">
        <v>5924</v>
      </c>
      <c r="B168">
        <v>1</v>
      </c>
      <c r="C168" t="s">
        <v>5592</v>
      </c>
      <c r="D168" t="s">
        <v>5925</v>
      </c>
    </row>
    <row r="169" spans="1:4" x14ac:dyDescent="0.25">
      <c r="A169" t="s">
        <v>5926</v>
      </c>
      <c r="B169">
        <v>1</v>
      </c>
      <c r="C169" t="s">
        <v>5592</v>
      </c>
      <c r="D169" t="s">
        <v>5927</v>
      </c>
    </row>
    <row r="170" spans="1:4" x14ac:dyDescent="0.25">
      <c r="A170" t="s">
        <v>5928</v>
      </c>
      <c r="B170">
        <v>1</v>
      </c>
      <c r="C170" t="s">
        <v>5592</v>
      </c>
      <c r="D170" t="s">
        <v>5929</v>
      </c>
    </row>
    <row r="171" spans="1:4" x14ac:dyDescent="0.25">
      <c r="A171" t="s">
        <v>5930</v>
      </c>
      <c r="B171">
        <v>1</v>
      </c>
      <c r="C171" t="s">
        <v>5592</v>
      </c>
      <c r="D171" t="s">
        <v>5931</v>
      </c>
    </row>
    <row r="172" spans="1:4" x14ac:dyDescent="0.25">
      <c r="A172" t="s">
        <v>5932</v>
      </c>
      <c r="B172">
        <v>1</v>
      </c>
      <c r="C172" t="s">
        <v>5592</v>
      </c>
      <c r="D172" t="s">
        <v>5933</v>
      </c>
    </row>
    <row r="173" spans="1:4" x14ac:dyDescent="0.25">
      <c r="A173" t="s">
        <v>5934</v>
      </c>
      <c r="B173">
        <v>1</v>
      </c>
      <c r="C173" t="s">
        <v>5592</v>
      </c>
      <c r="D173" t="s">
        <v>5935</v>
      </c>
    </row>
    <row r="174" spans="1:4" x14ac:dyDescent="0.25">
      <c r="A174" t="s">
        <v>5936</v>
      </c>
      <c r="B174">
        <v>1</v>
      </c>
      <c r="C174" t="s">
        <v>5592</v>
      </c>
      <c r="D174" t="s">
        <v>5937</v>
      </c>
    </row>
    <row r="175" spans="1:4" x14ac:dyDescent="0.25">
      <c r="A175" t="s">
        <v>5938</v>
      </c>
      <c r="B175">
        <v>1</v>
      </c>
      <c r="C175" t="s">
        <v>5592</v>
      </c>
      <c r="D175" t="s">
        <v>5939</v>
      </c>
    </row>
    <row r="176" spans="1:4" x14ac:dyDescent="0.25">
      <c r="A176" t="s">
        <v>5940</v>
      </c>
      <c r="B176">
        <v>1</v>
      </c>
      <c r="C176" t="s">
        <v>5592</v>
      </c>
      <c r="D176" t="s">
        <v>5941</v>
      </c>
    </row>
    <row r="177" spans="1:4" x14ac:dyDescent="0.25">
      <c r="A177" t="s">
        <v>5942</v>
      </c>
      <c r="B177">
        <v>1</v>
      </c>
      <c r="C177" t="s">
        <v>5592</v>
      </c>
      <c r="D177" t="s">
        <v>5943</v>
      </c>
    </row>
    <row r="178" spans="1:4" x14ac:dyDescent="0.25">
      <c r="A178" t="s">
        <v>5944</v>
      </c>
      <c r="B178">
        <v>1</v>
      </c>
      <c r="C178" t="s">
        <v>5592</v>
      </c>
      <c r="D178" t="s">
        <v>5945</v>
      </c>
    </row>
    <row r="179" spans="1:4" x14ac:dyDescent="0.25">
      <c r="A179" t="s">
        <v>5946</v>
      </c>
      <c r="B179">
        <v>1</v>
      </c>
      <c r="C179" t="s">
        <v>5592</v>
      </c>
      <c r="D179" t="s">
        <v>5947</v>
      </c>
    </row>
    <row r="180" spans="1:4" x14ac:dyDescent="0.25">
      <c r="A180" t="s">
        <v>5948</v>
      </c>
      <c r="B180">
        <v>1</v>
      </c>
      <c r="C180" t="s">
        <v>5592</v>
      </c>
      <c r="D180" t="s">
        <v>5949</v>
      </c>
    </row>
    <row r="181" spans="1:4" x14ac:dyDescent="0.25">
      <c r="A181" t="s">
        <v>5950</v>
      </c>
      <c r="B181">
        <v>1</v>
      </c>
      <c r="C181" t="s">
        <v>5592</v>
      </c>
      <c r="D181" t="s">
        <v>5951</v>
      </c>
    </row>
    <row r="182" spans="1:4" x14ac:dyDescent="0.25">
      <c r="A182" t="s">
        <v>5952</v>
      </c>
      <c r="B182">
        <v>1</v>
      </c>
      <c r="C182" t="s">
        <v>5592</v>
      </c>
      <c r="D182" t="s">
        <v>5953</v>
      </c>
    </row>
    <row r="183" spans="1:4" x14ac:dyDescent="0.25">
      <c r="A183" t="s">
        <v>5954</v>
      </c>
      <c r="B183">
        <v>1</v>
      </c>
      <c r="C183" t="s">
        <v>5592</v>
      </c>
      <c r="D183" t="s">
        <v>5955</v>
      </c>
    </row>
    <row r="184" spans="1:4" x14ac:dyDescent="0.25">
      <c r="A184" t="s">
        <v>5956</v>
      </c>
      <c r="B184">
        <v>1</v>
      </c>
      <c r="C184" t="s">
        <v>5592</v>
      </c>
      <c r="D184" t="s">
        <v>5957</v>
      </c>
    </row>
    <row r="185" spans="1:4" x14ac:dyDescent="0.25">
      <c r="A185" t="s">
        <v>5958</v>
      </c>
      <c r="B185">
        <v>1</v>
      </c>
      <c r="C185" t="s">
        <v>5592</v>
      </c>
      <c r="D185" t="s">
        <v>5959</v>
      </c>
    </row>
    <row r="186" spans="1:4" x14ac:dyDescent="0.25">
      <c r="A186" t="s">
        <v>5960</v>
      </c>
      <c r="B186">
        <v>1</v>
      </c>
      <c r="C186" t="s">
        <v>5592</v>
      </c>
      <c r="D186" t="s">
        <v>5961</v>
      </c>
    </row>
    <row r="187" spans="1:4" x14ac:dyDescent="0.25">
      <c r="A187" t="s">
        <v>5962</v>
      </c>
      <c r="B187">
        <v>1</v>
      </c>
      <c r="C187" t="s">
        <v>5592</v>
      </c>
      <c r="D187" t="s">
        <v>5963</v>
      </c>
    </row>
    <row r="188" spans="1:4" x14ac:dyDescent="0.25">
      <c r="A188" t="s">
        <v>5964</v>
      </c>
      <c r="B188">
        <v>1</v>
      </c>
      <c r="C188" t="s">
        <v>5592</v>
      </c>
      <c r="D188" t="s">
        <v>5965</v>
      </c>
    </row>
    <row r="189" spans="1:4" x14ac:dyDescent="0.25">
      <c r="A189" t="s">
        <v>5966</v>
      </c>
      <c r="B189">
        <v>1</v>
      </c>
      <c r="C189" t="s">
        <v>5592</v>
      </c>
      <c r="D189" t="s">
        <v>5967</v>
      </c>
    </row>
    <row r="190" spans="1:4" x14ac:dyDescent="0.25">
      <c r="A190" t="s">
        <v>5968</v>
      </c>
      <c r="B190">
        <v>1</v>
      </c>
      <c r="C190" t="s">
        <v>5592</v>
      </c>
      <c r="D190" t="s">
        <v>5969</v>
      </c>
    </row>
    <row r="191" spans="1:4" x14ac:dyDescent="0.25">
      <c r="A191" t="s">
        <v>5970</v>
      </c>
      <c r="B191">
        <v>1</v>
      </c>
      <c r="C191" t="s">
        <v>5592</v>
      </c>
      <c r="D191" t="s">
        <v>5971</v>
      </c>
    </row>
    <row r="192" spans="1:4" x14ac:dyDescent="0.25">
      <c r="A192" t="s">
        <v>5972</v>
      </c>
      <c r="B192">
        <v>1</v>
      </c>
      <c r="C192" t="s">
        <v>5592</v>
      </c>
      <c r="D192" t="s">
        <v>5973</v>
      </c>
    </row>
    <row r="193" spans="1:4" x14ac:dyDescent="0.25">
      <c r="A193" t="s">
        <v>5974</v>
      </c>
      <c r="B193">
        <v>1</v>
      </c>
      <c r="C193" t="s">
        <v>5592</v>
      </c>
      <c r="D193" t="s">
        <v>5975</v>
      </c>
    </row>
    <row r="194" spans="1:4" x14ac:dyDescent="0.25">
      <c r="A194" t="s">
        <v>5976</v>
      </c>
      <c r="B194">
        <v>1</v>
      </c>
      <c r="C194" t="s">
        <v>5592</v>
      </c>
      <c r="D194" t="s">
        <v>5977</v>
      </c>
    </row>
    <row r="195" spans="1:4" x14ac:dyDescent="0.25">
      <c r="A195" t="s">
        <v>5978</v>
      </c>
      <c r="B195">
        <v>1</v>
      </c>
      <c r="C195" t="s">
        <v>5592</v>
      </c>
      <c r="D195" t="s">
        <v>5979</v>
      </c>
    </row>
    <row r="196" spans="1:4" x14ac:dyDescent="0.25">
      <c r="A196" t="s">
        <v>5980</v>
      </c>
      <c r="B196">
        <v>1</v>
      </c>
      <c r="C196" t="s">
        <v>5592</v>
      </c>
      <c r="D196" t="s">
        <v>5981</v>
      </c>
    </row>
    <row r="197" spans="1:4" x14ac:dyDescent="0.25">
      <c r="A197" t="s">
        <v>5982</v>
      </c>
      <c r="B197">
        <v>1</v>
      </c>
      <c r="C197" t="s">
        <v>5592</v>
      </c>
      <c r="D197" t="s">
        <v>5983</v>
      </c>
    </row>
    <row r="198" spans="1:4" x14ac:dyDescent="0.25">
      <c r="A198" t="s">
        <v>5984</v>
      </c>
      <c r="B198">
        <v>1</v>
      </c>
      <c r="C198" t="s">
        <v>5592</v>
      </c>
      <c r="D198" t="s">
        <v>5985</v>
      </c>
    </row>
    <row r="199" spans="1:4" x14ac:dyDescent="0.25">
      <c r="A199" t="s">
        <v>5986</v>
      </c>
      <c r="B199">
        <v>1</v>
      </c>
      <c r="C199" t="s">
        <v>5592</v>
      </c>
      <c r="D199" t="s">
        <v>5987</v>
      </c>
    </row>
    <row r="200" spans="1:4" x14ac:dyDescent="0.25">
      <c r="A200" t="s">
        <v>5988</v>
      </c>
      <c r="B200">
        <v>1</v>
      </c>
      <c r="C200" t="s">
        <v>5592</v>
      </c>
      <c r="D200" t="s">
        <v>5989</v>
      </c>
    </row>
    <row r="201" spans="1:4" x14ac:dyDescent="0.25">
      <c r="A201" t="s">
        <v>5990</v>
      </c>
      <c r="B201">
        <v>1</v>
      </c>
      <c r="C201" t="s">
        <v>5592</v>
      </c>
      <c r="D201" t="s">
        <v>5991</v>
      </c>
    </row>
    <row r="202" spans="1:4" x14ac:dyDescent="0.25">
      <c r="A202" t="s">
        <v>5992</v>
      </c>
      <c r="B202">
        <v>1</v>
      </c>
      <c r="C202" t="s">
        <v>5592</v>
      </c>
      <c r="D202" t="s">
        <v>5993</v>
      </c>
    </row>
    <row r="203" spans="1:4" x14ac:dyDescent="0.25">
      <c r="A203" t="s">
        <v>5994</v>
      </c>
      <c r="B203">
        <v>1</v>
      </c>
      <c r="C203" t="s">
        <v>5592</v>
      </c>
      <c r="D203" t="s">
        <v>5995</v>
      </c>
    </row>
    <row r="204" spans="1:4" x14ac:dyDescent="0.25">
      <c r="A204" t="s">
        <v>5996</v>
      </c>
      <c r="B204">
        <v>1</v>
      </c>
      <c r="C204" t="s">
        <v>5592</v>
      </c>
      <c r="D204" t="s">
        <v>5997</v>
      </c>
    </row>
    <row r="205" spans="1:4" x14ac:dyDescent="0.25">
      <c r="A205" s="1" t="s">
        <v>5998</v>
      </c>
      <c r="B205">
        <v>1</v>
      </c>
      <c r="C205" t="s">
        <v>5592</v>
      </c>
      <c r="D205" t="s">
        <v>5999</v>
      </c>
    </row>
    <row r="206" spans="1:4" x14ac:dyDescent="0.25">
      <c r="A206" t="s">
        <v>6000</v>
      </c>
      <c r="B206">
        <v>1</v>
      </c>
      <c r="C206" t="s">
        <v>5592</v>
      </c>
      <c r="D206" t="s">
        <v>6001</v>
      </c>
    </row>
    <row r="207" spans="1:4" x14ac:dyDescent="0.25">
      <c r="A207" t="s">
        <v>6002</v>
      </c>
      <c r="B207">
        <v>1</v>
      </c>
      <c r="C207" t="s">
        <v>5592</v>
      </c>
      <c r="D207" t="s">
        <v>6003</v>
      </c>
    </row>
    <row r="208" spans="1:4" x14ac:dyDescent="0.25">
      <c r="A208" t="s">
        <v>6004</v>
      </c>
      <c r="B208">
        <v>1</v>
      </c>
      <c r="C208" t="s">
        <v>5592</v>
      </c>
      <c r="D208" t="s">
        <v>6005</v>
      </c>
    </row>
    <row r="209" spans="1:4" x14ac:dyDescent="0.25">
      <c r="A209" t="s">
        <v>6006</v>
      </c>
      <c r="B209">
        <v>1</v>
      </c>
      <c r="C209" t="s">
        <v>5592</v>
      </c>
      <c r="D209" t="s">
        <v>6007</v>
      </c>
    </row>
    <row r="210" spans="1:4" x14ac:dyDescent="0.25">
      <c r="A210" t="s">
        <v>6008</v>
      </c>
      <c r="B210">
        <v>1</v>
      </c>
      <c r="C210" t="s">
        <v>5592</v>
      </c>
      <c r="D210" t="s">
        <v>6009</v>
      </c>
    </row>
    <row r="211" spans="1:4" x14ac:dyDescent="0.25">
      <c r="A211" t="s">
        <v>6010</v>
      </c>
      <c r="B211">
        <v>1</v>
      </c>
      <c r="C211" t="s">
        <v>5592</v>
      </c>
      <c r="D211" t="s">
        <v>6011</v>
      </c>
    </row>
    <row r="212" spans="1:4" x14ac:dyDescent="0.25">
      <c r="A212" t="s">
        <v>6012</v>
      </c>
      <c r="B212">
        <v>1</v>
      </c>
      <c r="C212" t="s">
        <v>5592</v>
      </c>
      <c r="D212" t="s">
        <v>6013</v>
      </c>
    </row>
    <row r="213" spans="1:4" x14ac:dyDescent="0.25">
      <c r="A213" t="s">
        <v>6014</v>
      </c>
      <c r="B213">
        <v>1</v>
      </c>
      <c r="C213" t="s">
        <v>5592</v>
      </c>
      <c r="D213" t="s">
        <v>6015</v>
      </c>
    </row>
    <row r="214" spans="1:4" x14ac:dyDescent="0.25">
      <c r="A214" t="s">
        <v>6016</v>
      </c>
      <c r="B214">
        <v>1</v>
      </c>
      <c r="C214" t="s">
        <v>5592</v>
      </c>
      <c r="D214" t="s">
        <v>6017</v>
      </c>
    </row>
    <row r="215" spans="1:4" x14ac:dyDescent="0.25">
      <c r="A215" t="s">
        <v>6018</v>
      </c>
      <c r="B215">
        <v>1</v>
      </c>
      <c r="C215" t="s">
        <v>5592</v>
      </c>
      <c r="D215" t="s">
        <v>6019</v>
      </c>
    </row>
    <row r="216" spans="1:4" x14ac:dyDescent="0.25">
      <c r="A216" t="s">
        <v>6020</v>
      </c>
      <c r="B216">
        <v>1</v>
      </c>
      <c r="C216" t="s">
        <v>5592</v>
      </c>
      <c r="D216" t="s">
        <v>6021</v>
      </c>
    </row>
    <row r="217" spans="1:4" x14ac:dyDescent="0.25">
      <c r="A217" t="s">
        <v>6022</v>
      </c>
      <c r="B217">
        <v>1</v>
      </c>
      <c r="C217" t="s">
        <v>5592</v>
      </c>
      <c r="D217" t="s">
        <v>6023</v>
      </c>
    </row>
    <row r="218" spans="1:4" x14ac:dyDescent="0.25">
      <c r="A218" t="s">
        <v>6024</v>
      </c>
      <c r="B218">
        <v>1</v>
      </c>
      <c r="C218" t="s">
        <v>5592</v>
      </c>
      <c r="D218" t="s">
        <v>6025</v>
      </c>
    </row>
    <row r="219" spans="1:4" x14ac:dyDescent="0.25">
      <c r="A219" t="s">
        <v>6026</v>
      </c>
      <c r="B219">
        <v>1</v>
      </c>
      <c r="C219" t="s">
        <v>5592</v>
      </c>
      <c r="D219" t="s">
        <v>6027</v>
      </c>
    </row>
    <row r="220" spans="1:4" x14ac:dyDescent="0.25">
      <c r="A220" t="s">
        <v>6028</v>
      </c>
      <c r="B220">
        <v>1</v>
      </c>
      <c r="C220" t="s">
        <v>5592</v>
      </c>
      <c r="D220" t="s">
        <v>6029</v>
      </c>
    </row>
    <row r="221" spans="1:4" x14ac:dyDescent="0.25">
      <c r="A221" t="s">
        <v>6030</v>
      </c>
      <c r="B221">
        <v>1</v>
      </c>
      <c r="C221" t="s">
        <v>5592</v>
      </c>
      <c r="D221" t="s">
        <v>6031</v>
      </c>
    </row>
    <row r="222" spans="1:4" x14ac:dyDescent="0.25">
      <c r="A222" t="s">
        <v>6032</v>
      </c>
      <c r="B222">
        <v>1</v>
      </c>
      <c r="C222" t="s">
        <v>5592</v>
      </c>
      <c r="D222" t="s">
        <v>6033</v>
      </c>
    </row>
    <row r="223" spans="1:4" x14ac:dyDescent="0.25">
      <c r="A223" t="s">
        <v>6034</v>
      </c>
      <c r="B223">
        <v>1</v>
      </c>
      <c r="C223" t="s">
        <v>5592</v>
      </c>
      <c r="D223" t="s">
        <v>6035</v>
      </c>
    </row>
    <row r="224" spans="1:4" x14ac:dyDescent="0.25">
      <c r="A224" t="s">
        <v>6036</v>
      </c>
      <c r="B224">
        <v>1</v>
      </c>
      <c r="C224" t="s">
        <v>5592</v>
      </c>
      <c r="D224" t="s">
        <v>6037</v>
      </c>
    </row>
    <row r="225" spans="1:4" x14ac:dyDescent="0.25">
      <c r="A225" t="s">
        <v>6038</v>
      </c>
      <c r="B225">
        <v>1</v>
      </c>
      <c r="C225" t="s">
        <v>5592</v>
      </c>
      <c r="D225" t="s">
        <v>6039</v>
      </c>
    </row>
    <row r="226" spans="1:4" x14ac:dyDescent="0.25">
      <c r="A226" t="s">
        <v>6040</v>
      </c>
      <c r="B226">
        <v>1</v>
      </c>
      <c r="C226" t="s">
        <v>5592</v>
      </c>
      <c r="D226" t="s">
        <v>6041</v>
      </c>
    </row>
    <row r="227" spans="1:4" x14ac:dyDescent="0.25">
      <c r="A227" t="s">
        <v>6042</v>
      </c>
      <c r="B227">
        <v>1</v>
      </c>
      <c r="C227" t="s">
        <v>5592</v>
      </c>
      <c r="D227" t="s">
        <v>6043</v>
      </c>
    </row>
    <row r="228" spans="1:4" x14ac:dyDescent="0.25">
      <c r="A228" t="s">
        <v>6044</v>
      </c>
      <c r="B228">
        <v>1</v>
      </c>
      <c r="C228" t="s">
        <v>5592</v>
      </c>
      <c r="D228" t="s">
        <v>6045</v>
      </c>
    </row>
    <row r="229" spans="1:4" x14ac:dyDescent="0.25">
      <c r="A229" t="s">
        <v>6046</v>
      </c>
      <c r="B229">
        <v>1</v>
      </c>
      <c r="C229" t="s">
        <v>5592</v>
      </c>
      <c r="D229" t="s">
        <v>6047</v>
      </c>
    </row>
    <row r="230" spans="1:4" x14ac:dyDescent="0.25">
      <c r="A230" t="s">
        <v>6048</v>
      </c>
      <c r="B230">
        <v>1</v>
      </c>
      <c r="C230" t="s">
        <v>5592</v>
      </c>
      <c r="D230" t="s">
        <v>6049</v>
      </c>
    </row>
    <row r="231" spans="1:4" x14ac:dyDescent="0.25">
      <c r="A231" t="s">
        <v>6050</v>
      </c>
      <c r="B231">
        <v>1</v>
      </c>
      <c r="C231" t="s">
        <v>5592</v>
      </c>
      <c r="D231" t="s">
        <v>6051</v>
      </c>
    </row>
    <row r="232" spans="1:4" x14ac:dyDescent="0.25">
      <c r="A232" t="s">
        <v>6052</v>
      </c>
      <c r="B232">
        <v>1</v>
      </c>
      <c r="C232" t="s">
        <v>5592</v>
      </c>
      <c r="D232" t="s">
        <v>6053</v>
      </c>
    </row>
    <row r="233" spans="1:4" x14ac:dyDescent="0.25">
      <c r="A233" t="s">
        <v>6054</v>
      </c>
      <c r="B233">
        <v>1</v>
      </c>
      <c r="C233" t="s">
        <v>5592</v>
      </c>
      <c r="D233" t="s">
        <v>6055</v>
      </c>
    </row>
    <row r="234" spans="1:4" x14ac:dyDescent="0.25">
      <c r="A234" t="s">
        <v>6056</v>
      </c>
      <c r="B234">
        <v>1</v>
      </c>
      <c r="C234" t="s">
        <v>5592</v>
      </c>
      <c r="D234" t="s">
        <v>6057</v>
      </c>
    </row>
    <row r="235" spans="1:4" x14ac:dyDescent="0.25">
      <c r="A235" t="s">
        <v>6058</v>
      </c>
      <c r="B235">
        <v>1</v>
      </c>
      <c r="C235" t="s">
        <v>5592</v>
      </c>
      <c r="D235" t="s">
        <v>6059</v>
      </c>
    </row>
    <row r="236" spans="1:4" x14ac:dyDescent="0.25">
      <c r="A236" t="s">
        <v>6060</v>
      </c>
      <c r="B236">
        <v>1</v>
      </c>
      <c r="C236" t="s">
        <v>5592</v>
      </c>
      <c r="D236" t="s">
        <v>6061</v>
      </c>
    </row>
    <row r="237" spans="1:4" x14ac:dyDescent="0.25">
      <c r="A237" t="s">
        <v>6062</v>
      </c>
      <c r="B237">
        <v>1</v>
      </c>
      <c r="C237" t="s">
        <v>5592</v>
      </c>
      <c r="D237" t="s">
        <v>6063</v>
      </c>
    </row>
    <row r="238" spans="1:4" x14ac:dyDescent="0.25">
      <c r="A238" t="s">
        <v>6064</v>
      </c>
      <c r="B238">
        <v>1</v>
      </c>
      <c r="C238" t="s">
        <v>5592</v>
      </c>
      <c r="D238" t="s">
        <v>6065</v>
      </c>
    </row>
    <row r="239" spans="1:4" x14ac:dyDescent="0.25">
      <c r="A239" t="s">
        <v>6066</v>
      </c>
      <c r="B239">
        <v>1</v>
      </c>
      <c r="C239" t="s">
        <v>5592</v>
      </c>
      <c r="D239" t="s">
        <v>6067</v>
      </c>
    </row>
    <row r="240" spans="1:4" x14ac:dyDescent="0.25">
      <c r="A240" t="s">
        <v>6068</v>
      </c>
      <c r="B240">
        <v>1</v>
      </c>
      <c r="C240" t="s">
        <v>5592</v>
      </c>
      <c r="D240" t="s">
        <v>6069</v>
      </c>
    </row>
    <row r="241" spans="1:4" x14ac:dyDescent="0.25">
      <c r="A241" t="s">
        <v>6070</v>
      </c>
      <c r="B241">
        <v>1</v>
      </c>
      <c r="C241" t="s">
        <v>5592</v>
      </c>
      <c r="D241" t="s">
        <v>6071</v>
      </c>
    </row>
    <row r="242" spans="1:4" x14ac:dyDescent="0.25">
      <c r="A242" t="s">
        <v>6072</v>
      </c>
      <c r="B242">
        <v>1</v>
      </c>
      <c r="C242" t="s">
        <v>5592</v>
      </c>
      <c r="D242" t="s">
        <v>6073</v>
      </c>
    </row>
    <row r="243" spans="1:4" x14ac:dyDescent="0.25">
      <c r="A243" t="s">
        <v>6074</v>
      </c>
      <c r="B243">
        <v>1</v>
      </c>
      <c r="C243" t="s">
        <v>5592</v>
      </c>
      <c r="D243" t="s">
        <v>6075</v>
      </c>
    </row>
    <row r="244" spans="1:4" x14ac:dyDescent="0.25">
      <c r="A244" t="s">
        <v>6076</v>
      </c>
      <c r="B244">
        <v>1</v>
      </c>
      <c r="C244" t="s">
        <v>5592</v>
      </c>
      <c r="D244" t="s">
        <v>6077</v>
      </c>
    </row>
    <row r="245" spans="1:4" x14ac:dyDescent="0.25">
      <c r="A245" t="s">
        <v>6078</v>
      </c>
      <c r="B245">
        <v>1</v>
      </c>
      <c r="C245" t="s">
        <v>5592</v>
      </c>
      <c r="D245" t="s">
        <v>6079</v>
      </c>
    </row>
    <row r="246" spans="1:4" x14ac:dyDescent="0.25">
      <c r="A246" t="s">
        <v>6080</v>
      </c>
      <c r="B246">
        <v>1</v>
      </c>
      <c r="C246" t="s">
        <v>5592</v>
      </c>
      <c r="D246" t="s">
        <v>6081</v>
      </c>
    </row>
    <row r="247" spans="1:4" x14ac:dyDescent="0.25">
      <c r="A247" t="s">
        <v>6082</v>
      </c>
      <c r="B247">
        <v>1</v>
      </c>
      <c r="C247" t="s">
        <v>5592</v>
      </c>
      <c r="D247" t="s">
        <v>6083</v>
      </c>
    </row>
    <row r="248" spans="1:4" x14ac:dyDescent="0.25">
      <c r="A248" t="s">
        <v>6084</v>
      </c>
      <c r="B248">
        <v>1</v>
      </c>
      <c r="C248" t="s">
        <v>5592</v>
      </c>
      <c r="D248" t="s">
        <v>6085</v>
      </c>
    </row>
    <row r="249" spans="1:4" x14ac:dyDescent="0.25">
      <c r="A249" t="s">
        <v>6086</v>
      </c>
      <c r="B249">
        <v>1</v>
      </c>
      <c r="C249" t="s">
        <v>5592</v>
      </c>
      <c r="D249" t="s">
        <v>6087</v>
      </c>
    </row>
    <row r="250" spans="1:4" x14ac:dyDescent="0.25">
      <c r="A250" t="s">
        <v>6088</v>
      </c>
      <c r="B250">
        <v>1</v>
      </c>
      <c r="C250" t="s">
        <v>5592</v>
      </c>
      <c r="D250" t="s">
        <v>6089</v>
      </c>
    </row>
    <row r="251" spans="1:4" x14ac:dyDescent="0.25">
      <c r="A251" t="s">
        <v>6090</v>
      </c>
      <c r="B251">
        <v>1</v>
      </c>
      <c r="C251" t="s">
        <v>5592</v>
      </c>
      <c r="D251" t="s">
        <v>6091</v>
      </c>
    </row>
    <row r="252" spans="1:4" x14ac:dyDescent="0.25">
      <c r="A252" t="s">
        <v>6092</v>
      </c>
      <c r="B252">
        <v>1</v>
      </c>
      <c r="C252" t="s">
        <v>5592</v>
      </c>
      <c r="D252" t="s">
        <v>6093</v>
      </c>
    </row>
    <row r="253" spans="1:4" x14ac:dyDescent="0.25">
      <c r="A253" t="s">
        <v>6094</v>
      </c>
      <c r="B253">
        <v>1</v>
      </c>
      <c r="C253" t="s">
        <v>5592</v>
      </c>
      <c r="D253" t="s">
        <v>6095</v>
      </c>
    </row>
    <row r="254" spans="1:4" x14ac:dyDescent="0.25">
      <c r="A254" t="s">
        <v>6096</v>
      </c>
      <c r="B254">
        <v>1</v>
      </c>
      <c r="C254" t="s">
        <v>5592</v>
      </c>
      <c r="D254" t="s">
        <v>6097</v>
      </c>
    </row>
    <row r="255" spans="1:4" x14ac:dyDescent="0.25">
      <c r="A255" t="s">
        <v>6098</v>
      </c>
      <c r="B255">
        <v>1</v>
      </c>
      <c r="C255" t="s">
        <v>5592</v>
      </c>
      <c r="D255" t="s">
        <v>6099</v>
      </c>
    </row>
    <row r="256" spans="1:4" x14ac:dyDescent="0.25">
      <c r="A256" t="s">
        <v>6100</v>
      </c>
      <c r="B256">
        <v>1</v>
      </c>
      <c r="C256" t="s">
        <v>5592</v>
      </c>
      <c r="D256" t="s">
        <v>6101</v>
      </c>
    </row>
    <row r="257" spans="1:4" x14ac:dyDescent="0.25">
      <c r="A257" t="s">
        <v>6102</v>
      </c>
      <c r="B257">
        <v>1</v>
      </c>
      <c r="C257" t="s">
        <v>5592</v>
      </c>
      <c r="D257" t="s">
        <v>6103</v>
      </c>
    </row>
    <row r="258" spans="1:4" x14ac:dyDescent="0.25">
      <c r="A258" s="1" t="s">
        <v>6104</v>
      </c>
      <c r="B258">
        <v>1</v>
      </c>
      <c r="C258" t="s">
        <v>5592</v>
      </c>
      <c r="D258" t="s">
        <v>6105</v>
      </c>
    </row>
    <row r="259" spans="1:4" x14ac:dyDescent="0.25">
      <c r="A259" t="s">
        <v>6106</v>
      </c>
      <c r="B259">
        <v>1</v>
      </c>
      <c r="C259" t="s">
        <v>5592</v>
      </c>
      <c r="D259" t="s">
        <v>6107</v>
      </c>
    </row>
    <row r="260" spans="1:4" x14ac:dyDescent="0.25">
      <c r="A260" t="s">
        <v>6108</v>
      </c>
      <c r="B260">
        <v>1</v>
      </c>
      <c r="C260" t="s">
        <v>5592</v>
      </c>
      <c r="D260" t="s">
        <v>6109</v>
      </c>
    </row>
    <row r="261" spans="1:4" x14ac:dyDescent="0.25">
      <c r="A261" t="s">
        <v>6110</v>
      </c>
      <c r="B261">
        <v>1</v>
      </c>
      <c r="C261" t="s">
        <v>5592</v>
      </c>
      <c r="D261" t="s">
        <v>6111</v>
      </c>
    </row>
    <row r="262" spans="1:4" x14ac:dyDescent="0.25">
      <c r="A262" t="s">
        <v>6112</v>
      </c>
      <c r="B262">
        <v>1</v>
      </c>
      <c r="C262" t="s">
        <v>5592</v>
      </c>
      <c r="D262" t="s">
        <v>6113</v>
      </c>
    </row>
    <row r="263" spans="1:4" x14ac:dyDescent="0.25">
      <c r="A263" t="s">
        <v>6114</v>
      </c>
      <c r="B263">
        <v>1</v>
      </c>
      <c r="C263" t="s">
        <v>5592</v>
      </c>
      <c r="D263" t="s">
        <v>6115</v>
      </c>
    </row>
    <row r="264" spans="1:4" x14ac:dyDescent="0.25">
      <c r="A264" t="s">
        <v>6116</v>
      </c>
      <c r="B264">
        <v>1</v>
      </c>
      <c r="C264" t="s">
        <v>5592</v>
      </c>
      <c r="D264" t="s">
        <v>6117</v>
      </c>
    </row>
    <row r="265" spans="1:4" x14ac:dyDescent="0.25">
      <c r="A265" t="s">
        <v>6118</v>
      </c>
      <c r="B265">
        <v>1</v>
      </c>
      <c r="C265" t="s">
        <v>5592</v>
      </c>
      <c r="D265" t="s">
        <v>6119</v>
      </c>
    </row>
    <row r="266" spans="1:4" x14ac:dyDescent="0.25">
      <c r="A266" t="s">
        <v>6120</v>
      </c>
      <c r="B266">
        <v>1</v>
      </c>
      <c r="C266" t="s">
        <v>5592</v>
      </c>
      <c r="D266" t="s">
        <v>6121</v>
      </c>
    </row>
    <row r="267" spans="1:4" x14ac:dyDescent="0.25">
      <c r="A267" t="s">
        <v>6122</v>
      </c>
      <c r="B267">
        <v>1</v>
      </c>
      <c r="C267" t="s">
        <v>5592</v>
      </c>
      <c r="D267" t="s">
        <v>6123</v>
      </c>
    </row>
    <row r="268" spans="1:4" x14ac:dyDescent="0.25">
      <c r="A268" t="s">
        <v>6124</v>
      </c>
      <c r="B268">
        <v>1</v>
      </c>
      <c r="C268" t="s">
        <v>5592</v>
      </c>
      <c r="D268" t="s">
        <v>6125</v>
      </c>
    </row>
    <row r="269" spans="1:4" x14ac:dyDescent="0.25">
      <c r="A269" t="s">
        <v>6126</v>
      </c>
      <c r="B269">
        <v>1</v>
      </c>
      <c r="C269" t="s">
        <v>5592</v>
      </c>
      <c r="D269" t="s">
        <v>6127</v>
      </c>
    </row>
    <row r="270" spans="1:4" x14ac:dyDescent="0.25">
      <c r="A270" t="s">
        <v>6128</v>
      </c>
      <c r="B270">
        <v>1</v>
      </c>
      <c r="C270" t="s">
        <v>5592</v>
      </c>
      <c r="D270" t="s">
        <v>6129</v>
      </c>
    </row>
    <row r="271" spans="1:4" x14ac:dyDescent="0.25">
      <c r="A271" t="s">
        <v>6130</v>
      </c>
      <c r="B271">
        <v>1</v>
      </c>
      <c r="C271" t="s">
        <v>5592</v>
      </c>
      <c r="D271" t="s">
        <v>6131</v>
      </c>
    </row>
    <row r="272" spans="1:4" x14ac:dyDescent="0.25">
      <c r="A272" t="s">
        <v>6132</v>
      </c>
      <c r="B272">
        <v>1</v>
      </c>
      <c r="C272" t="s">
        <v>5592</v>
      </c>
      <c r="D272" t="s">
        <v>6133</v>
      </c>
    </row>
    <row r="273" spans="1:4" x14ac:dyDescent="0.25">
      <c r="A273" s="1" t="s">
        <v>6134</v>
      </c>
      <c r="B273">
        <v>1</v>
      </c>
      <c r="C273" t="s">
        <v>5592</v>
      </c>
      <c r="D273" t="s">
        <v>6135</v>
      </c>
    </row>
    <row r="274" spans="1:4" x14ac:dyDescent="0.25">
      <c r="A274" t="s">
        <v>6136</v>
      </c>
      <c r="B274">
        <v>1</v>
      </c>
      <c r="C274" t="s">
        <v>5592</v>
      </c>
      <c r="D274" t="s">
        <v>6137</v>
      </c>
    </row>
    <row r="275" spans="1:4" x14ac:dyDescent="0.25">
      <c r="A275" t="s">
        <v>6138</v>
      </c>
      <c r="B275">
        <v>1</v>
      </c>
      <c r="C275" t="s">
        <v>5592</v>
      </c>
      <c r="D275" t="s">
        <v>6139</v>
      </c>
    </row>
    <row r="276" spans="1:4" x14ac:dyDescent="0.25">
      <c r="A276" t="s">
        <v>6140</v>
      </c>
      <c r="B276">
        <v>1</v>
      </c>
      <c r="C276" t="s">
        <v>5592</v>
      </c>
      <c r="D276" t="s">
        <v>6141</v>
      </c>
    </row>
    <row r="277" spans="1:4" x14ac:dyDescent="0.25">
      <c r="A277" t="s">
        <v>6142</v>
      </c>
      <c r="B277">
        <v>1</v>
      </c>
      <c r="C277" t="s">
        <v>5592</v>
      </c>
      <c r="D277" t="s">
        <v>6143</v>
      </c>
    </row>
    <row r="278" spans="1:4" x14ac:dyDescent="0.25">
      <c r="A278" t="s">
        <v>6144</v>
      </c>
      <c r="B278">
        <v>1</v>
      </c>
      <c r="C278" t="s">
        <v>5592</v>
      </c>
      <c r="D278" t="s">
        <v>6145</v>
      </c>
    </row>
    <row r="279" spans="1:4" x14ac:dyDescent="0.25">
      <c r="A279" t="s">
        <v>6146</v>
      </c>
      <c r="B279">
        <v>1</v>
      </c>
      <c r="C279" t="s">
        <v>5592</v>
      </c>
      <c r="D279" t="s">
        <v>6147</v>
      </c>
    </row>
    <row r="280" spans="1:4" x14ac:dyDescent="0.25">
      <c r="A280" t="s">
        <v>6148</v>
      </c>
      <c r="B280">
        <v>1</v>
      </c>
      <c r="C280" t="s">
        <v>5592</v>
      </c>
      <c r="D280" t="s">
        <v>6149</v>
      </c>
    </row>
    <row r="281" spans="1:4" x14ac:dyDescent="0.25">
      <c r="A281" t="s">
        <v>6150</v>
      </c>
      <c r="B281">
        <v>1</v>
      </c>
      <c r="C281" t="s">
        <v>5592</v>
      </c>
      <c r="D281" t="s">
        <v>6151</v>
      </c>
    </row>
    <row r="282" spans="1:4" x14ac:dyDescent="0.25">
      <c r="A282" t="s">
        <v>6152</v>
      </c>
      <c r="B282">
        <v>1</v>
      </c>
      <c r="C282" t="s">
        <v>5592</v>
      </c>
      <c r="D282" t="s">
        <v>6153</v>
      </c>
    </row>
    <row r="283" spans="1:4" x14ac:dyDescent="0.25">
      <c r="A283" t="s">
        <v>6154</v>
      </c>
      <c r="B283">
        <v>1</v>
      </c>
      <c r="C283" t="s">
        <v>5592</v>
      </c>
      <c r="D283" t="s">
        <v>6155</v>
      </c>
    </row>
    <row r="284" spans="1:4" x14ac:dyDescent="0.25">
      <c r="A284" t="s">
        <v>6156</v>
      </c>
      <c r="B284">
        <v>1</v>
      </c>
      <c r="C284" t="s">
        <v>5592</v>
      </c>
      <c r="D284" t="s">
        <v>6157</v>
      </c>
    </row>
    <row r="285" spans="1:4" x14ac:dyDescent="0.25">
      <c r="A285" t="s">
        <v>6158</v>
      </c>
      <c r="B285">
        <v>1</v>
      </c>
      <c r="C285" t="s">
        <v>5592</v>
      </c>
      <c r="D285" t="s">
        <v>6159</v>
      </c>
    </row>
    <row r="286" spans="1:4" x14ac:dyDescent="0.25">
      <c r="A286" t="s">
        <v>6160</v>
      </c>
      <c r="B286">
        <v>1</v>
      </c>
      <c r="C286" t="s">
        <v>5592</v>
      </c>
      <c r="D286" t="s">
        <v>6161</v>
      </c>
    </row>
    <row r="287" spans="1:4" x14ac:dyDescent="0.25">
      <c r="A287" t="s">
        <v>6162</v>
      </c>
      <c r="B287">
        <v>1</v>
      </c>
      <c r="C287" t="s">
        <v>5592</v>
      </c>
      <c r="D287" t="s">
        <v>6163</v>
      </c>
    </row>
    <row r="288" spans="1:4" x14ac:dyDescent="0.25">
      <c r="A288" t="s">
        <v>6164</v>
      </c>
      <c r="B288">
        <v>1</v>
      </c>
      <c r="C288" t="s">
        <v>5592</v>
      </c>
      <c r="D288" t="s">
        <v>6165</v>
      </c>
    </row>
    <row r="289" spans="1:4" x14ac:dyDescent="0.25">
      <c r="A289" t="s">
        <v>6166</v>
      </c>
      <c r="B289">
        <v>1</v>
      </c>
      <c r="C289" t="s">
        <v>5592</v>
      </c>
      <c r="D289" t="s">
        <v>6167</v>
      </c>
    </row>
    <row r="290" spans="1:4" x14ac:dyDescent="0.25">
      <c r="A290" t="s">
        <v>6168</v>
      </c>
      <c r="B290">
        <v>1</v>
      </c>
      <c r="C290" t="s">
        <v>5592</v>
      </c>
      <c r="D290" t="s">
        <v>6169</v>
      </c>
    </row>
    <row r="291" spans="1:4" x14ac:dyDescent="0.25">
      <c r="A291" t="s">
        <v>6170</v>
      </c>
      <c r="B291">
        <v>1</v>
      </c>
      <c r="C291" t="s">
        <v>5592</v>
      </c>
      <c r="D291" t="s">
        <v>6171</v>
      </c>
    </row>
    <row r="292" spans="1:4" x14ac:dyDescent="0.25">
      <c r="A292" t="s">
        <v>6172</v>
      </c>
      <c r="B292">
        <v>1</v>
      </c>
      <c r="C292" t="s">
        <v>5592</v>
      </c>
      <c r="D292" t="s">
        <v>6173</v>
      </c>
    </row>
    <row r="293" spans="1:4" x14ac:dyDescent="0.25">
      <c r="A293" t="s">
        <v>6174</v>
      </c>
      <c r="B293">
        <v>1</v>
      </c>
      <c r="C293" t="s">
        <v>5592</v>
      </c>
      <c r="D293" t="s">
        <v>6175</v>
      </c>
    </row>
    <row r="294" spans="1:4" x14ac:dyDescent="0.25">
      <c r="A294" s="1" t="s">
        <v>6176</v>
      </c>
      <c r="B294">
        <v>1</v>
      </c>
      <c r="C294" t="s">
        <v>5592</v>
      </c>
      <c r="D294" t="s">
        <v>6177</v>
      </c>
    </row>
    <row r="295" spans="1:4" x14ac:dyDescent="0.25">
      <c r="A295" t="s">
        <v>6178</v>
      </c>
      <c r="B295">
        <v>1</v>
      </c>
      <c r="C295" t="s">
        <v>5592</v>
      </c>
      <c r="D295" t="s">
        <v>6179</v>
      </c>
    </row>
    <row r="296" spans="1:4" x14ac:dyDescent="0.25">
      <c r="A296" t="s">
        <v>6180</v>
      </c>
      <c r="B296">
        <v>1</v>
      </c>
      <c r="C296" t="s">
        <v>5592</v>
      </c>
      <c r="D296" t="s">
        <v>6181</v>
      </c>
    </row>
    <row r="297" spans="1:4" x14ac:dyDescent="0.25">
      <c r="A297" t="s">
        <v>6182</v>
      </c>
      <c r="B297">
        <v>1</v>
      </c>
      <c r="C297" t="s">
        <v>5592</v>
      </c>
      <c r="D297" t="s">
        <v>6183</v>
      </c>
    </row>
    <row r="298" spans="1:4" x14ac:dyDescent="0.25">
      <c r="A298" t="s">
        <v>6184</v>
      </c>
      <c r="B298">
        <v>1</v>
      </c>
      <c r="C298" t="s">
        <v>5592</v>
      </c>
      <c r="D298" t="s">
        <v>6185</v>
      </c>
    </row>
    <row r="299" spans="1:4" x14ac:dyDescent="0.25">
      <c r="A299" t="s">
        <v>6186</v>
      </c>
      <c r="B299">
        <v>1</v>
      </c>
      <c r="C299" t="s">
        <v>5592</v>
      </c>
      <c r="D299" t="s">
        <v>6187</v>
      </c>
    </row>
    <row r="300" spans="1:4" x14ac:dyDescent="0.25">
      <c r="A300" t="s">
        <v>6188</v>
      </c>
      <c r="B300">
        <v>1</v>
      </c>
      <c r="C300" t="s">
        <v>5592</v>
      </c>
      <c r="D300" t="s">
        <v>6189</v>
      </c>
    </row>
    <row r="301" spans="1:4" x14ac:dyDescent="0.25">
      <c r="A301" t="s">
        <v>6190</v>
      </c>
      <c r="B301">
        <v>1</v>
      </c>
      <c r="C301" t="s">
        <v>5592</v>
      </c>
      <c r="D301" t="s">
        <v>6191</v>
      </c>
    </row>
    <row r="302" spans="1:4" x14ac:dyDescent="0.25">
      <c r="A302" t="s">
        <v>6192</v>
      </c>
      <c r="B302">
        <v>1</v>
      </c>
      <c r="C302" t="s">
        <v>5592</v>
      </c>
      <c r="D302" t="s">
        <v>6193</v>
      </c>
    </row>
    <row r="303" spans="1:4" x14ac:dyDescent="0.25">
      <c r="A303" t="s">
        <v>6194</v>
      </c>
      <c r="B303">
        <v>1</v>
      </c>
      <c r="C303" t="s">
        <v>5592</v>
      </c>
      <c r="D303" t="s">
        <v>6195</v>
      </c>
    </row>
    <row r="304" spans="1:4" x14ac:dyDescent="0.25">
      <c r="A304" t="s">
        <v>6196</v>
      </c>
      <c r="B304">
        <v>1</v>
      </c>
      <c r="C304" t="s">
        <v>5592</v>
      </c>
      <c r="D304" t="s">
        <v>6197</v>
      </c>
    </row>
    <row r="305" spans="1:4" x14ac:dyDescent="0.25">
      <c r="A305" t="s">
        <v>6198</v>
      </c>
      <c r="B305">
        <v>1</v>
      </c>
      <c r="C305" t="s">
        <v>5592</v>
      </c>
      <c r="D305" t="s">
        <v>6199</v>
      </c>
    </row>
    <row r="306" spans="1:4" x14ac:dyDescent="0.25">
      <c r="A306" t="s">
        <v>6200</v>
      </c>
      <c r="B306">
        <v>1</v>
      </c>
      <c r="C306" t="s">
        <v>5592</v>
      </c>
      <c r="D306" t="s">
        <v>6201</v>
      </c>
    </row>
    <row r="307" spans="1:4" x14ac:dyDescent="0.25">
      <c r="A307" t="s">
        <v>6202</v>
      </c>
      <c r="B307">
        <v>1</v>
      </c>
      <c r="C307" t="s">
        <v>5592</v>
      </c>
      <c r="D307" t="s">
        <v>6203</v>
      </c>
    </row>
    <row r="308" spans="1:4" x14ac:dyDescent="0.25">
      <c r="A308" t="s">
        <v>6204</v>
      </c>
      <c r="B308">
        <v>1</v>
      </c>
      <c r="C308" t="s">
        <v>5592</v>
      </c>
      <c r="D308" t="s">
        <v>6205</v>
      </c>
    </row>
    <row r="309" spans="1:4" x14ac:dyDescent="0.25">
      <c r="A309" t="s">
        <v>6206</v>
      </c>
      <c r="B309">
        <v>1</v>
      </c>
      <c r="C309" t="s">
        <v>5592</v>
      </c>
      <c r="D309" t="s">
        <v>6207</v>
      </c>
    </row>
    <row r="310" spans="1:4" x14ac:dyDescent="0.25">
      <c r="A310" t="s">
        <v>6208</v>
      </c>
      <c r="B310">
        <v>1</v>
      </c>
      <c r="C310" t="s">
        <v>5592</v>
      </c>
      <c r="D310" t="s">
        <v>6209</v>
      </c>
    </row>
    <row r="311" spans="1:4" x14ac:dyDescent="0.25">
      <c r="A311" t="s">
        <v>6210</v>
      </c>
      <c r="B311">
        <v>1</v>
      </c>
      <c r="C311" t="s">
        <v>5592</v>
      </c>
      <c r="D311" t="s">
        <v>6211</v>
      </c>
    </row>
    <row r="312" spans="1:4" x14ac:dyDescent="0.25">
      <c r="A312" t="s">
        <v>6212</v>
      </c>
      <c r="B312">
        <v>1</v>
      </c>
      <c r="C312" t="s">
        <v>5592</v>
      </c>
      <c r="D312" t="s">
        <v>6213</v>
      </c>
    </row>
    <row r="313" spans="1:4" x14ac:dyDescent="0.25">
      <c r="A313" t="s">
        <v>6214</v>
      </c>
      <c r="B313">
        <v>1</v>
      </c>
      <c r="C313" t="s">
        <v>5592</v>
      </c>
      <c r="D313" t="s">
        <v>6215</v>
      </c>
    </row>
    <row r="314" spans="1:4" x14ac:dyDescent="0.25">
      <c r="A314" t="s">
        <v>6216</v>
      </c>
      <c r="B314">
        <v>1</v>
      </c>
      <c r="C314" t="s">
        <v>5592</v>
      </c>
      <c r="D314" t="s">
        <v>6217</v>
      </c>
    </row>
    <row r="315" spans="1:4" x14ac:dyDescent="0.25">
      <c r="A315" t="s">
        <v>6218</v>
      </c>
      <c r="B315">
        <v>1</v>
      </c>
      <c r="C315" t="s">
        <v>5592</v>
      </c>
      <c r="D315" t="s">
        <v>6219</v>
      </c>
    </row>
    <row r="316" spans="1:4" x14ac:dyDescent="0.25">
      <c r="A316" t="s">
        <v>6220</v>
      </c>
      <c r="B316">
        <v>1</v>
      </c>
      <c r="C316" t="s">
        <v>5592</v>
      </c>
      <c r="D316" t="s">
        <v>6221</v>
      </c>
    </row>
    <row r="317" spans="1:4" x14ac:dyDescent="0.25">
      <c r="A317" t="s">
        <v>6222</v>
      </c>
      <c r="B317">
        <v>1</v>
      </c>
      <c r="C317" t="s">
        <v>5592</v>
      </c>
      <c r="D317" t="s">
        <v>6223</v>
      </c>
    </row>
    <row r="318" spans="1:4" x14ac:dyDescent="0.25">
      <c r="A318" t="s">
        <v>6224</v>
      </c>
      <c r="B318">
        <v>1</v>
      </c>
      <c r="C318" t="s">
        <v>5592</v>
      </c>
      <c r="D318" t="s">
        <v>6225</v>
      </c>
    </row>
    <row r="319" spans="1:4" x14ac:dyDescent="0.25">
      <c r="A319" t="s">
        <v>6226</v>
      </c>
      <c r="B319">
        <v>1</v>
      </c>
      <c r="C319" t="s">
        <v>5592</v>
      </c>
      <c r="D319" t="s">
        <v>6227</v>
      </c>
    </row>
    <row r="320" spans="1:4" x14ac:dyDescent="0.25">
      <c r="A320" t="s">
        <v>6228</v>
      </c>
      <c r="B320">
        <v>1</v>
      </c>
      <c r="C320" t="s">
        <v>5592</v>
      </c>
      <c r="D320" t="s">
        <v>6229</v>
      </c>
    </row>
    <row r="321" spans="1:4" x14ac:dyDescent="0.25">
      <c r="A321" t="s">
        <v>6230</v>
      </c>
      <c r="B321">
        <v>1</v>
      </c>
      <c r="C321" t="s">
        <v>5592</v>
      </c>
      <c r="D321" t="s">
        <v>6231</v>
      </c>
    </row>
    <row r="322" spans="1:4" x14ac:dyDescent="0.25">
      <c r="A322" t="s">
        <v>6232</v>
      </c>
      <c r="B322">
        <v>1</v>
      </c>
      <c r="C322" t="s">
        <v>5592</v>
      </c>
      <c r="D322" t="s">
        <v>6233</v>
      </c>
    </row>
    <row r="323" spans="1:4" x14ac:dyDescent="0.25">
      <c r="A323" t="s">
        <v>6234</v>
      </c>
      <c r="B323">
        <v>1</v>
      </c>
      <c r="C323" t="s">
        <v>5592</v>
      </c>
      <c r="D323" t="s">
        <v>6235</v>
      </c>
    </row>
    <row r="324" spans="1:4" x14ac:dyDescent="0.25">
      <c r="A324" t="s">
        <v>6236</v>
      </c>
      <c r="B324">
        <v>1</v>
      </c>
      <c r="C324" t="s">
        <v>5592</v>
      </c>
      <c r="D324" t="s">
        <v>6237</v>
      </c>
    </row>
    <row r="325" spans="1:4" x14ac:dyDescent="0.25">
      <c r="A325" t="s">
        <v>6238</v>
      </c>
      <c r="B325">
        <v>1</v>
      </c>
      <c r="C325" t="s">
        <v>5592</v>
      </c>
      <c r="D325" t="s">
        <v>6239</v>
      </c>
    </row>
    <row r="326" spans="1:4" x14ac:dyDescent="0.25">
      <c r="A326" t="s">
        <v>6240</v>
      </c>
      <c r="B326">
        <v>1</v>
      </c>
      <c r="C326" t="s">
        <v>5592</v>
      </c>
      <c r="D326" t="s">
        <v>6241</v>
      </c>
    </row>
    <row r="327" spans="1:4" x14ac:dyDescent="0.25">
      <c r="A327" t="s">
        <v>6242</v>
      </c>
      <c r="B327">
        <v>1</v>
      </c>
      <c r="C327" t="s">
        <v>5592</v>
      </c>
      <c r="D327" t="s">
        <v>6243</v>
      </c>
    </row>
    <row r="328" spans="1:4" x14ac:dyDescent="0.25">
      <c r="A328" t="s">
        <v>6244</v>
      </c>
      <c r="B328">
        <v>1</v>
      </c>
      <c r="C328" t="s">
        <v>5592</v>
      </c>
      <c r="D328" t="s">
        <v>6245</v>
      </c>
    </row>
    <row r="329" spans="1:4" x14ac:dyDescent="0.25">
      <c r="A329" t="s">
        <v>6246</v>
      </c>
      <c r="B329">
        <v>1</v>
      </c>
      <c r="C329" t="s">
        <v>5592</v>
      </c>
      <c r="D329" t="s">
        <v>6247</v>
      </c>
    </row>
    <row r="330" spans="1:4" x14ac:dyDescent="0.25">
      <c r="A330" t="s">
        <v>6248</v>
      </c>
      <c r="B330">
        <v>1</v>
      </c>
      <c r="C330" t="s">
        <v>5592</v>
      </c>
      <c r="D330" t="s">
        <v>6249</v>
      </c>
    </row>
    <row r="331" spans="1:4" x14ac:dyDescent="0.25">
      <c r="A331" t="s">
        <v>6250</v>
      </c>
      <c r="B331">
        <v>1</v>
      </c>
      <c r="C331" t="s">
        <v>5592</v>
      </c>
      <c r="D331" t="s">
        <v>6251</v>
      </c>
    </row>
    <row r="332" spans="1:4" x14ac:dyDescent="0.25">
      <c r="A332" t="s">
        <v>6252</v>
      </c>
      <c r="B332">
        <v>1</v>
      </c>
      <c r="C332" t="s">
        <v>5592</v>
      </c>
      <c r="D332" t="s">
        <v>6253</v>
      </c>
    </row>
    <row r="333" spans="1:4" x14ac:dyDescent="0.25">
      <c r="A333" t="s">
        <v>6254</v>
      </c>
      <c r="B333">
        <v>1</v>
      </c>
      <c r="C333" t="s">
        <v>5592</v>
      </c>
      <c r="D333" t="s">
        <v>6255</v>
      </c>
    </row>
    <row r="334" spans="1:4" x14ac:dyDescent="0.25">
      <c r="A334" t="s">
        <v>6256</v>
      </c>
      <c r="B334">
        <v>1</v>
      </c>
      <c r="C334" t="s">
        <v>5592</v>
      </c>
      <c r="D334" t="s">
        <v>6257</v>
      </c>
    </row>
    <row r="335" spans="1:4" x14ac:dyDescent="0.25">
      <c r="A335" t="s">
        <v>6258</v>
      </c>
      <c r="B335">
        <v>1</v>
      </c>
      <c r="C335" t="s">
        <v>5592</v>
      </c>
      <c r="D335" t="s">
        <v>6259</v>
      </c>
    </row>
    <row r="336" spans="1:4" x14ac:dyDescent="0.25">
      <c r="A336" t="s">
        <v>6260</v>
      </c>
      <c r="B336">
        <v>1</v>
      </c>
      <c r="C336" t="s">
        <v>5592</v>
      </c>
      <c r="D336" t="s">
        <v>6261</v>
      </c>
    </row>
    <row r="337" spans="1:4" x14ac:dyDescent="0.25">
      <c r="A337" t="s">
        <v>6262</v>
      </c>
      <c r="B337">
        <v>1</v>
      </c>
      <c r="C337" t="s">
        <v>5592</v>
      </c>
      <c r="D337" t="s">
        <v>6263</v>
      </c>
    </row>
    <row r="338" spans="1:4" x14ac:dyDescent="0.25">
      <c r="A338" t="s">
        <v>6264</v>
      </c>
      <c r="B338">
        <v>1</v>
      </c>
      <c r="C338" t="s">
        <v>5592</v>
      </c>
      <c r="D338" t="s">
        <v>6265</v>
      </c>
    </row>
    <row r="339" spans="1:4" x14ac:dyDescent="0.25">
      <c r="A339" t="s">
        <v>6266</v>
      </c>
      <c r="B339">
        <v>1</v>
      </c>
      <c r="C339" t="s">
        <v>5592</v>
      </c>
      <c r="D339" t="s">
        <v>6267</v>
      </c>
    </row>
    <row r="340" spans="1:4" x14ac:dyDescent="0.25">
      <c r="A340" t="s">
        <v>6268</v>
      </c>
      <c r="B340">
        <v>1</v>
      </c>
      <c r="C340" t="s">
        <v>5592</v>
      </c>
      <c r="D340" t="s">
        <v>6269</v>
      </c>
    </row>
    <row r="341" spans="1:4" x14ac:dyDescent="0.25">
      <c r="A341" t="s">
        <v>6270</v>
      </c>
      <c r="B341">
        <v>1</v>
      </c>
      <c r="C341" t="s">
        <v>5592</v>
      </c>
      <c r="D341" t="s">
        <v>6271</v>
      </c>
    </row>
    <row r="342" spans="1:4" x14ac:dyDescent="0.25">
      <c r="A342" t="s">
        <v>6272</v>
      </c>
      <c r="B342">
        <v>1</v>
      </c>
      <c r="C342" t="s">
        <v>5592</v>
      </c>
      <c r="D342" t="s">
        <v>6273</v>
      </c>
    </row>
    <row r="343" spans="1:4" x14ac:dyDescent="0.25">
      <c r="A343" t="s">
        <v>6274</v>
      </c>
      <c r="B343">
        <v>1</v>
      </c>
      <c r="C343" t="s">
        <v>5592</v>
      </c>
      <c r="D343" t="s">
        <v>6275</v>
      </c>
    </row>
    <row r="344" spans="1:4" x14ac:dyDescent="0.25">
      <c r="A344" t="s">
        <v>6276</v>
      </c>
      <c r="B344">
        <v>1</v>
      </c>
      <c r="C344" t="s">
        <v>5592</v>
      </c>
      <c r="D344" t="s">
        <v>6277</v>
      </c>
    </row>
    <row r="345" spans="1:4" x14ac:dyDescent="0.25">
      <c r="A345" t="s">
        <v>6278</v>
      </c>
      <c r="B345">
        <v>1</v>
      </c>
      <c r="C345" t="s">
        <v>5592</v>
      </c>
      <c r="D345" t="s">
        <v>6279</v>
      </c>
    </row>
    <row r="346" spans="1:4" x14ac:dyDescent="0.25">
      <c r="A346" t="s">
        <v>6280</v>
      </c>
      <c r="B346">
        <v>1</v>
      </c>
      <c r="C346" t="s">
        <v>5592</v>
      </c>
      <c r="D346" t="s">
        <v>6281</v>
      </c>
    </row>
    <row r="347" spans="1:4" x14ac:dyDescent="0.25">
      <c r="A347" t="s">
        <v>6282</v>
      </c>
      <c r="B347">
        <v>1</v>
      </c>
      <c r="C347" t="s">
        <v>5592</v>
      </c>
      <c r="D347" t="s">
        <v>6283</v>
      </c>
    </row>
    <row r="348" spans="1:4" x14ac:dyDescent="0.25">
      <c r="A348" t="s">
        <v>6284</v>
      </c>
      <c r="B348">
        <v>1</v>
      </c>
      <c r="C348" t="s">
        <v>5592</v>
      </c>
      <c r="D348" t="s">
        <v>6285</v>
      </c>
    </row>
    <row r="349" spans="1:4" x14ac:dyDescent="0.25">
      <c r="A349" t="s">
        <v>6286</v>
      </c>
      <c r="B349">
        <v>1</v>
      </c>
      <c r="C349" t="s">
        <v>5592</v>
      </c>
      <c r="D349" t="s">
        <v>6287</v>
      </c>
    </row>
    <row r="350" spans="1:4" x14ac:dyDescent="0.25">
      <c r="A350" t="s">
        <v>6288</v>
      </c>
      <c r="B350">
        <v>1</v>
      </c>
      <c r="C350" t="s">
        <v>5592</v>
      </c>
      <c r="D350" t="s">
        <v>6289</v>
      </c>
    </row>
    <row r="351" spans="1:4" x14ac:dyDescent="0.25">
      <c r="A351" t="s">
        <v>6290</v>
      </c>
      <c r="B351">
        <v>1</v>
      </c>
      <c r="C351" t="s">
        <v>5592</v>
      </c>
      <c r="D351" t="s">
        <v>6291</v>
      </c>
    </row>
    <row r="352" spans="1:4" x14ac:dyDescent="0.25">
      <c r="A352" t="s">
        <v>6292</v>
      </c>
      <c r="B352">
        <v>1</v>
      </c>
      <c r="C352" t="s">
        <v>5592</v>
      </c>
      <c r="D352" t="s">
        <v>6293</v>
      </c>
    </row>
    <row r="353" spans="1:4" x14ac:dyDescent="0.25">
      <c r="A353" t="s">
        <v>6294</v>
      </c>
      <c r="B353">
        <v>1</v>
      </c>
      <c r="C353" t="s">
        <v>5592</v>
      </c>
      <c r="D353" t="s">
        <v>6295</v>
      </c>
    </row>
    <row r="354" spans="1:4" x14ac:dyDescent="0.25">
      <c r="A354" t="s">
        <v>6296</v>
      </c>
      <c r="B354">
        <v>1</v>
      </c>
      <c r="C354" t="s">
        <v>5592</v>
      </c>
      <c r="D354" t="s">
        <v>6297</v>
      </c>
    </row>
    <row r="355" spans="1:4" x14ac:dyDescent="0.25">
      <c r="A355" t="s">
        <v>6298</v>
      </c>
      <c r="B355">
        <v>1</v>
      </c>
      <c r="C355" t="s">
        <v>5592</v>
      </c>
      <c r="D355" t="s">
        <v>6299</v>
      </c>
    </row>
    <row r="356" spans="1:4" x14ac:dyDescent="0.25">
      <c r="A356" t="s">
        <v>6300</v>
      </c>
      <c r="B356">
        <v>1</v>
      </c>
      <c r="C356" t="s">
        <v>5592</v>
      </c>
      <c r="D356" t="s">
        <v>6301</v>
      </c>
    </row>
    <row r="357" spans="1:4" x14ac:dyDescent="0.25">
      <c r="A357" t="s">
        <v>6302</v>
      </c>
      <c r="B357">
        <v>1</v>
      </c>
      <c r="C357" t="s">
        <v>5592</v>
      </c>
      <c r="D357" t="s">
        <v>6303</v>
      </c>
    </row>
    <row r="358" spans="1:4" x14ac:dyDescent="0.25">
      <c r="A358" t="s">
        <v>6304</v>
      </c>
      <c r="B358">
        <v>1</v>
      </c>
      <c r="C358" t="s">
        <v>5592</v>
      </c>
      <c r="D358" t="s">
        <v>6305</v>
      </c>
    </row>
    <row r="359" spans="1:4" x14ac:dyDescent="0.25">
      <c r="A359" t="s">
        <v>6306</v>
      </c>
      <c r="B359">
        <v>1</v>
      </c>
      <c r="C359" t="s">
        <v>5592</v>
      </c>
      <c r="D359" t="s">
        <v>6307</v>
      </c>
    </row>
    <row r="360" spans="1:4" x14ac:dyDescent="0.25">
      <c r="A360" t="s">
        <v>6308</v>
      </c>
      <c r="B360">
        <v>1</v>
      </c>
      <c r="C360" t="s">
        <v>5592</v>
      </c>
      <c r="D360" t="s">
        <v>6309</v>
      </c>
    </row>
    <row r="361" spans="1:4" x14ac:dyDescent="0.25">
      <c r="A361" t="s">
        <v>6310</v>
      </c>
      <c r="B361">
        <v>1</v>
      </c>
      <c r="C361" t="s">
        <v>5592</v>
      </c>
      <c r="D361" t="s">
        <v>6311</v>
      </c>
    </row>
    <row r="362" spans="1:4" x14ac:dyDescent="0.25">
      <c r="A362" t="s">
        <v>6312</v>
      </c>
      <c r="B362">
        <v>1</v>
      </c>
      <c r="C362" t="s">
        <v>5592</v>
      </c>
      <c r="D362" t="s">
        <v>6313</v>
      </c>
    </row>
    <row r="363" spans="1:4" x14ac:dyDescent="0.25">
      <c r="A363" t="s">
        <v>6314</v>
      </c>
      <c r="B363">
        <v>1</v>
      </c>
      <c r="C363" t="s">
        <v>5592</v>
      </c>
      <c r="D363" t="s">
        <v>6315</v>
      </c>
    </row>
    <row r="364" spans="1:4" x14ac:dyDescent="0.25">
      <c r="A364" t="s">
        <v>6316</v>
      </c>
      <c r="B364">
        <v>1</v>
      </c>
      <c r="C364" t="s">
        <v>5592</v>
      </c>
      <c r="D364" t="s">
        <v>6317</v>
      </c>
    </row>
    <row r="365" spans="1:4" x14ac:dyDescent="0.25">
      <c r="A365" t="s">
        <v>6318</v>
      </c>
      <c r="B365">
        <v>1</v>
      </c>
      <c r="C365" t="s">
        <v>5592</v>
      </c>
      <c r="D365" t="s">
        <v>6319</v>
      </c>
    </row>
    <row r="366" spans="1:4" x14ac:dyDescent="0.25">
      <c r="A366" t="s">
        <v>6320</v>
      </c>
      <c r="B366">
        <v>1</v>
      </c>
      <c r="C366" t="s">
        <v>5592</v>
      </c>
      <c r="D366" t="s">
        <v>6321</v>
      </c>
    </row>
    <row r="367" spans="1:4" x14ac:dyDescent="0.25">
      <c r="A367" t="s">
        <v>6322</v>
      </c>
      <c r="B367">
        <v>1</v>
      </c>
      <c r="C367" t="s">
        <v>5592</v>
      </c>
      <c r="D367" t="s">
        <v>6323</v>
      </c>
    </row>
    <row r="368" spans="1:4" x14ac:dyDescent="0.25">
      <c r="A368" t="s">
        <v>6324</v>
      </c>
      <c r="B368">
        <v>1</v>
      </c>
      <c r="C368" t="s">
        <v>5592</v>
      </c>
      <c r="D368" t="s">
        <v>6325</v>
      </c>
    </row>
    <row r="369" spans="1:4" x14ac:dyDescent="0.25">
      <c r="A369" t="s">
        <v>6326</v>
      </c>
      <c r="B369">
        <v>1</v>
      </c>
      <c r="C369" t="s">
        <v>5592</v>
      </c>
      <c r="D369" t="s">
        <v>6327</v>
      </c>
    </row>
    <row r="370" spans="1:4" x14ac:dyDescent="0.25">
      <c r="A370" t="s">
        <v>6328</v>
      </c>
      <c r="B370">
        <v>1</v>
      </c>
      <c r="C370" t="s">
        <v>5592</v>
      </c>
      <c r="D370" t="s">
        <v>6329</v>
      </c>
    </row>
    <row r="371" spans="1:4" x14ac:dyDescent="0.25">
      <c r="A371" t="s">
        <v>6330</v>
      </c>
      <c r="B371">
        <v>1</v>
      </c>
      <c r="C371" t="s">
        <v>5592</v>
      </c>
      <c r="D371" t="s">
        <v>6331</v>
      </c>
    </row>
    <row r="372" spans="1:4" x14ac:dyDescent="0.25">
      <c r="A372" t="s">
        <v>6332</v>
      </c>
      <c r="B372">
        <v>1</v>
      </c>
      <c r="C372" t="s">
        <v>5592</v>
      </c>
      <c r="D372" t="s">
        <v>6333</v>
      </c>
    </row>
    <row r="373" spans="1:4" x14ac:dyDescent="0.25">
      <c r="A373" t="s">
        <v>6334</v>
      </c>
      <c r="B373">
        <v>1</v>
      </c>
      <c r="C373" t="s">
        <v>5592</v>
      </c>
      <c r="D373" t="s">
        <v>6335</v>
      </c>
    </row>
    <row r="374" spans="1:4" x14ac:dyDescent="0.25">
      <c r="A374" t="s">
        <v>6336</v>
      </c>
      <c r="B374">
        <v>1</v>
      </c>
      <c r="C374" t="s">
        <v>5592</v>
      </c>
      <c r="D374" t="s">
        <v>6337</v>
      </c>
    </row>
    <row r="375" spans="1:4" x14ac:dyDescent="0.25">
      <c r="A375" t="s">
        <v>6338</v>
      </c>
      <c r="B375">
        <v>1</v>
      </c>
      <c r="C375" t="s">
        <v>5592</v>
      </c>
      <c r="D375" t="s">
        <v>6339</v>
      </c>
    </row>
    <row r="376" spans="1:4" x14ac:dyDescent="0.25">
      <c r="A376" t="s">
        <v>6340</v>
      </c>
      <c r="B376">
        <v>1</v>
      </c>
      <c r="C376" t="s">
        <v>5592</v>
      </c>
      <c r="D376" t="s">
        <v>6341</v>
      </c>
    </row>
    <row r="377" spans="1:4" x14ac:dyDescent="0.25">
      <c r="A377" t="s">
        <v>6342</v>
      </c>
      <c r="B377">
        <v>1</v>
      </c>
      <c r="C377" t="s">
        <v>5592</v>
      </c>
      <c r="D377" t="s">
        <v>6343</v>
      </c>
    </row>
    <row r="378" spans="1:4" x14ac:dyDescent="0.25">
      <c r="A378" t="s">
        <v>6344</v>
      </c>
      <c r="B378">
        <v>1</v>
      </c>
      <c r="C378" t="s">
        <v>5592</v>
      </c>
      <c r="D378" t="s">
        <v>6345</v>
      </c>
    </row>
    <row r="379" spans="1:4" x14ac:dyDescent="0.25">
      <c r="A379" t="s">
        <v>6346</v>
      </c>
      <c r="B379">
        <v>1</v>
      </c>
      <c r="C379" t="s">
        <v>5592</v>
      </c>
      <c r="D379" t="s">
        <v>6347</v>
      </c>
    </row>
    <row r="380" spans="1:4" x14ac:dyDescent="0.25">
      <c r="A380" t="s">
        <v>6348</v>
      </c>
      <c r="B380">
        <v>1</v>
      </c>
      <c r="C380" t="s">
        <v>5592</v>
      </c>
      <c r="D380" t="s">
        <v>6349</v>
      </c>
    </row>
    <row r="381" spans="1:4" x14ac:dyDescent="0.25">
      <c r="A381" t="s">
        <v>6350</v>
      </c>
      <c r="B381">
        <v>1</v>
      </c>
      <c r="C381" t="s">
        <v>5592</v>
      </c>
      <c r="D381" t="s">
        <v>6351</v>
      </c>
    </row>
    <row r="382" spans="1:4" x14ac:dyDescent="0.25">
      <c r="A382" t="s">
        <v>6352</v>
      </c>
      <c r="B382">
        <v>1</v>
      </c>
      <c r="C382" t="s">
        <v>5592</v>
      </c>
      <c r="D382" t="s">
        <v>6353</v>
      </c>
    </row>
    <row r="383" spans="1:4" x14ac:dyDescent="0.25">
      <c r="A383" t="s">
        <v>6354</v>
      </c>
      <c r="B383">
        <v>1</v>
      </c>
      <c r="C383" t="s">
        <v>5592</v>
      </c>
      <c r="D383" t="s">
        <v>6355</v>
      </c>
    </row>
    <row r="384" spans="1:4" x14ac:dyDescent="0.25">
      <c r="A384" t="s">
        <v>6356</v>
      </c>
      <c r="B384">
        <v>1</v>
      </c>
      <c r="C384" t="s">
        <v>5592</v>
      </c>
      <c r="D384" t="s">
        <v>6357</v>
      </c>
    </row>
    <row r="385" spans="1:4" x14ac:dyDescent="0.25">
      <c r="A385" t="s">
        <v>6358</v>
      </c>
      <c r="B385">
        <v>1</v>
      </c>
      <c r="C385" t="s">
        <v>5592</v>
      </c>
      <c r="D385" t="s">
        <v>6359</v>
      </c>
    </row>
    <row r="386" spans="1:4" x14ac:dyDescent="0.25">
      <c r="A386" t="s">
        <v>6360</v>
      </c>
      <c r="B386">
        <v>1</v>
      </c>
      <c r="C386" t="s">
        <v>5592</v>
      </c>
      <c r="D386" t="s">
        <v>6361</v>
      </c>
    </row>
    <row r="387" spans="1:4" x14ac:dyDescent="0.25">
      <c r="A387" t="s">
        <v>6362</v>
      </c>
      <c r="B387">
        <v>1</v>
      </c>
      <c r="C387" t="s">
        <v>5592</v>
      </c>
      <c r="D387" t="s">
        <v>6363</v>
      </c>
    </row>
    <row r="388" spans="1:4" x14ac:dyDescent="0.25">
      <c r="A388" t="s">
        <v>6364</v>
      </c>
      <c r="B388">
        <v>1</v>
      </c>
      <c r="C388" t="s">
        <v>5592</v>
      </c>
      <c r="D388" t="s">
        <v>6365</v>
      </c>
    </row>
    <row r="389" spans="1:4" x14ac:dyDescent="0.25">
      <c r="A389" t="s">
        <v>6366</v>
      </c>
      <c r="B389">
        <v>1</v>
      </c>
      <c r="C389" t="s">
        <v>5592</v>
      </c>
      <c r="D389" t="s">
        <v>6367</v>
      </c>
    </row>
    <row r="390" spans="1:4" x14ac:dyDescent="0.25">
      <c r="A390" t="s">
        <v>6368</v>
      </c>
      <c r="B390">
        <v>1</v>
      </c>
      <c r="C390" t="s">
        <v>5592</v>
      </c>
      <c r="D390" t="s">
        <v>6369</v>
      </c>
    </row>
    <row r="391" spans="1:4" x14ac:dyDescent="0.25">
      <c r="A391" t="s">
        <v>6370</v>
      </c>
      <c r="B391">
        <v>1</v>
      </c>
      <c r="C391" t="s">
        <v>5592</v>
      </c>
      <c r="D391" t="s">
        <v>6371</v>
      </c>
    </row>
    <row r="392" spans="1:4" x14ac:dyDescent="0.25">
      <c r="A392" t="s">
        <v>6372</v>
      </c>
      <c r="B392">
        <v>1</v>
      </c>
      <c r="C392" t="s">
        <v>5592</v>
      </c>
      <c r="D392" t="s">
        <v>6373</v>
      </c>
    </row>
    <row r="393" spans="1:4" x14ac:dyDescent="0.25">
      <c r="A393" t="s">
        <v>6374</v>
      </c>
      <c r="B393">
        <v>1</v>
      </c>
      <c r="C393" t="s">
        <v>5592</v>
      </c>
      <c r="D393" t="s">
        <v>6375</v>
      </c>
    </row>
    <row r="394" spans="1:4" x14ac:dyDescent="0.25">
      <c r="A394" t="s">
        <v>6376</v>
      </c>
      <c r="B394">
        <v>1</v>
      </c>
      <c r="C394" t="s">
        <v>5592</v>
      </c>
      <c r="D394" t="s">
        <v>6377</v>
      </c>
    </row>
    <row r="395" spans="1:4" x14ac:dyDescent="0.25">
      <c r="A395" t="s">
        <v>6378</v>
      </c>
      <c r="B395">
        <v>1</v>
      </c>
      <c r="C395" t="s">
        <v>5592</v>
      </c>
      <c r="D395" t="s">
        <v>6379</v>
      </c>
    </row>
    <row r="396" spans="1:4" x14ac:dyDescent="0.25">
      <c r="A396" t="s">
        <v>6380</v>
      </c>
      <c r="B396">
        <v>1</v>
      </c>
      <c r="C396" t="s">
        <v>5592</v>
      </c>
      <c r="D396" t="s">
        <v>6381</v>
      </c>
    </row>
    <row r="397" spans="1:4" x14ac:dyDescent="0.25">
      <c r="A397" t="s">
        <v>6382</v>
      </c>
      <c r="B397">
        <v>1</v>
      </c>
      <c r="C397" t="s">
        <v>5592</v>
      </c>
      <c r="D397" t="s">
        <v>6383</v>
      </c>
    </row>
    <row r="398" spans="1:4" x14ac:dyDescent="0.25">
      <c r="A398" t="s">
        <v>6384</v>
      </c>
      <c r="B398">
        <v>1</v>
      </c>
      <c r="C398" t="s">
        <v>5592</v>
      </c>
      <c r="D398" t="s">
        <v>6385</v>
      </c>
    </row>
    <row r="399" spans="1:4" x14ac:dyDescent="0.25">
      <c r="A399" t="s">
        <v>6386</v>
      </c>
      <c r="B399">
        <v>1</v>
      </c>
      <c r="C399" t="s">
        <v>5592</v>
      </c>
      <c r="D399" t="s">
        <v>6387</v>
      </c>
    </row>
    <row r="400" spans="1:4" x14ac:dyDescent="0.25">
      <c r="A400" t="s">
        <v>6388</v>
      </c>
      <c r="B400">
        <v>1</v>
      </c>
      <c r="C400" t="s">
        <v>5592</v>
      </c>
      <c r="D400" t="s">
        <v>6389</v>
      </c>
    </row>
    <row r="401" spans="1:4" x14ac:dyDescent="0.25">
      <c r="A401" t="s">
        <v>6390</v>
      </c>
      <c r="B401">
        <v>1</v>
      </c>
      <c r="C401" t="s">
        <v>5592</v>
      </c>
      <c r="D401" t="s">
        <v>6391</v>
      </c>
    </row>
    <row r="402" spans="1:4" x14ac:dyDescent="0.25">
      <c r="A402" t="s">
        <v>6392</v>
      </c>
      <c r="B402">
        <v>1</v>
      </c>
      <c r="C402" t="s">
        <v>5592</v>
      </c>
      <c r="D402" t="s">
        <v>6393</v>
      </c>
    </row>
    <row r="403" spans="1:4" x14ac:dyDescent="0.25">
      <c r="A403" t="s">
        <v>6394</v>
      </c>
      <c r="B403">
        <v>1</v>
      </c>
      <c r="C403" t="s">
        <v>5592</v>
      </c>
      <c r="D403" t="s">
        <v>6395</v>
      </c>
    </row>
    <row r="404" spans="1:4" x14ac:dyDescent="0.25">
      <c r="A404" t="s">
        <v>6396</v>
      </c>
      <c r="B404">
        <v>1</v>
      </c>
      <c r="C404" t="s">
        <v>5592</v>
      </c>
      <c r="D404" t="s">
        <v>6397</v>
      </c>
    </row>
    <row r="405" spans="1:4" x14ac:dyDescent="0.25">
      <c r="A405" t="s">
        <v>6398</v>
      </c>
      <c r="B405">
        <v>1</v>
      </c>
      <c r="C405" t="s">
        <v>5592</v>
      </c>
      <c r="D405" t="s">
        <v>6399</v>
      </c>
    </row>
    <row r="406" spans="1:4" x14ac:dyDescent="0.25">
      <c r="A406" t="s">
        <v>6400</v>
      </c>
      <c r="B406">
        <v>1</v>
      </c>
      <c r="C406" t="s">
        <v>5592</v>
      </c>
      <c r="D406" t="s">
        <v>6401</v>
      </c>
    </row>
    <row r="407" spans="1:4" x14ac:dyDescent="0.25">
      <c r="A407" t="s">
        <v>6402</v>
      </c>
      <c r="B407">
        <v>1</v>
      </c>
      <c r="C407" t="s">
        <v>5592</v>
      </c>
      <c r="D407" t="s">
        <v>6403</v>
      </c>
    </row>
    <row r="408" spans="1:4" x14ac:dyDescent="0.25">
      <c r="A408" t="s">
        <v>6404</v>
      </c>
      <c r="B408">
        <v>1</v>
      </c>
      <c r="C408" t="s">
        <v>5592</v>
      </c>
      <c r="D408" t="s">
        <v>6405</v>
      </c>
    </row>
    <row r="409" spans="1:4" x14ac:dyDescent="0.25">
      <c r="A409" t="s">
        <v>6406</v>
      </c>
      <c r="B409">
        <v>1</v>
      </c>
      <c r="C409" t="s">
        <v>5592</v>
      </c>
      <c r="D409" t="s">
        <v>6407</v>
      </c>
    </row>
    <row r="410" spans="1:4" x14ac:dyDescent="0.25">
      <c r="A410" t="s">
        <v>6408</v>
      </c>
      <c r="B410">
        <v>1</v>
      </c>
      <c r="C410" t="s">
        <v>5592</v>
      </c>
      <c r="D410" t="s">
        <v>6409</v>
      </c>
    </row>
    <row r="411" spans="1:4" x14ac:dyDescent="0.25">
      <c r="A411" t="s">
        <v>6410</v>
      </c>
      <c r="B411">
        <v>1</v>
      </c>
      <c r="C411" t="s">
        <v>5592</v>
      </c>
      <c r="D411" t="s">
        <v>6411</v>
      </c>
    </row>
    <row r="412" spans="1:4" x14ac:dyDescent="0.25">
      <c r="A412" t="s">
        <v>6412</v>
      </c>
      <c r="B412">
        <v>1</v>
      </c>
      <c r="C412" t="s">
        <v>5592</v>
      </c>
      <c r="D412" t="s">
        <v>6413</v>
      </c>
    </row>
    <row r="413" spans="1:4" x14ac:dyDescent="0.25">
      <c r="A413" t="s">
        <v>6414</v>
      </c>
      <c r="B413">
        <v>1</v>
      </c>
      <c r="C413" t="s">
        <v>5592</v>
      </c>
      <c r="D413" t="s">
        <v>6415</v>
      </c>
    </row>
    <row r="414" spans="1:4" x14ac:dyDescent="0.25">
      <c r="A414" t="s">
        <v>6416</v>
      </c>
      <c r="B414">
        <v>1</v>
      </c>
      <c r="C414" t="s">
        <v>5592</v>
      </c>
      <c r="D414" t="s">
        <v>6417</v>
      </c>
    </row>
    <row r="415" spans="1:4" x14ac:dyDescent="0.25">
      <c r="A415" t="s">
        <v>6418</v>
      </c>
      <c r="B415">
        <v>1</v>
      </c>
      <c r="C415" t="s">
        <v>5592</v>
      </c>
      <c r="D415" t="s">
        <v>6419</v>
      </c>
    </row>
    <row r="416" spans="1:4" x14ac:dyDescent="0.25">
      <c r="A416" t="s">
        <v>6420</v>
      </c>
      <c r="B416">
        <v>1</v>
      </c>
      <c r="C416" t="s">
        <v>5592</v>
      </c>
      <c r="D416" t="s">
        <v>6421</v>
      </c>
    </row>
    <row r="417" spans="1:4" x14ac:dyDescent="0.25">
      <c r="A417" t="s">
        <v>6422</v>
      </c>
      <c r="B417">
        <v>1</v>
      </c>
      <c r="C417" t="s">
        <v>5592</v>
      </c>
      <c r="D417" t="s">
        <v>6423</v>
      </c>
    </row>
    <row r="418" spans="1:4" x14ac:dyDescent="0.25">
      <c r="A418" t="s">
        <v>6424</v>
      </c>
      <c r="B418">
        <v>1</v>
      </c>
      <c r="C418" t="s">
        <v>5592</v>
      </c>
      <c r="D418" t="s">
        <v>6425</v>
      </c>
    </row>
    <row r="419" spans="1:4" x14ac:dyDescent="0.25">
      <c r="A419" t="s">
        <v>6426</v>
      </c>
      <c r="B419">
        <v>1</v>
      </c>
      <c r="C419" t="s">
        <v>5592</v>
      </c>
      <c r="D419" t="s">
        <v>6427</v>
      </c>
    </row>
    <row r="420" spans="1:4" x14ac:dyDescent="0.25">
      <c r="A420" t="s">
        <v>6428</v>
      </c>
      <c r="B420">
        <v>1</v>
      </c>
      <c r="C420" t="s">
        <v>5592</v>
      </c>
      <c r="D420" t="s">
        <v>6429</v>
      </c>
    </row>
    <row r="421" spans="1:4" x14ac:dyDescent="0.25">
      <c r="A421" t="s">
        <v>6430</v>
      </c>
      <c r="B421">
        <v>1</v>
      </c>
      <c r="C421" t="s">
        <v>5592</v>
      </c>
      <c r="D421" t="s">
        <v>6431</v>
      </c>
    </row>
    <row r="422" spans="1:4" x14ac:dyDescent="0.25">
      <c r="A422" t="s">
        <v>6432</v>
      </c>
      <c r="B422">
        <v>1</v>
      </c>
      <c r="C422" t="s">
        <v>5592</v>
      </c>
      <c r="D422" t="s">
        <v>6433</v>
      </c>
    </row>
    <row r="423" spans="1:4" x14ac:dyDescent="0.25">
      <c r="A423" t="s">
        <v>6434</v>
      </c>
      <c r="B423">
        <v>1</v>
      </c>
      <c r="C423" t="s">
        <v>5592</v>
      </c>
      <c r="D423" t="s">
        <v>6435</v>
      </c>
    </row>
    <row r="424" spans="1:4" x14ac:dyDescent="0.25">
      <c r="A424" t="s">
        <v>6436</v>
      </c>
      <c r="B424">
        <v>1</v>
      </c>
      <c r="C424" t="s">
        <v>5592</v>
      </c>
      <c r="D424" t="s">
        <v>6437</v>
      </c>
    </row>
    <row r="425" spans="1:4" x14ac:dyDescent="0.25">
      <c r="A425" t="s">
        <v>6438</v>
      </c>
      <c r="B425">
        <v>1</v>
      </c>
      <c r="C425" t="s">
        <v>5592</v>
      </c>
      <c r="D425" t="s">
        <v>6439</v>
      </c>
    </row>
    <row r="426" spans="1:4" x14ac:dyDescent="0.25">
      <c r="A426" t="s">
        <v>6440</v>
      </c>
      <c r="B426">
        <v>1</v>
      </c>
      <c r="C426" t="s">
        <v>5592</v>
      </c>
      <c r="D426" t="s">
        <v>6441</v>
      </c>
    </row>
    <row r="427" spans="1:4" x14ac:dyDescent="0.25">
      <c r="A427" t="s">
        <v>6442</v>
      </c>
      <c r="B427">
        <v>1</v>
      </c>
      <c r="C427" t="s">
        <v>5592</v>
      </c>
      <c r="D427" t="s">
        <v>6443</v>
      </c>
    </row>
    <row r="428" spans="1:4" x14ac:dyDescent="0.25">
      <c r="A428" t="s">
        <v>6444</v>
      </c>
      <c r="B428">
        <v>1</v>
      </c>
      <c r="C428" t="s">
        <v>5592</v>
      </c>
      <c r="D428" t="s">
        <v>6445</v>
      </c>
    </row>
    <row r="429" spans="1:4" x14ac:dyDescent="0.25">
      <c r="A429" t="s">
        <v>6446</v>
      </c>
      <c r="B429">
        <v>1</v>
      </c>
      <c r="C429" t="s">
        <v>5592</v>
      </c>
      <c r="D429" t="s">
        <v>6447</v>
      </c>
    </row>
    <row r="430" spans="1:4" x14ac:dyDescent="0.25">
      <c r="A430" t="s">
        <v>6448</v>
      </c>
      <c r="B430">
        <v>1</v>
      </c>
      <c r="C430" t="s">
        <v>5592</v>
      </c>
      <c r="D430" t="s">
        <v>6449</v>
      </c>
    </row>
    <row r="431" spans="1:4" x14ac:dyDescent="0.25">
      <c r="A431" t="s">
        <v>6450</v>
      </c>
      <c r="B431">
        <v>1</v>
      </c>
      <c r="C431" t="s">
        <v>5592</v>
      </c>
      <c r="D431" t="s">
        <v>6451</v>
      </c>
    </row>
    <row r="432" spans="1:4" x14ac:dyDescent="0.25">
      <c r="A432" t="s">
        <v>6452</v>
      </c>
      <c r="B432">
        <v>1</v>
      </c>
      <c r="C432" t="s">
        <v>5592</v>
      </c>
      <c r="D432" t="s">
        <v>6453</v>
      </c>
    </row>
    <row r="433" spans="1:4" x14ac:dyDescent="0.25">
      <c r="A433" t="s">
        <v>6454</v>
      </c>
      <c r="B433">
        <v>1</v>
      </c>
      <c r="C433" t="s">
        <v>5592</v>
      </c>
      <c r="D433" t="s">
        <v>6455</v>
      </c>
    </row>
    <row r="434" spans="1:4" x14ac:dyDescent="0.25">
      <c r="A434" t="s">
        <v>6456</v>
      </c>
      <c r="B434">
        <v>1</v>
      </c>
      <c r="C434" t="s">
        <v>5592</v>
      </c>
      <c r="D434" t="s">
        <v>6457</v>
      </c>
    </row>
    <row r="435" spans="1:4" x14ac:dyDescent="0.25">
      <c r="A435" t="s">
        <v>6458</v>
      </c>
      <c r="B435">
        <v>1</v>
      </c>
      <c r="C435" t="s">
        <v>5592</v>
      </c>
      <c r="D435" t="s">
        <v>6459</v>
      </c>
    </row>
    <row r="436" spans="1:4" x14ac:dyDescent="0.25">
      <c r="A436" t="s">
        <v>6460</v>
      </c>
      <c r="B436">
        <v>1</v>
      </c>
      <c r="C436" t="s">
        <v>5592</v>
      </c>
      <c r="D436" t="s">
        <v>6461</v>
      </c>
    </row>
    <row r="437" spans="1:4" x14ac:dyDescent="0.25">
      <c r="A437" t="s">
        <v>6462</v>
      </c>
      <c r="B437">
        <v>1</v>
      </c>
      <c r="C437" t="s">
        <v>5592</v>
      </c>
      <c r="D437" t="s">
        <v>6463</v>
      </c>
    </row>
    <row r="438" spans="1:4" x14ac:dyDescent="0.25">
      <c r="A438" t="s">
        <v>6464</v>
      </c>
      <c r="B438">
        <v>1</v>
      </c>
      <c r="C438" t="s">
        <v>5592</v>
      </c>
      <c r="D438" t="s">
        <v>6465</v>
      </c>
    </row>
    <row r="439" spans="1:4" x14ac:dyDescent="0.25">
      <c r="A439" t="s">
        <v>6466</v>
      </c>
      <c r="B439">
        <v>1</v>
      </c>
      <c r="C439" t="s">
        <v>5592</v>
      </c>
      <c r="D439" t="s">
        <v>6467</v>
      </c>
    </row>
    <row r="440" spans="1:4" x14ac:dyDescent="0.25">
      <c r="A440" t="s">
        <v>6468</v>
      </c>
      <c r="B440">
        <v>1</v>
      </c>
      <c r="C440" t="s">
        <v>5592</v>
      </c>
      <c r="D440" t="s">
        <v>6469</v>
      </c>
    </row>
    <row r="441" spans="1:4" x14ac:dyDescent="0.25">
      <c r="A441" t="s">
        <v>6470</v>
      </c>
      <c r="B441">
        <v>1</v>
      </c>
      <c r="C441" t="s">
        <v>5592</v>
      </c>
      <c r="D441" t="s">
        <v>6471</v>
      </c>
    </row>
    <row r="442" spans="1:4" x14ac:dyDescent="0.25">
      <c r="A442" t="s">
        <v>6472</v>
      </c>
      <c r="B442">
        <v>1</v>
      </c>
      <c r="C442" t="s">
        <v>5592</v>
      </c>
      <c r="D442" t="s">
        <v>6473</v>
      </c>
    </row>
    <row r="443" spans="1:4" x14ac:dyDescent="0.25">
      <c r="A443" t="s">
        <v>6474</v>
      </c>
      <c r="B443">
        <v>1</v>
      </c>
      <c r="C443" t="s">
        <v>5592</v>
      </c>
      <c r="D443" t="s">
        <v>6475</v>
      </c>
    </row>
    <row r="444" spans="1:4" x14ac:dyDescent="0.25">
      <c r="A444" t="s">
        <v>6476</v>
      </c>
      <c r="B444">
        <v>1</v>
      </c>
      <c r="C444" t="s">
        <v>5592</v>
      </c>
      <c r="D444" t="s">
        <v>6477</v>
      </c>
    </row>
    <row r="445" spans="1:4" x14ac:dyDescent="0.25">
      <c r="A445" t="s">
        <v>6478</v>
      </c>
      <c r="B445">
        <v>1</v>
      </c>
      <c r="C445" t="s">
        <v>5592</v>
      </c>
      <c r="D445" t="s">
        <v>6479</v>
      </c>
    </row>
    <row r="446" spans="1:4" x14ac:dyDescent="0.25">
      <c r="A446" t="s">
        <v>6480</v>
      </c>
      <c r="B446">
        <v>1</v>
      </c>
      <c r="C446" t="s">
        <v>5592</v>
      </c>
      <c r="D446" t="s">
        <v>6481</v>
      </c>
    </row>
    <row r="447" spans="1:4" x14ac:dyDescent="0.25">
      <c r="A447" t="s">
        <v>6482</v>
      </c>
      <c r="B447">
        <v>1</v>
      </c>
      <c r="C447" t="s">
        <v>5592</v>
      </c>
      <c r="D447" t="s">
        <v>6483</v>
      </c>
    </row>
    <row r="448" spans="1:4" x14ac:dyDescent="0.25">
      <c r="A448" t="s">
        <v>6484</v>
      </c>
      <c r="B448">
        <v>1</v>
      </c>
      <c r="C448" t="s">
        <v>5592</v>
      </c>
      <c r="D448" t="s">
        <v>6485</v>
      </c>
    </row>
    <row r="449" spans="1:4" x14ac:dyDescent="0.25">
      <c r="A449" t="s">
        <v>6486</v>
      </c>
      <c r="B449">
        <v>1</v>
      </c>
      <c r="C449" t="s">
        <v>5592</v>
      </c>
      <c r="D449" t="s">
        <v>6487</v>
      </c>
    </row>
    <row r="450" spans="1:4" x14ac:dyDescent="0.25">
      <c r="A450" t="s">
        <v>6488</v>
      </c>
      <c r="B450">
        <v>1</v>
      </c>
      <c r="C450" t="s">
        <v>5592</v>
      </c>
      <c r="D450" t="s">
        <v>6489</v>
      </c>
    </row>
    <row r="451" spans="1:4" x14ac:dyDescent="0.25">
      <c r="A451" t="s">
        <v>6490</v>
      </c>
      <c r="B451">
        <v>1</v>
      </c>
      <c r="C451" t="s">
        <v>5592</v>
      </c>
      <c r="D451" t="s">
        <v>6491</v>
      </c>
    </row>
    <row r="452" spans="1:4" x14ac:dyDescent="0.25">
      <c r="A452" t="s">
        <v>6492</v>
      </c>
      <c r="B452">
        <v>1</v>
      </c>
      <c r="C452" t="s">
        <v>5592</v>
      </c>
      <c r="D452" t="s">
        <v>6493</v>
      </c>
    </row>
    <row r="453" spans="1:4" x14ac:dyDescent="0.25">
      <c r="A453" t="s">
        <v>6494</v>
      </c>
      <c r="B453">
        <v>1</v>
      </c>
      <c r="C453" t="s">
        <v>5592</v>
      </c>
      <c r="D453" t="s">
        <v>6495</v>
      </c>
    </row>
    <row r="454" spans="1:4" x14ac:dyDescent="0.25">
      <c r="A454" t="s">
        <v>6496</v>
      </c>
      <c r="B454">
        <v>1</v>
      </c>
      <c r="C454" t="s">
        <v>5592</v>
      </c>
      <c r="D454" t="s">
        <v>6497</v>
      </c>
    </row>
    <row r="455" spans="1:4" x14ac:dyDescent="0.25">
      <c r="A455" t="s">
        <v>6498</v>
      </c>
      <c r="B455">
        <v>1</v>
      </c>
      <c r="C455" t="s">
        <v>5592</v>
      </c>
      <c r="D455" t="s">
        <v>6499</v>
      </c>
    </row>
    <row r="456" spans="1:4" x14ac:dyDescent="0.25">
      <c r="A456" t="s">
        <v>6500</v>
      </c>
      <c r="B456">
        <v>1</v>
      </c>
      <c r="C456" t="s">
        <v>5592</v>
      </c>
      <c r="D456" t="s">
        <v>6501</v>
      </c>
    </row>
    <row r="457" spans="1:4" x14ac:dyDescent="0.25">
      <c r="A457" t="s">
        <v>6502</v>
      </c>
      <c r="B457">
        <v>1</v>
      </c>
      <c r="C457" t="s">
        <v>5592</v>
      </c>
      <c r="D457" t="s">
        <v>6503</v>
      </c>
    </row>
    <row r="458" spans="1:4" x14ac:dyDescent="0.25">
      <c r="A458" t="s">
        <v>6504</v>
      </c>
      <c r="B458">
        <v>1</v>
      </c>
      <c r="C458" t="s">
        <v>5592</v>
      </c>
      <c r="D458" t="s">
        <v>6505</v>
      </c>
    </row>
    <row r="459" spans="1:4" x14ac:dyDescent="0.25">
      <c r="A459" t="s">
        <v>6506</v>
      </c>
      <c r="B459">
        <v>1</v>
      </c>
      <c r="C459" t="s">
        <v>5592</v>
      </c>
      <c r="D459" t="s">
        <v>6507</v>
      </c>
    </row>
    <row r="460" spans="1:4" x14ac:dyDescent="0.25">
      <c r="A460" t="s">
        <v>6508</v>
      </c>
      <c r="B460">
        <v>1</v>
      </c>
      <c r="C460" t="s">
        <v>5592</v>
      </c>
      <c r="D460" t="s">
        <v>6509</v>
      </c>
    </row>
    <row r="461" spans="1:4" x14ac:dyDescent="0.25">
      <c r="A461" t="s">
        <v>6510</v>
      </c>
      <c r="B461">
        <v>1</v>
      </c>
      <c r="C461" t="s">
        <v>5592</v>
      </c>
      <c r="D461" t="s">
        <v>6511</v>
      </c>
    </row>
    <row r="462" spans="1:4" x14ac:dyDescent="0.25">
      <c r="A462" t="s">
        <v>6512</v>
      </c>
      <c r="B462">
        <v>1</v>
      </c>
      <c r="C462" t="s">
        <v>5592</v>
      </c>
      <c r="D462" t="s">
        <v>6513</v>
      </c>
    </row>
    <row r="463" spans="1:4" x14ac:dyDescent="0.25">
      <c r="A463" t="s">
        <v>6514</v>
      </c>
      <c r="B463">
        <v>1</v>
      </c>
      <c r="C463" t="s">
        <v>5592</v>
      </c>
      <c r="D463" t="s">
        <v>6515</v>
      </c>
    </row>
    <row r="464" spans="1:4" x14ac:dyDescent="0.25">
      <c r="A464" t="s">
        <v>6516</v>
      </c>
      <c r="B464">
        <v>1</v>
      </c>
      <c r="C464" t="s">
        <v>5592</v>
      </c>
      <c r="D464" t="s">
        <v>6517</v>
      </c>
    </row>
    <row r="465" spans="1:4" x14ac:dyDescent="0.25">
      <c r="A465" t="s">
        <v>6518</v>
      </c>
      <c r="B465">
        <v>1</v>
      </c>
      <c r="C465" t="s">
        <v>5592</v>
      </c>
      <c r="D465" t="s">
        <v>6519</v>
      </c>
    </row>
    <row r="466" spans="1:4" x14ac:dyDescent="0.25">
      <c r="A466" t="s">
        <v>6520</v>
      </c>
      <c r="B466">
        <v>1</v>
      </c>
      <c r="C466" t="s">
        <v>5592</v>
      </c>
      <c r="D466" t="s">
        <v>6521</v>
      </c>
    </row>
    <row r="467" spans="1:4" x14ac:dyDescent="0.25">
      <c r="A467" t="s">
        <v>6522</v>
      </c>
      <c r="B467">
        <v>1</v>
      </c>
      <c r="C467" t="s">
        <v>5592</v>
      </c>
      <c r="D467" t="s">
        <v>6523</v>
      </c>
    </row>
    <row r="468" spans="1:4" x14ac:dyDescent="0.25">
      <c r="A468" t="s">
        <v>6524</v>
      </c>
      <c r="B468">
        <v>1</v>
      </c>
      <c r="C468" t="s">
        <v>5592</v>
      </c>
      <c r="D468" t="s">
        <v>6525</v>
      </c>
    </row>
    <row r="469" spans="1:4" x14ac:dyDescent="0.25">
      <c r="A469" t="s">
        <v>6526</v>
      </c>
      <c r="B469">
        <v>1</v>
      </c>
      <c r="C469" t="s">
        <v>5592</v>
      </c>
      <c r="D469" t="s">
        <v>6527</v>
      </c>
    </row>
    <row r="470" spans="1:4" x14ac:dyDescent="0.25">
      <c r="A470" t="s">
        <v>6528</v>
      </c>
      <c r="B470">
        <v>1</v>
      </c>
      <c r="C470" t="s">
        <v>5592</v>
      </c>
      <c r="D470" t="s">
        <v>6529</v>
      </c>
    </row>
    <row r="471" spans="1:4" x14ac:dyDescent="0.25">
      <c r="A471" t="s">
        <v>6530</v>
      </c>
      <c r="B471">
        <v>1</v>
      </c>
      <c r="C471" t="s">
        <v>5592</v>
      </c>
      <c r="D471" t="s">
        <v>6531</v>
      </c>
    </row>
    <row r="472" spans="1:4" x14ac:dyDescent="0.25">
      <c r="A472" t="s">
        <v>6532</v>
      </c>
      <c r="B472">
        <v>1</v>
      </c>
      <c r="C472" t="s">
        <v>5592</v>
      </c>
      <c r="D472" t="s">
        <v>6533</v>
      </c>
    </row>
    <row r="473" spans="1:4" x14ac:dyDescent="0.25">
      <c r="A473" t="s">
        <v>6534</v>
      </c>
      <c r="B473">
        <v>1</v>
      </c>
      <c r="C473" t="s">
        <v>5592</v>
      </c>
      <c r="D473" t="s">
        <v>6535</v>
      </c>
    </row>
    <row r="474" spans="1:4" x14ac:dyDescent="0.25">
      <c r="A474" t="s">
        <v>6536</v>
      </c>
      <c r="B474">
        <v>1</v>
      </c>
      <c r="C474" t="s">
        <v>5592</v>
      </c>
      <c r="D474" t="s">
        <v>6537</v>
      </c>
    </row>
    <row r="475" spans="1:4" x14ac:dyDescent="0.25">
      <c r="A475" t="s">
        <v>6538</v>
      </c>
      <c r="B475">
        <v>1</v>
      </c>
      <c r="C475" t="s">
        <v>5592</v>
      </c>
      <c r="D475" t="s">
        <v>6539</v>
      </c>
    </row>
    <row r="476" spans="1:4" x14ac:dyDescent="0.25">
      <c r="A476" t="s">
        <v>6540</v>
      </c>
      <c r="B476">
        <v>1</v>
      </c>
      <c r="C476" t="s">
        <v>5592</v>
      </c>
      <c r="D476" t="s">
        <v>6541</v>
      </c>
    </row>
    <row r="477" spans="1:4" x14ac:dyDescent="0.25">
      <c r="A477" t="s">
        <v>6542</v>
      </c>
      <c r="B477">
        <v>1</v>
      </c>
      <c r="C477" t="s">
        <v>5592</v>
      </c>
      <c r="D477" t="s">
        <v>6543</v>
      </c>
    </row>
    <row r="478" spans="1:4" x14ac:dyDescent="0.25">
      <c r="A478" t="s">
        <v>6544</v>
      </c>
      <c r="B478">
        <v>1</v>
      </c>
      <c r="C478" t="s">
        <v>5592</v>
      </c>
      <c r="D478" t="s">
        <v>6545</v>
      </c>
    </row>
    <row r="479" spans="1:4" x14ac:dyDescent="0.25">
      <c r="A479" t="s">
        <v>6546</v>
      </c>
      <c r="B479">
        <v>1</v>
      </c>
      <c r="C479" t="s">
        <v>5592</v>
      </c>
      <c r="D479" t="s">
        <v>6547</v>
      </c>
    </row>
    <row r="480" spans="1:4" x14ac:dyDescent="0.25">
      <c r="A480" t="s">
        <v>6548</v>
      </c>
      <c r="B480">
        <v>1</v>
      </c>
      <c r="C480" t="s">
        <v>5592</v>
      </c>
      <c r="D480" t="s">
        <v>6549</v>
      </c>
    </row>
    <row r="481" spans="1:4" x14ac:dyDescent="0.25">
      <c r="A481" t="s">
        <v>6550</v>
      </c>
      <c r="B481">
        <v>1</v>
      </c>
      <c r="C481" t="s">
        <v>5592</v>
      </c>
      <c r="D481" t="s">
        <v>6551</v>
      </c>
    </row>
    <row r="482" spans="1:4" x14ac:dyDescent="0.25">
      <c r="A482" t="s">
        <v>6552</v>
      </c>
      <c r="B482">
        <v>1</v>
      </c>
      <c r="C482" t="s">
        <v>5592</v>
      </c>
      <c r="D482" t="s">
        <v>6553</v>
      </c>
    </row>
    <row r="483" spans="1:4" x14ac:dyDescent="0.25">
      <c r="A483" t="s">
        <v>6554</v>
      </c>
      <c r="B483">
        <v>1</v>
      </c>
      <c r="C483" t="s">
        <v>5592</v>
      </c>
      <c r="D483" t="s">
        <v>6555</v>
      </c>
    </row>
    <row r="484" spans="1:4" x14ac:dyDescent="0.25">
      <c r="A484" t="s">
        <v>6556</v>
      </c>
      <c r="B484">
        <v>1</v>
      </c>
      <c r="C484" t="s">
        <v>5592</v>
      </c>
      <c r="D484" t="s">
        <v>6557</v>
      </c>
    </row>
    <row r="485" spans="1:4" x14ac:dyDescent="0.25">
      <c r="A485" t="s">
        <v>6558</v>
      </c>
      <c r="B485">
        <v>1</v>
      </c>
      <c r="C485" t="s">
        <v>5592</v>
      </c>
      <c r="D485" t="s">
        <v>6559</v>
      </c>
    </row>
    <row r="486" spans="1:4" x14ac:dyDescent="0.25">
      <c r="A486" t="s">
        <v>6560</v>
      </c>
      <c r="B486">
        <v>1</v>
      </c>
      <c r="C486" t="s">
        <v>5592</v>
      </c>
      <c r="D486" t="s">
        <v>6561</v>
      </c>
    </row>
    <row r="487" spans="1:4" x14ac:dyDescent="0.25">
      <c r="A487" t="s">
        <v>6562</v>
      </c>
      <c r="B487">
        <v>1</v>
      </c>
      <c r="C487" t="s">
        <v>5592</v>
      </c>
      <c r="D487" t="s">
        <v>6563</v>
      </c>
    </row>
    <row r="488" spans="1:4" x14ac:dyDescent="0.25">
      <c r="A488" t="s">
        <v>6564</v>
      </c>
      <c r="B488">
        <v>1</v>
      </c>
      <c r="C488" t="s">
        <v>5592</v>
      </c>
      <c r="D488" t="s">
        <v>6565</v>
      </c>
    </row>
    <row r="489" spans="1:4" x14ac:dyDescent="0.25">
      <c r="A489" t="s">
        <v>6566</v>
      </c>
      <c r="B489">
        <v>1</v>
      </c>
      <c r="C489" t="s">
        <v>5592</v>
      </c>
      <c r="D489" t="s">
        <v>6567</v>
      </c>
    </row>
    <row r="490" spans="1:4" x14ac:dyDescent="0.25">
      <c r="A490" t="s">
        <v>6568</v>
      </c>
      <c r="B490">
        <v>1</v>
      </c>
      <c r="C490" t="s">
        <v>5592</v>
      </c>
      <c r="D490" t="s">
        <v>6569</v>
      </c>
    </row>
    <row r="491" spans="1:4" x14ac:dyDescent="0.25">
      <c r="A491" t="s">
        <v>6570</v>
      </c>
      <c r="B491">
        <v>1</v>
      </c>
      <c r="C491" t="s">
        <v>5592</v>
      </c>
      <c r="D491" t="s">
        <v>6571</v>
      </c>
    </row>
    <row r="492" spans="1:4" x14ac:dyDescent="0.25">
      <c r="A492" t="s">
        <v>6572</v>
      </c>
      <c r="B492">
        <v>1</v>
      </c>
      <c r="C492" t="s">
        <v>5592</v>
      </c>
      <c r="D492" t="s">
        <v>6573</v>
      </c>
    </row>
    <row r="493" spans="1:4" x14ac:dyDescent="0.25">
      <c r="A493" t="s">
        <v>6574</v>
      </c>
      <c r="B493">
        <v>1</v>
      </c>
      <c r="C493" t="s">
        <v>5592</v>
      </c>
      <c r="D493" t="s">
        <v>6575</v>
      </c>
    </row>
    <row r="494" spans="1:4" x14ac:dyDescent="0.25">
      <c r="A494" t="s">
        <v>6576</v>
      </c>
      <c r="B494">
        <v>1</v>
      </c>
      <c r="C494" t="s">
        <v>5592</v>
      </c>
      <c r="D494" t="s">
        <v>6577</v>
      </c>
    </row>
    <row r="495" spans="1:4" x14ac:dyDescent="0.25">
      <c r="A495" t="s">
        <v>6578</v>
      </c>
      <c r="B495">
        <v>1</v>
      </c>
      <c r="C495" t="s">
        <v>5592</v>
      </c>
      <c r="D495" t="s">
        <v>6579</v>
      </c>
    </row>
    <row r="496" spans="1:4" x14ac:dyDescent="0.25">
      <c r="A496" t="s">
        <v>6580</v>
      </c>
      <c r="B496">
        <v>1</v>
      </c>
      <c r="C496" t="s">
        <v>5592</v>
      </c>
      <c r="D496" t="s">
        <v>6581</v>
      </c>
    </row>
    <row r="497" spans="1:4" x14ac:dyDescent="0.25">
      <c r="A497" t="s">
        <v>6582</v>
      </c>
      <c r="B497">
        <v>1</v>
      </c>
      <c r="C497" t="s">
        <v>5592</v>
      </c>
      <c r="D497" t="s">
        <v>6583</v>
      </c>
    </row>
    <row r="498" spans="1:4" x14ac:dyDescent="0.25">
      <c r="A498" t="s">
        <v>6584</v>
      </c>
      <c r="B498">
        <v>1</v>
      </c>
      <c r="C498" t="s">
        <v>5592</v>
      </c>
      <c r="D498" t="s">
        <v>6585</v>
      </c>
    </row>
    <row r="499" spans="1:4" x14ac:dyDescent="0.25">
      <c r="A499" t="s">
        <v>6586</v>
      </c>
      <c r="B499">
        <v>1</v>
      </c>
      <c r="C499" t="s">
        <v>5592</v>
      </c>
      <c r="D499" t="s">
        <v>6587</v>
      </c>
    </row>
    <row r="500" spans="1:4" x14ac:dyDescent="0.25">
      <c r="A500" t="s">
        <v>6588</v>
      </c>
      <c r="B500">
        <v>1</v>
      </c>
      <c r="C500" t="s">
        <v>5592</v>
      </c>
      <c r="D500" t="s">
        <v>6589</v>
      </c>
    </row>
    <row r="501" spans="1:4" x14ac:dyDescent="0.25">
      <c r="A501" t="s">
        <v>6590</v>
      </c>
      <c r="B501">
        <v>1</v>
      </c>
      <c r="C501" t="s">
        <v>5592</v>
      </c>
      <c r="D501" t="s">
        <v>6591</v>
      </c>
    </row>
    <row r="502" spans="1:4" x14ac:dyDescent="0.25">
      <c r="A502" t="s">
        <v>6592</v>
      </c>
      <c r="B502">
        <v>1</v>
      </c>
      <c r="C502" t="s">
        <v>5592</v>
      </c>
      <c r="D502" t="s">
        <v>6593</v>
      </c>
    </row>
    <row r="503" spans="1:4" x14ac:dyDescent="0.25">
      <c r="A503" t="s">
        <v>6594</v>
      </c>
      <c r="B503">
        <v>1</v>
      </c>
      <c r="C503" t="s">
        <v>5592</v>
      </c>
      <c r="D503" t="s">
        <v>6595</v>
      </c>
    </row>
    <row r="504" spans="1:4" x14ac:dyDescent="0.25">
      <c r="A504" t="s">
        <v>6596</v>
      </c>
      <c r="B504">
        <v>1</v>
      </c>
      <c r="C504" t="s">
        <v>5592</v>
      </c>
      <c r="D504" t="s">
        <v>6597</v>
      </c>
    </row>
    <row r="505" spans="1:4" x14ac:dyDescent="0.25">
      <c r="A505" t="s">
        <v>6598</v>
      </c>
      <c r="B505">
        <v>1</v>
      </c>
      <c r="C505" t="s">
        <v>5592</v>
      </c>
      <c r="D505" t="s">
        <v>6599</v>
      </c>
    </row>
    <row r="506" spans="1:4" x14ac:dyDescent="0.25">
      <c r="A506" t="s">
        <v>6600</v>
      </c>
      <c r="B506">
        <v>1</v>
      </c>
      <c r="C506" t="s">
        <v>5592</v>
      </c>
      <c r="D506" t="s">
        <v>6601</v>
      </c>
    </row>
    <row r="507" spans="1:4" x14ac:dyDescent="0.25">
      <c r="A507" t="s">
        <v>6602</v>
      </c>
      <c r="B507">
        <v>1</v>
      </c>
      <c r="C507" t="s">
        <v>5592</v>
      </c>
      <c r="D507" t="s">
        <v>6603</v>
      </c>
    </row>
    <row r="508" spans="1:4" x14ac:dyDescent="0.25">
      <c r="A508" t="s">
        <v>6604</v>
      </c>
      <c r="B508">
        <v>1</v>
      </c>
      <c r="C508" t="s">
        <v>5592</v>
      </c>
      <c r="D508" t="s">
        <v>6605</v>
      </c>
    </row>
    <row r="509" spans="1:4" x14ac:dyDescent="0.25">
      <c r="A509" t="s">
        <v>6606</v>
      </c>
      <c r="B509">
        <v>1</v>
      </c>
      <c r="C509" t="s">
        <v>5592</v>
      </c>
      <c r="D509" t="s">
        <v>6607</v>
      </c>
    </row>
    <row r="510" spans="1:4" x14ac:dyDescent="0.25">
      <c r="A510" t="s">
        <v>6608</v>
      </c>
      <c r="B510">
        <v>1</v>
      </c>
      <c r="C510" t="s">
        <v>5592</v>
      </c>
      <c r="D510" t="s">
        <v>6609</v>
      </c>
    </row>
    <row r="511" spans="1:4" x14ac:dyDescent="0.25">
      <c r="A511" t="s">
        <v>6610</v>
      </c>
      <c r="B511">
        <v>1</v>
      </c>
      <c r="C511" t="s">
        <v>5592</v>
      </c>
      <c r="D511" t="s">
        <v>6611</v>
      </c>
    </row>
    <row r="512" spans="1:4" x14ac:dyDescent="0.25">
      <c r="A512" t="s">
        <v>6612</v>
      </c>
      <c r="B512">
        <v>1</v>
      </c>
      <c r="C512" t="s">
        <v>5592</v>
      </c>
      <c r="D512" t="s">
        <v>6613</v>
      </c>
    </row>
    <row r="513" spans="1:4" x14ac:dyDescent="0.25">
      <c r="A513" t="s">
        <v>6614</v>
      </c>
      <c r="B513">
        <v>1</v>
      </c>
      <c r="C513" t="s">
        <v>5592</v>
      </c>
      <c r="D513" t="s">
        <v>6615</v>
      </c>
    </row>
    <row r="514" spans="1:4" x14ac:dyDescent="0.25">
      <c r="A514" t="s">
        <v>6616</v>
      </c>
      <c r="B514">
        <v>1</v>
      </c>
      <c r="C514" t="s">
        <v>5592</v>
      </c>
      <c r="D514" t="s">
        <v>6617</v>
      </c>
    </row>
    <row r="515" spans="1:4" x14ac:dyDescent="0.25">
      <c r="A515" t="s">
        <v>6618</v>
      </c>
      <c r="B515">
        <v>1</v>
      </c>
      <c r="C515" t="s">
        <v>5592</v>
      </c>
      <c r="D515" t="s">
        <v>6619</v>
      </c>
    </row>
    <row r="516" spans="1:4" x14ac:dyDescent="0.25">
      <c r="A516" t="s">
        <v>6620</v>
      </c>
      <c r="B516">
        <v>1</v>
      </c>
      <c r="C516" t="s">
        <v>5592</v>
      </c>
      <c r="D516" t="s">
        <v>6621</v>
      </c>
    </row>
    <row r="517" spans="1:4" x14ac:dyDescent="0.25">
      <c r="A517" t="s">
        <v>6622</v>
      </c>
      <c r="B517">
        <v>1</v>
      </c>
      <c r="C517" t="s">
        <v>5592</v>
      </c>
      <c r="D517" t="s">
        <v>6623</v>
      </c>
    </row>
    <row r="518" spans="1:4" x14ac:dyDescent="0.25">
      <c r="A518" s="1" t="s">
        <v>6624</v>
      </c>
      <c r="B518">
        <v>1</v>
      </c>
      <c r="C518" t="s">
        <v>5592</v>
      </c>
      <c r="D518" t="s">
        <v>6625</v>
      </c>
    </row>
    <row r="519" spans="1:4" x14ac:dyDescent="0.25">
      <c r="A519" t="s">
        <v>6626</v>
      </c>
      <c r="B519">
        <v>1</v>
      </c>
      <c r="C519" t="s">
        <v>5592</v>
      </c>
      <c r="D519" t="s">
        <v>6627</v>
      </c>
    </row>
    <row r="520" spans="1:4" x14ac:dyDescent="0.25">
      <c r="A520" t="s">
        <v>6628</v>
      </c>
      <c r="B520">
        <v>1</v>
      </c>
      <c r="C520" t="s">
        <v>5592</v>
      </c>
      <c r="D520" t="s">
        <v>6629</v>
      </c>
    </row>
    <row r="521" spans="1:4" x14ac:dyDescent="0.25">
      <c r="A521" t="s">
        <v>6630</v>
      </c>
      <c r="B521">
        <v>1</v>
      </c>
      <c r="C521" t="s">
        <v>5592</v>
      </c>
      <c r="D521" t="s">
        <v>6631</v>
      </c>
    </row>
    <row r="522" spans="1:4" x14ac:dyDescent="0.25">
      <c r="A522" t="s">
        <v>6632</v>
      </c>
      <c r="B522">
        <v>1</v>
      </c>
      <c r="C522" t="s">
        <v>5592</v>
      </c>
      <c r="D522" t="s">
        <v>6633</v>
      </c>
    </row>
    <row r="523" spans="1:4" x14ac:dyDescent="0.25">
      <c r="A523" t="s">
        <v>6634</v>
      </c>
      <c r="B523">
        <v>1</v>
      </c>
      <c r="C523" t="s">
        <v>5592</v>
      </c>
      <c r="D523" t="s">
        <v>6635</v>
      </c>
    </row>
    <row r="524" spans="1:4" x14ac:dyDescent="0.25">
      <c r="A524" t="s">
        <v>6636</v>
      </c>
      <c r="B524">
        <v>1</v>
      </c>
      <c r="C524" t="s">
        <v>5592</v>
      </c>
      <c r="D524" t="s">
        <v>6637</v>
      </c>
    </row>
    <row r="525" spans="1:4" x14ac:dyDescent="0.25">
      <c r="A525" t="s">
        <v>6638</v>
      </c>
      <c r="B525">
        <v>1</v>
      </c>
      <c r="C525" t="s">
        <v>5592</v>
      </c>
      <c r="D525" t="s">
        <v>6639</v>
      </c>
    </row>
    <row r="526" spans="1:4" x14ac:dyDescent="0.25">
      <c r="A526" t="s">
        <v>6640</v>
      </c>
      <c r="B526">
        <v>1</v>
      </c>
      <c r="C526" t="s">
        <v>5592</v>
      </c>
      <c r="D526" t="s">
        <v>6641</v>
      </c>
    </row>
    <row r="527" spans="1:4" x14ac:dyDescent="0.25">
      <c r="A527" t="s">
        <v>6642</v>
      </c>
      <c r="B527">
        <v>1</v>
      </c>
      <c r="C527" t="s">
        <v>5592</v>
      </c>
      <c r="D527" t="s">
        <v>6643</v>
      </c>
    </row>
    <row r="528" spans="1:4" x14ac:dyDescent="0.25">
      <c r="A528" t="s">
        <v>6644</v>
      </c>
      <c r="B528">
        <v>1</v>
      </c>
      <c r="C528" t="s">
        <v>5592</v>
      </c>
      <c r="D528" t="s">
        <v>6645</v>
      </c>
    </row>
    <row r="529" spans="1:4" x14ac:dyDescent="0.25">
      <c r="A529" t="s">
        <v>6646</v>
      </c>
      <c r="B529">
        <v>1</v>
      </c>
      <c r="C529" t="s">
        <v>5592</v>
      </c>
      <c r="D529" t="s">
        <v>6647</v>
      </c>
    </row>
    <row r="530" spans="1:4" x14ac:dyDescent="0.25">
      <c r="A530" t="s">
        <v>6648</v>
      </c>
      <c r="B530">
        <v>1</v>
      </c>
      <c r="C530" t="s">
        <v>5592</v>
      </c>
      <c r="D530" t="s">
        <v>6649</v>
      </c>
    </row>
    <row r="531" spans="1:4" x14ac:dyDescent="0.25">
      <c r="A531" t="s">
        <v>6650</v>
      </c>
      <c r="B531">
        <v>1</v>
      </c>
      <c r="C531" t="s">
        <v>5592</v>
      </c>
      <c r="D531" t="s">
        <v>6651</v>
      </c>
    </row>
    <row r="532" spans="1:4" x14ac:dyDescent="0.25">
      <c r="A532" t="s">
        <v>6652</v>
      </c>
      <c r="B532">
        <v>1</v>
      </c>
      <c r="C532" t="s">
        <v>5592</v>
      </c>
      <c r="D532" t="s">
        <v>6653</v>
      </c>
    </row>
    <row r="533" spans="1:4" x14ac:dyDescent="0.25">
      <c r="A533" t="s">
        <v>6654</v>
      </c>
      <c r="B533">
        <v>1</v>
      </c>
      <c r="C533" t="s">
        <v>5592</v>
      </c>
      <c r="D533" t="s">
        <v>6655</v>
      </c>
    </row>
    <row r="534" spans="1:4" x14ac:dyDescent="0.25">
      <c r="A534" t="s">
        <v>6656</v>
      </c>
      <c r="B534">
        <v>1</v>
      </c>
      <c r="C534" t="s">
        <v>5592</v>
      </c>
      <c r="D534" t="s">
        <v>6657</v>
      </c>
    </row>
    <row r="535" spans="1:4" x14ac:dyDescent="0.25">
      <c r="A535" t="s">
        <v>6658</v>
      </c>
      <c r="B535">
        <v>1</v>
      </c>
      <c r="C535" t="s">
        <v>5592</v>
      </c>
      <c r="D535" t="s">
        <v>6659</v>
      </c>
    </row>
    <row r="536" spans="1:4" x14ac:dyDescent="0.25">
      <c r="A536" t="s">
        <v>6660</v>
      </c>
      <c r="B536">
        <v>1</v>
      </c>
      <c r="C536" t="s">
        <v>5592</v>
      </c>
      <c r="D536" t="s">
        <v>6661</v>
      </c>
    </row>
    <row r="537" spans="1:4" x14ac:dyDescent="0.25">
      <c r="A537" t="s">
        <v>6662</v>
      </c>
      <c r="B537">
        <v>1</v>
      </c>
      <c r="C537" t="s">
        <v>5592</v>
      </c>
      <c r="D537" t="s">
        <v>6663</v>
      </c>
    </row>
    <row r="538" spans="1:4" x14ac:dyDescent="0.25">
      <c r="A538" t="s">
        <v>6664</v>
      </c>
      <c r="B538">
        <v>1</v>
      </c>
      <c r="C538" t="s">
        <v>5592</v>
      </c>
      <c r="D538" t="s">
        <v>6665</v>
      </c>
    </row>
    <row r="539" spans="1:4" x14ac:dyDescent="0.25">
      <c r="A539" s="1" t="s">
        <v>6666</v>
      </c>
      <c r="B539">
        <v>1</v>
      </c>
      <c r="C539" t="s">
        <v>5592</v>
      </c>
      <c r="D539" t="s">
        <v>6667</v>
      </c>
    </row>
    <row r="540" spans="1:4" x14ac:dyDescent="0.25">
      <c r="A540" t="s">
        <v>6668</v>
      </c>
      <c r="B540">
        <v>1</v>
      </c>
      <c r="C540" t="s">
        <v>5592</v>
      </c>
      <c r="D540" t="s">
        <v>6669</v>
      </c>
    </row>
    <row r="541" spans="1:4" x14ac:dyDescent="0.25">
      <c r="A541" t="s">
        <v>6670</v>
      </c>
      <c r="B541">
        <v>1</v>
      </c>
      <c r="C541" t="s">
        <v>5592</v>
      </c>
      <c r="D541" t="s">
        <v>6671</v>
      </c>
    </row>
    <row r="542" spans="1:4" x14ac:dyDescent="0.25">
      <c r="A542" t="s">
        <v>6672</v>
      </c>
      <c r="B542">
        <v>1</v>
      </c>
      <c r="C542" t="s">
        <v>5592</v>
      </c>
      <c r="D542" t="s">
        <v>6673</v>
      </c>
    </row>
    <row r="543" spans="1:4" x14ac:dyDescent="0.25">
      <c r="A543" t="s">
        <v>6674</v>
      </c>
      <c r="B543">
        <v>1</v>
      </c>
      <c r="C543" t="s">
        <v>5592</v>
      </c>
      <c r="D543" t="s">
        <v>6675</v>
      </c>
    </row>
    <row r="544" spans="1:4" x14ac:dyDescent="0.25">
      <c r="A544" t="s">
        <v>6676</v>
      </c>
      <c r="B544">
        <v>1</v>
      </c>
      <c r="C544" t="s">
        <v>5592</v>
      </c>
      <c r="D544" t="s">
        <v>6677</v>
      </c>
    </row>
    <row r="545" spans="1:4" x14ac:dyDescent="0.25">
      <c r="A545" t="s">
        <v>6678</v>
      </c>
      <c r="B545">
        <v>1</v>
      </c>
      <c r="C545" t="s">
        <v>5592</v>
      </c>
      <c r="D545" t="s">
        <v>6679</v>
      </c>
    </row>
    <row r="546" spans="1:4" x14ac:dyDescent="0.25">
      <c r="A546" t="s">
        <v>6680</v>
      </c>
      <c r="B546">
        <v>1</v>
      </c>
      <c r="C546" t="s">
        <v>5592</v>
      </c>
      <c r="D546" t="s">
        <v>6681</v>
      </c>
    </row>
    <row r="547" spans="1:4" x14ac:dyDescent="0.25">
      <c r="A547" t="s">
        <v>6682</v>
      </c>
      <c r="B547">
        <v>1</v>
      </c>
      <c r="C547" t="s">
        <v>5592</v>
      </c>
      <c r="D547" t="s">
        <v>6683</v>
      </c>
    </row>
    <row r="548" spans="1:4" x14ac:dyDescent="0.25">
      <c r="A548" t="s">
        <v>6684</v>
      </c>
      <c r="B548">
        <v>1</v>
      </c>
      <c r="C548" t="s">
        <v>5592</v>
      </c>
      <c r="D548" t="s">
        <v>6685</v>
      </c>
    </row>
    <row r="549" spans="1:4" x14ac:dyDescent="0.25">
      <c r="A549" t="s">
        <v>6686</v>
      </c>
      <c r="B549">
        <v>1</v>
      </c>
      <c r="C549" t="s">
        <v>5592</v>
      </c>
      <c r="D549" t="s">
        <v>6687</v>
      </c>
    </row>
    <row r="550" spans="1:4" x14ac:dyDescent="0.25">
      <c r="A550" t="s">
        <v>6688</v>
      </c>
      <c r="B550">
        <v>1</v>
      </c>
      <c r="C550" t="s">
        <v>5592</v>
      </c>
      <c r="D550" t="s">
        <v>6689</v>
      </c>
    </row>
    <row r="551" spans="1:4" x14ac:dyDescent="0.25">
      <c r="A551" t="s">
        <v>6690</v>
      </c>
      <c r="B551">
        <v>1</v>
      </c>
      <c r="C551" t="s">
        <v>5592</v>
      </c>
      <c r="D551" t="s">
        <v>6691</v>
      </c>
    </row>
    <row r="552" spans="1:4" x14ac:dyDescent="0.25">
      <c r="A552" t="s">
        <v>6692</v>
      </c>
      <c r="B552">
        <v>1</v>
      </c>
      <c r="C552" t="s">
        <v>5592</v>
      </c>
      <c r="D552" t="s">
        <v>6693</v>
      </c>
    </row>
    <row r="553" spans="1:4" x14ac:dyDescent="0.25">
      <c r="A553" t="s">
        <v>6694</v>
      </c>
      <c r="B553">
        <v>1</v>
      </c>
      <c r="C553" t="s">
        <v>5592</v>
      </c>
      <c r="D553" t="s">
        <v>6695</v>
      </c>
    </row>
    <row r="554" spans="1:4" x14ac:dyDescent="0.25">
      <c r="A554" t="s">
        <v>6696</v>
      </c>
      <c r="B554">
        <v>1</v>
      </c>
      <c r="C554" t="s">
        <v>5592</v>
      </c>
      <c r="D554" t="s">
        <v>6697</v>
      </c>
    </row>
    <row r="555" spans="1:4" x14ac:dyDescent="0.25">
      <c r="A555" t="s">
        <v>6698</v>
      </c>
      <c r="B555">
        <v>1</v>
      </c>
      <c r="C555" t="s">
        <v>5592</v>
      </c>
      <c r="D555" t="s">
        <v>6699</v>
      </c>
    </row>
    <row r="556" spans="1:4" x14ac:dyDescent="0.25">
      <c r="A556" t="s">
        <v>6700</v>
      </c>
      <c r="B556">
        <v>1</v>
      </c>
      <c r="C556" t="s">
        <v>5592</v>
      </c>
      <c r="D556" t="s">
        <v>6701</v>
      </c>
    </row>
    <row r="557" spans="1:4" x14ac:dyDescent="0.25">
      <c r="A557" t="s">
        <v>6702</v>
      </c>
      <c r="B557">
        <v>1</v>
      </c>
      <c r="C557" t="s">
        <v>5592</v>
      </c>
      <c r="D557" t="s">
        <v>6703</v>
      </c>
    </row>
    <row r="558" spans="1:4" x14ac:dyDescent="0.25">
      <c r="A558" t="s">
        <v>6704</v>
      </c>
      <c r="B558">
        <v>1</v>
      </c>
      <c r="C558" t="s">
        <v>5592</v>
      </c>
      <c r="D558" t="s">
        <v>6705</v>
      </c>
    </row>
    <row r="559" spans="1:4" x14ac:dyDescent="0.25">
      <c r="A559" t="s">
        <v>6706</v>
      </c>
      <c r="B559">
        <v>1</v>
      </c>
      <c r="C559" t="s">
        <v>5592</v>
      </c>
      <c r="D559" t="s">
        <v>6707</v>
      </c>
    </row>
    <row r="560" spans="1:4" x14ac:dyDescent="0.25">
      <c r="A560" t="s">
        <v>6708</v>
      </c>
      <c r="B560">
        <v>1</v>
      </c>
      <c r="C560" t="s">
        <v>5592</v>
      </c>
      <c r="D560" t="s">
        <v>6709</v>
      </c>
    </row>
    <row r="561" spans="1:4" x14ac:dyDescent="0.25">
      <c r="A561" t="s">
        <v>6710</v>
      </c>
      <c r="B561">
        <v>1</v>
      </c>
      <c r="C561" t="s">
        <v>5592</v>
      </c>
      <c r="D561" t="s">
        <v>6711</v>
      </c>
    </row>
    <row r="562" spans="1:4" x14ac:dyDescent="0.25">
      <c r="A562" t="s">
        <v>6712</v>
      </c>
      <c r="B562">
        <v>1</v>
      </c>
      <c r="C562" t="s">
        <v>5592</v>
      </c>
      <c r="D562" t="s">
        <v>6713</v>
      </c>
    </row>
    <row r="563" spans="1:4" x14ac:dyDescent="0.25">
      <c r="A563" t="s">
        <v>6714</v>
      </c>
      <c r="B563">
        <v>1</v>
      </c>
      <c r="C563" t="s">
        <v>5592</v>
      </c>
      <c r="D563" t="s">
        <v>6715</v>
      </c>
    </row>
    <row r="564" spans="1:4" x14ac:dyDescent="0.25">
      <c r="A564" t="s">
        <v>6716</v>
      </c>
      <c r="B564">
        <v>1</v>
      </c>
      <c r="C564" t="s">
        <v>5592</v>
      </c>
      <c r="D564" t="s">
        <v>6717</v>
      </c>
    </row>
    <row r="565" spans="1:4" x14ac:dyDescent="0.25">
      <c r="A565" t="s">
        <v>6718</v>
      </c>
      <c r="B565">
        <v>1</v>
      </c>
      <c r="C565" t="s">
        <v>5592</v>
      </c>
      <c r="D565" t="s">
        <v>6719</v>
      </c>
    </row>
    <row r="566" spans="1:4" x14ac:dyDescent="0.25">
      <c r="A566" t="s">
        <v>6720</v>
      </c>
      <c r="B566">
        <v>1</v>
      </c>
      <c r="C566" t="s">
        <v>5592</v>
      </c>
      <c r="D566" t="s">
        <v>6721</v>
      </c>
    </row>
    <row r="567" spans="1:4" x14ac:dyDescent="0.25">
      <c r="A567" t="s">
        <v>6722</v>
      </c>
      <c r="B567">
        <v>1</v>
      </c>
      <c r="C567" t="s">
        <v>5592</v>
      </c>
      <c r="D567" t="s">
        <v>6723</v>
      </c>
    </row>
    <row r="568" spans="1:4" x14ac:dyDescent="0.25">
      <c r="A568" t="s">
        <v>6724</v>
      </c>
      <c r="B568">
        <v>1</v>
      </c>
      <c r="C568" t="s">
        <v>5592</v>
      </c>
      <c r="D568" t="s">
        <v>6725</v>
      </c>
    </row>
    <row r="569" spans="1:4" x14ac:dyDescent="0.25">
      <c r="A569" t="s">
        <v>6726</v>
      </c>
      <c r="B569">
        <v>1</v>
      </c>
      <c r="C569" t="s">
        <v>5592</v>
      </c>
      <c r="D569" t="s">
        <v>6727</v>
      </c>
    </row>
    <row r="570" spans="1:4" x14ac:dyDescent="0.25">
      <c r="A570" t="s">
        <v>6728</v>
      </c>
      <c r="B570">
        <v>1</v>
      </c>
      <c r="C570" t="s">
        <v>5592</v>
      </c>
      <c r="D570" t="s">
        <v>6729</v>
      </c>
    </row>
    <row r="571" spans="1:4" x14ac:dyDescent="0.25">
      <c r="A571" t="s">
        <v>6730</v>
      </c>
      <c r="B571">
        <v>1</v>
      </c>
      <c r="C571" t="s">
        <v>5592</v>
      </c>
      <c r="D571" t="s">
        <v>6731</v>
      </c>
    </row>
    <row r="572" spans="1:4" x14ac:dyDescent="0.25">
      <c r="A572" t="s">
        <v>6732</v>
      </c>
      <c r="B572">
        <v>1</v>
      </c>
      <c r="C572" t="s">
        <v>5592</v>
      </c>
      <c r="D572" t="s">
        <v>6733</v>
      </c>
    </row>
    <row r="573" spans="1:4" x14ac:dyDescent="0.25">
      <c r="A573" t="s">
        <v>6734</v>
      </c>
      <c r="B573">
        <v>1</v>
      </c>
      <c r="C573" t="s">
        <v>5592</v>
      </c>
      <c r="D573" t="s">
        <v>6735</v>
      </c>
    </row>
    <row r="574" spans="1:4" x14ac:dyDescent="0.25">
      <c r="A574" t="s">
        <v>6736</v>
      </c>
      <c r="B574">
        <v>1</v>
      </c>
      <c r="C574" t="s">
        <v>5592</v>
      </c>
      <c r="D574" t="s">
        <v>6737</v>
      </c>
    </row>
    <row r="575" spans="1:4" x14ac:dyDescent="0.25">
      <c r="A575" t="s">
        <v>6738</v>
      </c>
      <c r="B575">
        <v>1</v>
      </c>
      <c r="C575" t="s">
        <v>5592</v>
      </c>
      <c r="D575" t="s">
        <v>6739</v>
      </c>
    </row>
    <row r="576" spans="1:4" x14ac:dyDescent="0.25">
      <c r="A576" t="s">
        <v>6740</v>
      </c>
      <c r="B576">
        <v>1</v>
      </c>
      <c r="C576" t="s">
        <v>5592</v>
      </c>
      <c r="D576" t="s">
        <v>6741</v>
      </c>
    </row>
    <row r="577" spans="1:4" x14ac:dyDescent="0.25">
      <c r="A577" t="s">
        <v>6742</v>
      </c>
      <c r="B577">
        <v>1</v>
      </c>
      <c r="C577" t="s">
        <v>5592</v>
      </c>
      <c r="D577" t="s">
        <v>6743</v>
      </c>
    </row>
    <row r="578" spans="1:4" x14ac:dyDescent="0.25">
      <c r="A578" t="s">
        <v>6744</v>
      </c>
      <c r="B578">
        <v>1</v>
      </c>
      <c r="C578" t="s">
        <v>5592</v>
      </c>
      <c r="D578" t="s">
        <v>6745</v>
      </c>
    </row>
    <row r="579" spans="1:4" x14ac:dyDescent="0.25">
      <c r="A579" t="s">
        <v>6746</v>
      </c>
      <c r="B579">
        <v>1</v>
      </c>
      <c r="C579" t="s">
        <v>5592</v>
      </c>
      <c r="D579" t="s">
        <v>6747</v>
      </c>
    </row>
    <row r="580" spans="1:4" x14ac:dyDescent="0.25">
      <c r="A580" t="s">
        <v>6748</v>
      </c>
      <c r="B580">
        <v>1</v>
      </c>
      <c r="C580" t="s">
        <v>5592</v>
      </c>
      <c r="D580" t="s">
        <v>6749</v>
      </c>
    </row>
    <row r="581" spans="1:4" x14ac:dyDescent="0.25">
      <c r="A581" t="s">
        <v>6750</v>
      </c>
      <c r="B581">
        <v>1</v>
      </c>
      <c r="C581" t="s">
        <v>5592</v>
      </c>
      <c r="D581" t="s">
        <v>6751</v>
      </c>
    </row>
    <row r="582" spans="1:4" x14ac:dyDescent="0.25">
      <c r="A582" t="s">
        <v>6752</v>
      </c>
      <c r="B582">
        <v>1</v>
      </c>
      <c r="C582" t="s">
        <v>5592</v>
      </c>
      <c r="D582" t="s">
        <v>6753</v>
      </c>
    </row>
    <row r="583" spans="1:4" x14ac:dyDescent="0.25">
      <c r="A583" t="s">
        <v>6754</v>
      </c>
      <c r="B583">
        <v>1</v>
      </c>
      <c r="C583" t="s">
        <v>5592</v>
      </c>
      <c r="D583" t="s">
        <v>6755</v>
      </c>
    </row>
    <row r="584" spans="1:4" x14ac:dyDescent="0.25">
      <c r="A584" t="s">
        <v>6756</v>
      </c>
      <c r="B584">
        <v>1</v>
      </c>
      <c r="C584" t="s">
        <v>5592</v>
      </c>
      <c r="D584" t="s">
        <v>6757</v>
      </c>
    </row>
    <row r="585" spans="1:4" x14ac:dyDescent="0.25">
      <c r="A585" t="s">
        <v>6758</v>
      </c>
      <c r="B585">
        <v>1</v>
      </c>
      <c r="C585" t="s">
        <v>5592</v>
      </c>
      <c r="D585" t="s">
        <v>6759</v>
      </c>
    </row>
    <row r="586" spans="1:4" x14ac:dyDescent="0.25">
      <c r="A586" t="s">
        <v>6760</v>
      </c>
      <c r="B586">
        <v>1</v>
      </c>
      <c r="C586" t="s">
        <v>5592</v>
      </c>
      <c r="D586" t="s">
        <v>6761</v>
      </c>
    </row>
    <row r="587" spans="1:4" x14ac:dyDescent="0.25">
      <c r="A587" t="s">
        <v>6762</v>
      </c>
      <c r="B587">
        <v>1</v>
      </c>
      <c r="C587" t="s">
        <v>5592</v>
      </c>
      <c r="D587" t="s">
        <v>6763</v>
      </c>
    </row>
    <row r="588" spans="1:4" x14ac:dyDescent="0.25">
      <c r="A588" t="s">
        <v>6764</v>
      </c>
      <c r="B588">
        <v>1</v>
      </c>
      <c r="C588" t="s">
        <v>5592</v>
      </c>
      <c r="D588" t="s">
        <v>6765</v>
      </c>
    </row>
    <row r="589" spans="1:4" x14ac:dyDescent="0.25">
      <c r="A589" t="s">
        <v>6766</v>
      </c>
      <c r="B589">
        <v>1</v>
      </c>
      <c r="C589" t="s">
        <v>5592</v>
      </c>
      <c r="D589" t="s">
        <v>6767</v>
      </c>
    </row>
    <row r="590" spans="1:4" x14ac:dyDescent="0.25">
      <c r="A590" t="s">
        <v>6768</v>
      </c>
      <c r="B590">
        <v>1</v>
      </c>
      <c r="C590" t="s">
        <v>5592</v>
      </c>
      <c r="D590" t="s">
        <v>6769</v>
      </c>
    </row>
    <row r="591" spans="1:4" x14ac:dyDescent="0.25">
      <c r="A591" t="s">
        <v>6770</v>
      </c>
      <c r="B591">
        <v>1</v>
      </c>
      <c r="C591" t="s">
        <v>5592</v>
      </c>
      <c r="D591" t="s">
        <v>6771</v>
      </c>
    </row>
    <row r="592" spans="1:4" x14ac:dyDescent="0.25">
      <c r="A592" t="s">
        <v>6772</v>
      </c>
      <c r="B592">
        <v>1</v>
      </c>
      <c r="C592" t="s">
        <v>5592</v>
      </c>
      <c r="D592" t="s">
        <v>6773</v>
      </c>
    </row>
    <row r="593" spans="1:4" x14ac:dyDescent="0.25">
      <c r="A593" s="1" t="s">
        <v>6774</v>
      </c>
      <c r="B593">
        <v>1</v>
      </c>
      <c r="C593" t="s">
        <v>5592</v>
      </c>
      <c r="D593" t="s">
        <v>6775</v>
      </c>
    </row>
    <row r="594" spans="1:4" x14ac:dyDescent="0.25">
      <c r="A594" t="s">
        <v>6776</v>
      </c>
      <c r="B594">
        <v>1</v>
      </c>
      <c r="C594" t="s">
        <v>5592</v>
      </c>
      <c r="D594" t="s">
        <v>6777</v>
      </c>
    </row>
    <row r="595" spans="1:4" x14ac:dyDescent="0.25">
      <c r="A595" t="s">
        <v>6778</v>
      </c>
      <c r="B595">
        <v>1</v>
      </c>
      <c r="C595" t="s">
        <v>5592</v>
      </c>
      <c r="D595" t="s">
        <v>6779</v>
      </c>
    </row>
    <row r="596" spans="1:4" x14ac:dyDescent="0.25">
      <c r="A596" t="s">
        <v>6780</v>
      </c>
      <c r="B596">
        <v>1</v>
      </c>
      <c r="C596" t="s">
        <v>5592</v>
      </c>
      <c r="D596" t="s">
        <v>6781</v>
      </c>
    </row>
    <row r="597" spans="1:4" x14ac:dyDescent="0.25">
      <c r="A597" t="s">
        <v>6782</v>
      </c>
      <c r="B597">
        <v>1</v>
      </c>
      <c r="C597" t="s">
        <v>5592</v>
      </c>
      <c r="D597" t="s">
        <v>6783</v>
      </c>
    </row>
    <row r="598" spans="1:4" x14ac:dyDescent="0.25">
      <c r="A598" t="s">
        <v>6784</v>
      </c>
      <c r="B598">
        <v>1</v>
      </c>
      <c r="C598" t="s">
        <v>5592</v>
      </c>
      <c r="D598" t="s">
        <v>6785</v>
      </c>
    </row>
    <row r="599" spans="1:4" x14ac:dyDescent="0.25">
      <c r="A599" t="s">
        <v>6786</v>
      </c>
      <c r="B599">
        <v>1</v>
      </c>
      <c r="C599" t="s">
        <v>5592</v>
      </c>
      <c r="D599" t="s">
        <v>6787</v>
      </c>
    </row>
    <row r="600" spans="1:4" x14ac:dyDescent="0.25">
      <c r="A600" t="s">
        <v>6788</v>
      </c>
      <c r="B600">
        <v>1</v>
      </c>
      <c r="C600" t="s">
        <v>5592</v>
      </c>
      <c r="D600" t="s">
        <v>6789</v>
      </c>
    </row>
    <row r="601" spans="1:4" x14ac:dyDescent="0.25">
      <c r="A601" t="s">
        <v>6790</v>
      </c>
      <c r="B601">
        <v>1</v>
      </c>
      <c r="C601" t="s">
        <v>5592</v>
      </c>
      <c r="D601" t="s">
        <v>6791</v>
      </c>
    </row>
    <row r="602" spans="1:4" x14ac:dyDescent="0.25">
      <c r="A602" t="s">
        <v>6792</v>
      </c>
      <c r="B602">
        <v>1</v>
      </c>
      <c r="C602" t="s">
        <v>5592</v>
      </c>
      <c r="D602" t="s">
        <v>6793</v>
      </c>
    </row>
    <row r="603" spans="1:4" x14ac:dyDescent="0.25">
      <c r="A603" t="s">
        <v>6794</v>
      </c>
      <c r="B603">
        <v>1</v>
      </c>
      <c r="C603" t="s">
        <v>5592</v>
      </c>
      <c r="D603" t="s">
        <v>6795</v>
      </c>
    </row>
    <row r="604" spans="1:4" x14ac:dyDescent="0.25">
      <c r="A604" t="s">
        <v>6796</v>
      </c>
      <c r="B604">
        <v>1</v>
      </c>
      <c r="C604" t="s">
        <v>5592</v>
      </c>
      <c r="D604" t="s">
        <v>6797</v>
      </c>
    </row>
    <row r="605" spans="1:4" x14ac:dyDescent="0.25">
      <c r="A605" t="s">
        <v>6798</v>
      </c>
      <c r="B605">
        <v>1</v>
      </c>
      <c r="C605" t="s">
        <v>5592</v>
      </c>
      <c r="D605" t="s">
        <v>6799</v>
      </c>
    </row>
    <row r="606" spans="1:4" x14ac:dyDescent="0.25">
      <c r="A606" t="s">
        <v>6800</v>
      </c>
      <c r="B606">
        <v>1</v>
      </c>
      <c r="C606" t="s">
        <v>5592</v>
      </c>
      <c r="D606" t="s">
        <v>6801</v>
      </c>
    </row>
    <row r="607" spans="1:4" x14ac:dyDescent="0.25">
      <c r="A607" t="s">
        <v>6802</v>
      </c>
      <c r="B607">
        <v>1</v>
      </c>
      <c r="C607" t="s">
        <v>5592</v>
      </c>
      <c r="D607" t="s">
        <v>6803</v>
      </c>
    </row>
    <row r="608" spans="1:4" x14ac:dyDescent="0.25">
      <c r="A608" t="s">
        <v>6804</v>
      </c>
      <c r="B608">
        <v>1</v>
      </c>
      <c r="C608" t="s">
        <v>5592</v>
      </c>
      <c r="D608" t="s">
        <v>6805</v>
      </c>
    </row>
    <row r="609" spans="1:4" x14ac:dyDescent="0.25">
      <c r="A609" t="s">
        <v>6806</v>
      </c>
      <c r="B609">
        <v>1</v>
      </c>
      <c r="C609" t="s">
        <v>5592</v>
      </c>
      <c r="D609" t="s">
        <v>6807</v>
      </c>
    </row>
    <row r="610" spans="1:4" x14ac:dyDescent="0.25">
      <c r="A610" t="s">
        <v>6808</v>
      </c>
      <c r="B610">
        <v>1</v>
      </c>
      <c r="C610" t="s">
        <v>5592</v>
      </c>
      <c r="D610" t="s">
        <v>6809</v>
      </c>
    </row>
    <row r="611" spans="1:4" x14ac:dyDescent="0.25">
      <c r="A611" t="s">
        <v>6810</v>
      </c>
      <c r="B611">
        <v>1</v>
      </c>
      <c r="C611" t="s">
        <v>5592</v>
      </c>
      <c r="D611" t="s">
        <v>6811</v>
      </c>
    </row>
    <row r="612" spans="1:4" x14ac:dyDescent="0.25">
      <c r="A612" t="s">
        <v>6812</v>
      </c>
      <c r="B612">
        <v>1</v>
      </c>
      <c r="C612" t="s">
        <v>5592</v>
      </c>
      <c r="D612" t="s">
        <v>6813</v>
      </c>
    </row>
    <row r="613" spans="1:4" x14ac:dyDescent="0.25">
      <c r="A613" t="s">
        <v>6814</v>
      </c>
      <c r="B613">
        <v>1</v>
      </c>
      <c r="C613" t="s">
        <v>5592</v>
      </c>
      <c r="D613" t="s">
        <v>6815</v>
      </c>
    </row>
    <row r="614" spans="1:4" x14ac:dyDescent="0.25">
      <c r="A614" t="s">
        <v>6816</v>
      </c>
      <c r="B614">
        <v>1</v>
      </c>
      <c r="C614" t="s">
        <v>5592</v>
      </c>
      <c r="D614" t="s">
        <v>6817</v>
      </c>
    </row>
    <row r="615" spans="1:4" x14ac:dyDescent="0.25">
      <c r="A615" t="s">
        <v>6818</v>
      </c>
      <c r="B615">
        <v>1</v>
      </c>
      <c r="C615" t="s">
        <v>5592</v>
      </c>
      <c r="D615" t="s">
        <v>6819</v>
      </c>
    </row>
    <row r="616" spans="1:4" x14ac:dyDescent="0.25">
      <c r="A616" s="1" t="s">
        <v>6820</v>
      </c>
      <c r="B616">
        <v>1</v>
      </c>
      <c r="C616" t="s">
        <v>5592</v>
      </c>
      <c r="D616" t="s">
        <v>6821</v>
      </c>
    </row>
    <row r="617" spans="1:4" x14ac:dyDescent="0.25">
      <c r="A617" t="s">
        <v>6822</v>
      </c>
      <c r="B617">
        <v>1</v>
      </c>
      <c r="C617" t="s">
        <v>5592</v>
      </c>
      <c r="D617" t="s">
        <v>6823</v>
      </c>
    </row>
    <row r="618" spans="1:4" x14ac:dyDescent="0.25">
      <c r="A618" t="s">
        <v>6824</v>
      </c>
      <c r="B618">
        <v>1</v>
      </c>
      <c r="C618" t="s">
        <v>5592</v>
      </c>
      <c r="D618" t="s">
        <v>6825</v>
      </c>
    </row>
    <row r="619" spans="1:4" x14ac:dyDescent="0.25">
      <c r="A619" t="s">
        <v>6826</v>
      </c>
      <c r="B619">
        <v>1</v>
      </c>
      <c r="C619" t="s">
        <v>5592</v>
      </c>
      <c r="D619" t="s">
        <v>6827</v>
      </c>
    </row>
    <row r="620" spans="1:4" x14ac:dyDescent="0.25">
      <c r="A620" t="s">
        <v>6828</v>
      </c>
      <c r="B620">
        <v>1</v>
      </c>
      <c r="C620" t="s">
        <v>5592</v>
      </c>
      <c r="D620" t="s">
        <v>6829</v>
      </c>
    </row>
    <row r="621" spans="1:4" x14ac:dyDescent="0.25">
      <c r="A621" t="s">
        <v>6830</v>
      </c>
      <c r="B621">
        <v>1</v>
      </c>
      <c r="C621" t="s">
        <v>5592</v>
      </c>
      <c r="D621" t="s">
        <v>6831</v>
      </c>
    </row>
    <row r="622" spans="1:4" x14ac:dyDescent="0.25">
      <c r="A622" t="s">
        <v>6832</v>
      </c>
      <c r="B622">
        <v>1</v>
      </c>
      <c r="C622" t="s">
        <v>5592</v>
      </c>
      <c r="D622" t="s">
        <v>6833</v>
      </c>
    </row>
    <row r="623" spans="1:4" x14ac:dyDescent="0.25">
      <c r="A623" t="s">
        <v>6834</v>
      </c>
      <c r="B623">
        <v>1</v>
      </c>
      <c r="C623" t="s">
        <v>5592</v>
      </c>
      <c r="D623" t="s">
        <v>6835</v>
      </c>
    </row>
    <row r="624" spans="1:4" x14ac:dyDescent="0.25">
      <c r="A624" t="s">
        <v>6836</v>
      </c>
      <c r="B624">
        <v>1</v>
      </c>
      <c r="C624" t="s">
        <v>5592</v>
      </c>
      <c r="D624" t="s">
        <v>6837</v>
      </c>
    </row>
    <row r="625" spans="1:4" x14ac:dyDescent="0.25">
      <c r="A625" t="s">
        <v>6838</v>
      </c>
      <c r="B625">
        <v>1</v>
      </c>
      <c r="C625" t="s">
        <v>5592</v>
      </c>
      <c r="D625" t="s">
        <v>6839</v>
      </c>
    </row>
    <row r="626" spans="1:4" x14ac:dyDescent="0.25">
      <c r="A626" t="s">
        <v>6840</v>
      </c>
      <c r="B626">
        <v>1</v>
      </c>
      <c r="C626" t="s">
        <v>5592</v>
      </c>
      <c r="D626" t="s">
        <v>6841</v>
      </c>
    </row>
    <row r="627" spans="1:4" x14ac:dyDescent="0.25">
      <c r="A627" t="s">
        <v>6842</v>
      </c>
      <c r="B627">
        <v>1</v>
      </c>
      <c r="C627" t="s">
        <v>5592</v>
      </c>
      <c r="D627" t="s">
        <v>6843</v>
      </c>
    </row>
    <row r="628" spans="1:4" x14ac:dyDescent="0.25">
      <c r="A628" t="s">
        <v>6844</v>
      </c>
      <c r="B628">
        <v>1</v>
      </c>
      <c r="C628" t="s">
        <v>5592</v>
      </c>
      <c r="D628" t="s">
        <v>6845</v>
      </c>
    </row>
    <row r="629" spans="1:4" x14ac:dyDescent="0.25">
      <c r="A629" t="s">
        <v>6846</v>
      </c>
      <c r="B629">
        <v>1</v>
      </c>
      <c r="C629" t="s">
        <v>5592</v>
      </c>
      <c r="D629" t="s">
        <v>6847</v>
      </c>
    </row>
    <row r="630" spans="1:4" x14ac:dyDescent="0.25">
      <c r="A630" t="s">
        <v>6848</v>
      </c>
      <c r="B630">
        <v>1</v>
      </c>
      <c r="C630" t="s">
        <v>5592</v>
      </c>
      <c r="D630" t="s">
        <v>6849</v>
      </c>
    </row>
    <row r="631" spans="1:4" x14ac:dyDescent="0.25">
      <c r="A631" t="s">
        <v>6850</v>
      </c>
      <c r="B631">
        <v>1</v>
      </c>
      <c r="C631" t="s">
        <v>5592</v>
      </c>
      <c r="D631" t="s">
        <v>6851</v>
      </c>
    </row>
    <row r="632" spans="1:4" x14ac:dyDescent="0.25">
      <c r="A632" t="s">
        <v>6852</v>
      </c>
      <c r="B632">
        <v>1</v>
      </c>
      <c r="C632" t="s">
        <v>5592</v>
      </c>
      <c r="D632" t="s">
        <v>6853</v>
      </c>
    </row>
    <row r="633" spans="1:4" x14ac:dyDescent="0.25">
      <c r="A633" t="s">
        <v>6854</v>
      </c>
      <c r="B633">
        <v>1</v>
      </c>
      <c r="C633" t="s">
        <v>5592</v>
      </c>
      <c r="D633" t="s">
        <v>6855</v>
      </c>
    </row>
    <row r="634" spans="1:4" x14ac:dyDescent="0.25">
      <c r="A634" t="s">
        <v>6856</v>
      </c>
      <c r="B634">
        <v>1</v>
      </c>
      <c r="C634" t="s">
        <v>5592</v>
      </c>
      <c r="D634" t="s">
        <v>6857</v>
      </c>
    </row>
    <row r="635" spans="1:4" x14ac:dyDescent="0.25">
      <c r="A635" t="s">
        <v>6858</v>
      </c>
      <c r="B635">
        <v>1</v>
      </c>
      <c r="C635" t="s">
        <v>5592</v>
      </c>
      <c r="D635" t="s">
        <v>6859</v>
      </c>
    </row>
    <row r="636" spans="1:4" x14ac:dyDescent="0.25">
      <c r="A636" t="s">
        <v>6860</v>
      </c>
      <c r="B636">
        <v>1</v>
      </c>
      <c r="C636" t="s">
        <v>5592</v>
      </c>
      <c r="D636" t="s">
        <v>6861</v>
      </c>
    </row>
    <row r="637" spans="1:4" x14ac:dyDescent="0.25">
      <c r="A637" t="s">
        <v>6862</v>
      </c>
      <c r="B637">
        <v>1</v>
      </c>
      <c r="C637" t="s">
        <v>5592</v>
      </c>
      <c r="D637" t="s">
        <v>6863</v>
      </c>
    </row>
    <row r="638" spans="1:4" x14ac:dyDescent="0.25">
      <c r="A638" t="s">
        <v>6864</v>
      </c>
      <c r="B638">
        <v>1</v>
      </c>
      <c r="C638" t="s">
        <v>5592</v>
      </c>
      <c r="D638" t="s">
        <v>6865</v>
      </c>
    </row>
    <row r="639" spans="1:4" x14ac:dyDescent="0.25">
      <c r="A639" t="s">
        <v>6866</v>
      </c>
      <c r="B639">
        <v>1</v>
      </c>
      <c r="C639" t="s">
        <v>5592</v>
      </c>
      <c r="D639" t="s">
        <v>6867</v>
      </c>
    </row>
    <row r="640" spans="1:4" x14ac:dyDescent="0.25">
      <c r="A640" t="s">
        <v>6868</v>
      </c>
      <c r="B640">
        <v>1</v>
      </c>
      <c r="C640" t="s">
        <v>5592</v>
      </c>
      <c r="D640" t="s">
        <v>6869</v>
      </c>
    </row>
    <row r="641" spans="1:4" x14ac:dyDescent="0.25">
      <c r="A641" t="s">
        <v>6870</v>
      </c>
      <c r="B641">
        <v>1</v>
      </c>
      <c r="C641" t="s">
        <v>5592</v>
      </c>
      <c r="D641" t="s">
        <v>6871</v>
      </c>
    </row>
    <row r="642" spans="1:4" x14ac:dyDescent="0.25">
      <c r="A642" t="s">
        <v>6872</v>
      </c>
      <c r="B642">
        <v>1</v>
      </c>
      <c r="C642" t="s">
        <v>5592</v>
      </c>
      <c r="D642" t="s">
        <v>6873</v>
      </c>
    </row>
    <row r="643" spans="1:4" x14ac:dyDescent="0.25">
      <c r="A643" t="s">
        <v>6874</v>
      </c>
      <c r="B643">
        <v>1</v>
      </c>
      <c r="C643" t="s">
        <v>5592</v>
      </c>
      <c r="D643" t="s">
        <v>6875</v>
      </c>
    </row>
    <row r="644" spans="1:4" x14ac:dyDescent="0.25">
      <c r="A644" t="s">
        <v>6876</v>
      </c>
      <c r="B644">
        <v>1</v>
      </c>
      <c r="C644" t="s">
        <v>5592</v>
      </c>
      <c r="D644" t="s">
        <v>6877</v>
      </c>
    </row>
    <row r="645" spans="1:4" x14ac:dyDescent="0.25">
      <c r="A645" t="s">
        <v>6878</v>
      </c>
      <c r="B645">
        <v>1</v>
      </c>
      <c r="C645" t="s">
        <v>5592</v>
      </c>
      <c r="D645" t="s">
        <v>6879</v>
      </c>
    </row>
    <row r="646" spans="1:4" x14ac:dyDescent="0.25">
      <c r="A646" t="s">
        <v>6880</v>
      </c>
      <c r="B646">
        <v>1</v>
      </c>
      <c r="C646" t="s">
        <v>5592</v>
      </c>
      <c r="D646" t="s">
        <v>6881</v>
      </c>
    </row>
    <row r="647" spans="1:4" x14ac:dyDescent="0.25">
      <c r="A647" t="s">
        <v>6882</v>
      </c>
      <c r="B647">
        <v>1</v>
      </c>
      <c r="C647" t="s">
        <v>5592</v>
      </c>
      <c r="D647" t="s">
        <v>6883</v>
      </c>
    </row>
    <row r="648" spans="1:4" x14ac:dyDescent="0.25">
      <c r="A648" t="s">
        <v>6884</v>
      </c>
      <c r="B648">
        <v>1</v>
      </c>
      <c r="C648" t="s">
        <v>5592</v>
      </c>
      <c r="D648" t="s">
        <v>6885</v>
      </c>
    </row>
    <row r="649" spans="1:4" x14ac:dyDescent="0.25">
      <c r="A649" t="s">
        <v>6886</v>
      </c>
      <c r="B649">
        <v>1</v>
      </c>
      <c r="C649" t="s">
        <v>5592</v>
      </c>
      <c r="D649" t="s">
        <v>6887</v>
      </c>
    </row>
    <row r="650" spans="1:4" x14ac:dyDescent="0.25">
      <c r="A650" t="s">
        <v>6888</v>
      </c>
      <c r="B650">
        <v>1</v>
      </c>
      <c r="C650" t="s">
        <v>5592</v>
      </c>
      <c r="D650" t="s">
        <v>6889</v>
      </c>
    </row>
    <row r="651" spans="1:4" x14ac:dyDescent="0.25">
      <c r="A651" t="s">
        <v>6890</v>
      </c>
      <c r="B651">
        <v>1</v>
      </c>
      <c r="C651" t="s">
        <v>5592</v>
      </c>
      <c r="D651" t="s">
        <v>6891</v>
      </c>
    </row>
    <row r="652" spans="1:4" x14ac:dyDescent="0.25">
      <c r="A652" t="s">
        <v>6892</v>
      </c>
      <c r="B652">
        <v>1</v>
      </c>
      <c r="C652" t="s">
        <v>5592</v>
      </c>
      <c r="D652" t="s">
        <v>6893</v>
      </c>
    </row>
    <row r="653" spans="1:4" x14ac:dyDescent="0.25">
      <c r="A653" t="s">
        <v>6894</v>
      </c>
      <c r="B653">
        <v>1</v>
      </c>
      <c r="C653" t="s">
        <v>5592</v>
      </c>
      <c r="D653" t="s">
        <v>6895</v>
      </c>
    </row>
    <row r="654" spans="1:4" x14ac:dyDescent="0.25">
      <c r="A654" s="1" t="s">
        <v>6896</v>
      </c>
      <c r="B654">
        <v>1</v>
      </c>
      <c r="C654" t="s">
        <v>5592</v>
      </c>
      <c r="D654" t="s">
        <v>6897</v>
      </c>
    </row>
    <row r="655" spans="1:4" x14ac:dyDescent="0.25">
      <c r="A655" t="s">
        <v>6898</v>
      </c>
      <c r="B655">
        <v>1</v>
      </c>
      <c r="C655" t="s">
        <v>5592</v>
      </c>
      <c r="D655" t="s">
        <v>6899</v>
      </c>
    </row>
    <row r="656" spans="1:4" x14ac:dyDescent="0.25">
      <c r="A656" t="s">
        <v>6900</v>
      </c>
      <c r="B656">
        <v>1</v>
      </c>
      <c r="C656" t="s">
        <v>5592</v>
      </c>
      <c r="D656" t="s">
        <v>6901</v>
      </c>
    </row>
    <row r="657" spans="1:4" x14ac:dyDescent="0.25">
      <c r="A657" t="s">
        <v>6902</v>
      </c>
      <c r="B657">
        <v>1</v>
      </c>
      <c r="C657" t="s">
        <v>5592</v>
      </c>
      <c r="D657" t="s">
        <v>6903</v>
      </c>
    </row>
    <row r="658" spans="1:4" x14ac:dyDescent="0.25">
      <c r="A658" t="s">
        <v>6904</v>
      </c>
      <c r="B658">
        <v>1</v>
      </c>
      <c r="C658" t="s">
        <v>5592</v>
      </c>
      <c r="D658" t="s">
        <v>6905</v>
      </c>
    </row>
    <row r="659" spans="1:4" x14ac:dyDescent="0.25">
      <c r="A659" t="s">
        <v>6906</v>
      </c>
      <c r="B659">
        <v>1</v>
      </c>
      <c r="C659" t="s">
        <v>5592</v>
      </c>
      <c r="D659" t="s">
        <v>6907</v>
      </c>
    </row>
    <row r="660" spans="1:4" x14ac:dyDescent="0.25">
      <c r="A660" t="s">
        <v>6908</v>
      </c>
      <c r="B660">
        <v>1</v>
      </c>
      <c r="C660" t="s">
        <v>5592</v>
      </c>
      <c r="D660" t="s">
        <v>6909</v>
      </c>
    </row>
    <row r="661" spans="1:4" x14ac:dyDescent="0.25">
      <c r="A661" t="s">
        <v>6910</v>
      </c>
      <c r="B661">
        <v>1</v>
      </c>
      <c r="C661" t="s">
        <v>5592</v>
      </c>
      <c r="D661" t="s">
        <v>6911</v>
      </c>
    </row>
    <row r="662" spans="1:4" x14ac:dyDescent="0.25">
      <c r="A662" t="s">
        <v>6912</v>
      </c>
      <c r="B662">
        <v>1</v>
      </c>
      <c r="C662" t="s">
        <v>5592</v>
      </c>
      <c r="D662" t="s">
        <v>6913</v>
      </c>
    </row>
    <row r="663" spans="1:4" x14ac:dyDescent="0.25">
      <c r="A663" t="s">
        <v>6914</v>
      </c>
      <c r="B663">
        <v>1</v>
      </c>
      <c r="C663" t="s">
        <v>5592</v>
      </c>
      <c r="D663" t="s">
        <v>6915</v>
      </c>
    </row>
    <row r="664" spans="1:4" x14ac:dyDescent="0.25">
      <c r="A664" t="s">
        <v>6916</v>
      </c>
      <c r="B664">
        <v>1</v>
      </c>
      <c r="C664" t="s">
        <v>5592</v>
      </c>
      <c r="D664" t="s">
        <v>6917</v>
      </c>
    </row>
    <row r="665" spans="1:4" x14ac:dyDescent="0.25">
      <c r="A665" t="s">
        <v>6918</v>
      </c>
      <c r="B665">
        <v>1</v>
      </c>
      <c r="C665" t="s">
        <v>5592</v>
      </c>
      <c r="D665" t="s">
        <v>6919</v>
      </c>
    </row>
    <row r="666" spans="1:4" x14ac:dyDescent="0.25">
      <c r="A666" t="s">
        <v>6920</v>
      </c>
      <c r="B666">
        <v>1</v>
      </c>
      <c r="C666" t="s">
        <v>5592</v>
      </c>
      <c r="D666" t="s">
        <v>6921</v>
      </c>
    </row>
    <row r="667" spans="1:4" x14ac:dyDescent="0.25">
      <c r="A667" t="s">
        <v>6922</v>
      </c>
      <c r="B667">
        <v>1</v>
      </c>
      <c r="C667" t="s">
        <v>5592</v>
      </c>
      <c r="D667" t="s">
        <v>6923</v>
      </c>
    </row>
    <row r="668" spans="1:4" x14ac:dyDescent="0.25">
      <c r="A668" t="s">
        <v>6924</v>
      </c>
      <c r="B668">
        <v>1</v>
      </c>
      <c r="C668" t="s">
        <v>5592</v>
      </c>
      <c r="D668" t="s">
        <v>6925</v>
      </c>
    </row>
    <row r="669" spans="1:4" x14ac:dyDescent="0.25">
      <c r="A669" t="s">
        <v>6926</v>
      </c>
      <c r="B669">
        <v>1</v>
      </c>
      <c r="C669" t="s">
        <v>5592</v>
      </c>
      <c r="D669" t="s">
        <v>6927</v>
      </c>
    </row>
    <row r="670" spans="1:4" x14ac:dyDescent="0.25">
      <c r="A670" t="s">
        <v>6928</v>
      </c>
      <c r="B670">
        <v>1</v>
      </c>
      <c r="C670" t="s">
        <v>5592</v>
      </c>
      <c r="D670" t="s">
        <v>6929</v>
      </c>
    </row>
    <row r="671" spans="1:4" x14ac:dyDescent="0.25">
      <c r="A671" t="s">
        <v>6930</v>
      </c>
      <c r="B671">
        <v>1</v>
      </c>
      <c r="C671" t="s">
        <v>5592</v>
      </c>
      <c r="D671" t="s">
        <v>6931</v>
      </c>
    </row>
    <row r="672" spans="1:4" x14ac:dyDescent="0.25">
      <c r="A672" t="s">
        <v>6932</v>
      </c>
      <c r="B672">
        <v>1</v>
      </c>
      <c r="C672" t="s">
        <v>5592</v>
      </c>
      <c r="D672" t="s">
        <v>6933</v>
      </c>
    </row>
    <row r="673" spans="1:4" x14ac:dyDescent="0.25">
      <c r="A673" t="s">
        <v>6934</v>
      </c>
      <c r="B673">
        <v>1</v>
      </c>
      <c r="C673" t="s">
        <v>5592</v>
      </c>
      <c r="D673" t="s">
        <v>6935</v>
      </c>
    </row>
    <row r="674" spans="1:4" x14ac:dyDescent="0.25">
      <c r="A674" t="s">
        <v>6936</v>
      </c>
      <c r="B674">
        <v>1</v>
      </c>
      <c r="C674" t="s">
        <v>5592</v>
      </c>
      <c r="D674" t="s">
        <v>6937</v>
      </c>
    </row>
    <row r="675" spans="1:4" x14ac:dyDescent="0.25">
      <c r="A675" t="s">
        <v>6938</v>
      </c>
      <c r="B675">
        <v>1</v>
      </c>
      <c r="C675" t="s">
        <v>5592</v>
      </c>
      <c r="D675" t="s">
        <v>6939</v>
      </c>
    </row>
    <row r="676" spans="1:4" x14ac:dyDescent="0.25">
      <c r="A676" t="s">
        <v>6940</v>
      </c>
      <c r="B676">
        <v>1</v>
      </c>
      <c r="C676" t="s">
        <v>5592</v>
      </c>
      <c r="D676" t="s">
        <v>6941</v>
      </c>
    </row>
    <row r="677" spans="1:4" x14ac:dyDescent="0.25">
      <c r="A677" t="s">
        <v>6942</v>
      </c>
      <c r="B677">
        <v>1</v>
      </c>
      <c r="C677" t="s">
        <v>5592</v>
      </c>
      <c r="D677" t="s">
        <v>6943</v>
      </c>
    </row>
    <row r="678" spans="1:4" x14ac:dyDescent="0.25">
      <c r="A678" t="s">
        <v>6944</v>
      </c>
      <c r="B678">
        <v>1</v>
      </c>
      <c r="C678" t="s">
        <v>5592</v>
      </c>
      <c r="D678" t="s">
        <v>6945</v>
      </c>
    </row>
    <row r="679" spans="1:4" x14ac:dyDescent="0.25">
      <c r="A679" t="s">
        <v>6946</v>
      </c>
      <c r="B679">
        <v>1</v>
      </c>
      <c r="C679" t="s">
        <v>5592</v>
      </c>
      <c r="D679" t="s">
        <v>6947</v>
      </c>
    </row>
    <row r="680" spans="1:4" x14ac:dyDescent="0.25">
      <c r="A680" t="s">
        <v>6948</v>
      </c>
      <c r="B680">
        <v>1</v>
      </c>
      <c r="C680" t="s">
        <v>5592</v>
      </c>
      <c r="D680" t="s">
        <v>6949</v>
      </c>
    </row>
    <row r="681" spans="1:4" x14ac:dyDescent="0.25">
      <c r="A681" t="s">
        <v>6950</v>
      </c>
      <c r="B681">
        <v>1</v>
      </c>
      <c r="C681" t="s">
        <v>5592</v>
      </c>
      <c r="D681" t="s">
        <v>6951</v>
      </c>
    </row>
    <row r="682" spans="1:4" x14ac:dyDescent="0.25">
      <c r="A682" t="s">
        <v>6952</v>
      </c>
      <c r="B682">
        <v>1</v>
      </c>
      <c r="C682" t="s">
        <v>5592</v>
      </c>
      <c r="D682" t="s">
        <v>6953</v>
      </c>
    </row>
    <row r="683" spans="1:4" x14ac:dyDescent="0.25">
      <c r="A683" t="s">
        <v>6954</v>
      </c>
      <c r="B683">
        <v>1</v>
      </c>
      <c r="C683" t="s">
        <v>5592</v>
      </c>
      <c r="D683" t="s">
        <v>6955</v>
      </c>
    </row>
    <row r="684" spans="1:4" x14ac:dyDescent="0.25">
      <c r="A684" t="s">
        <v>6956</v>
      </c>
      <c r="B684">
        <v>1</v>
      </c>
      <c r="C684" t="s">
        <v>5592</v>
      </c>
      <c r="D684" t="s">
        <v>6957</v>
      </c>
    </row>
    <row r="685" spans="1:4" x14ac:dyDescent="0.25">
      <c r="A685" t="s">
        <v>6958</v>
      </c>
      <c r="B685">
        <v>1</v>
      </c>
      <c r="C685" t="s">
        <v>5592</v>
      </c>
      <c r="D685" t="s">
        <v>6959</v>
      </c>
    </row>
    <row r="686" spans="1:4" x14ac:dyDescent="0.25">
      <c r="A686" t="s">
        <v>6960</v>
      </c>
      <c r="B686">
        <v>1</v>
      </c>
      <c r="C686" t="s">
        <v>5592</v>
      </c>
      <c r="D686" t="s">
        <v>6961</v>
      </c>
    </row>
    <row r="687" spans="1:4" x14ac:dyDescent="0.25">
      <c r="A687" t="s">
        <v>6962</v>
      </c>
      <c r="B687">
        <v>1</v>
      </c>
      <c r="C687" t="s">
        <v>5592</v>
      </c>
      <c r="D687" t="s">
        <v>6963</v>
      </c>
    </row>
    <row r="688" spans="1:4" x14ac:dyDescent="0.25">
      <c r="A688" t="s">
        <v>6964</v>
      </c>
      <c r="B688">
        <v>1</v>
      </c>
      <c r="C688" t="s">
        <v>5592</v>
      </c>
      <c r="D688" t="s">
        <v>6965</v>
      </c>
    </row>
    <row r="689" spans="1:4" x14ac:dyDescent="0.25">
      <c r="A689" t="s">
        <v>6966</v>
      </c>
      <c r="B689">
        <v>1</v>
      </c>
      <c r="C689" t="s">
        <v>5592</v>
      </c>
      <c r="D689" t="s">
        <v>6967</v>
      </c>
    </row>
    <row r="690" spans="1:4" x14ac:dyDescent="0.25">
      <c r="A690" t="s">
        <v>6968</v>
      </c>
      <c r="B690">
        <v>1</v>
      </c>
      <c r="C690" t="s">
        <v>5592</v>
      </c>
      <c r="D690" t="s">
        <v>6969</v>
      </c>
    </row>
    <row r="691" spans="1:4" x14ac:dyDescent="0.25">
      <c r="A691" t="s">
        <v>6970</v>
      </c>
      <c r="B691">
        <v>1</v>
      </c>
      <c r="C691" t="s">
        <v>5592</v>
      </c>
      <c r="D691" t="s">
        <v>6971</v>
      </c>
    </row>
    <row r="692" spans="1:4" x14ac:dyDescent="0.25">
      <c r="A692" t="s">
        <v>6972</v>
      </c>
      <c r="B692">
        <v>1</v>
      </c>
      <c r="C692" t="s">
        <v>5592</v>
      </c>
      <c r="D692" t="s">
        <v>6973</v>
      </c>
    </row>
    <row r="693" spans="1:4" x14ac:dyDescent="0.25">
      <c r="A693" t="s">
        <v>6974</v>
      </c>
      <c r="B693">
        <v>1</v>
      </c>
      <c r="C693" t="s">
        <v>5592</v>
      </c>
      <c r="D693" t="s">
        <v>6975</v>
      </c>
    </row>
    <row r="694" spans="1:4" x14ac:dyDescent="0.25">
      <c r="A694" t="s">
        <v>6976</v>
      </c>
      <c r="B694">
        <v>1</v>
      </c>
      <c r="C694" t="s">
        <v>5592</v>
      </c>
      <c r="D694" t="s">
        <v>6977</v>
      </c>
    </row>
    <row r="695" spans="1:4" x14ac:dyDescent="0.25">
      <c r="A695" t="s">
        <v>6978</v>
      </c>
      <c r="B695">
        <v>1</v>
      </c>
      <c r="C695" t="s">
        <v>5592</v>
      </c>
      <c r="D695" t="s">
        <v>6979</v>
      </c>
    </row>
    <row r="696" spans="1:4" x14ac:dyDescent="0.25">
      <c r="A696" t="s">
        <v>6980</v>
      </c>
      <c r="B696">
        <v>1</v>
      </c>
      <c r="C696" t="s">
        <v>5592</v>
      </c>
      <c r="D696" t="s">
        <v>6981</v>
      </c>
    </row>
    <row r="697" spans="1:4" x14ac:dyDescent="0.25">
      <c r="A697" t="s">
        <v>6982</v>
      </c>
      <c r="B697">
        <v>1</v>
      </c>
      <c r="C697" t="s">
        <v>5592</v>
      </c>
      <c r="D697" t="s">
        <v>6983</v>
      </c>
    </row>
    <row r="698" spans="1:4" x14ac:dyDescent="0.25">
      <c r="A698" t="s">
        <v>6984</v>
      </c>
      <c r="B698">
        <v>1</v>
      </c>
      <c r="C698" t="s">
        <v>5592</v>
      </c>
      <c r="D698" t="s">
        <v>6985</v>
      </c>
    </row>
    <row r="699" spans="1:4" x14ac:dyDescent="0.25">
      <c r="A699" t="s">
        <v>6986</v>
      </c>
      <c r="B699">
        <v>1</v>
      </c>
      <c r="C699" t="s">
        <v>5592</v>
      </c>
      <c r="D699" t="s">
        <v>6987</v>
      </c>
    </row>
    <row r="700" spans="1:4" x14ac:dyDescent="0.25">
      <c r="A700" t="s">
        <v>6988</v>
      </c>
      <c r="B700">
        <v>1</v>
      </c>
      <c r="C700" t="s">
        <v>5592</v>
      </c>
      <c r="D700" t="s">
        <v>6989</v>
      </c>
    </row>
    <row r="701" spans="1:4" x14ac:dyDescent="0.25">
      <c r="A701" t="s">
        <v>6990</v>
      </c>
      <c r="B701">
        <v>1</v>
      </c>
      <c r="C701" t="s">
        <v>5592</v>
      </c>
      <c r="D701" t="s">
        <v>6991</v>
      </c>
    </row>
    <row r="702" spans="1:4" x14ac:dyDescent="0.25">
      <c r="A702" t="s">
        <v>6992</v>
      </c>
      <c r="B702">
        <v>1</v>
      </c>
      <c r="C702" t="s">
        <v>5592</v>
      </c>
      <c r="D702" t="s">
        <v>6993</v>
      </c>
    </row>
    <row r="703" spans="1:4" x14ac:dyDescent="0.25">
      <c r="A703" t="s">
        <v>6994</v>
      </c>
      <c r="B703">
        <v>1</v>
      </c>
      <c r="C703" t="s">
        <v>5592</v>
      </c>
      <c r="D703" t="s">
        <v>6995</v>
      </c>
    </row>
    <row r="704" spans="1:4" x14ac:dyDescent="0.25">
      <c r="A704" t="s">
        <v>6996</v>
      </c>
      <c r="B704">
        <v>1</v>
      </c>
      <c r="C704" t="s">
        <v>5592</v>
      </c>
      <c r="D704" t="s">
        <v>6997</v>
      </c>
    </row>
    <row r="705" spans="1:4" x14ac:dyDescent="0.25">
      <c r="A705" t="s">
        <v>6998</v>
      </c>
      <c r="B705">
        <v>1</v>
      </c>
      <c r="C705" t="s">
        <v>5592</v>
      </c>
      <c r="D705" t="s">
        <v>6999</v>
      </c>
    </row>
    <row r="706" spans="1:4" x14ac:dyDescent="0.25">
      <c r="A706" t="s">
        <v>7000</v>
      </c>
      <c r="B706">
        <v>1</v>
      </c>
      <c r="C706" t="s">
        <v>5592</v>
      </c>
      <c r="D706" t="s">
        <v>7001</v>
      </c>
    </row>
    <row r="707" spans="1:4" x14ac:dyDescent="0.25">
      <c r="A707" t="s">
        <v>7002</v>
      </c>
      <c r="B707">
        <v>1</v>
      </c>
      <c r="C707" t="s">
        <v>5592</v>
      </c>
      <c r="D707" t="s">
        <v>7003</v>
      </c>
    </row>
    <row r="708" spans="1:4" x14ac:dyDescent="0.25">
      <c r="A708" t="s">
        <v>7004</v>
      </c>
      <c r="B708">
        <v>1</v>
      </c>
      <c r="C708" t="s">
        <v>5592</v>
      </c>
      <c r="D708" t="s">
        <v>7005</v>
      </c>
    </row>
    <row r="709" spans="1:4" x14ac:dyDescent="0.25">
      <c r="A709" t="s">
        <v>7006</v>
      </c>
      <c r="B709">
        <v>1</v>
      </c>
      <c r="C709" t="s">
        <v>5592</v>
      </c>
      <c r="D709" t="s">
        <v>7007</v>
      </c>
    </row>
    <row r="710" spans="1:4" x14ac:dyDescent="0.25">
      <c r="A710" t="s">
        <v>7008</v>
      </c>
      <c r="B710">
        <v>1</v>
      </c>
      <c r="C710" t="s">
        <v>5592</v>
      </c>
      <c r="D710" t="s">
        <v>7009</v>
      </c>
    </row>
    <row r="711" spans="1:4" x14ac:dyDescent="0.25">
      <c r="A711" t="s">
        <v>7010</v>
      </c>
      <c r="B711">
        <v>1</v>
      </c>
      <c r="C711" t="s">
        <v>5592</v>
      </c>
      <c r="D711" t="s">
        <v>7011</v>
      </c>
    </row>
    <row r="712" spans="1:4" x14ac:dyDescent="0.25">
      <c r="A712" t="s">
        <v>7012</v>
      </c>
      <c r="B712">
        <v>1</v>
      </c>
      <c r="C712" t="s">
        <v>5592</v>
      </c>
      <c r="D712" t="s">
        <v>7013</v>
      </c>
    </row>
    <row r="713" spans="1:4" x14ac:dyDescent="0.25">
      <c r="A713" t="s">
        <v>7014</v>
      </c>
      <c r="B713">
        <v>1</v>
      </c>
      <c r="C713" t="s">
        <v>5592</v>
      </c>
      <c r="D713" t="s">
        <v>7015</v>
      </c>
    </row>
    <row r="714" spans="1:4" x14ac:dyDescent="0.25">
      <c r="A714" t="s">
        <v>7016</v>
      </c>
      <c r="B714">
        <v>1</v>
      </c>
      <c r="C714" t="s">
        <v>5592</v>
      </c>
      <c r="D714" t="s">
        <v>7017</v>
      </c>
    </row>
    <row r="715" spans="1:4" x14ac:dyDescent="0.25">
      <c r="A715" t="s">
        <v>7018</v>
      </c>
      <c r="B715">
        <v>1</v>
      </c>
      <c r="C715" t="s">
        <v>5592</v>
      </c>
      <c r="D715" t="s">
        <v>7019</v>
      </c>
    </row>
    <row r="716" spans="1:4" x14ac:dyDescent="0.25">
      <c r="A716" t="s">
        <v>7020</v>
      </c>
      <c r="B716">
        <v>1</v>
      </c>
      <c r="C716" t="s">
        <v>5592</v>
      </c>
      <c r="D716" t="s">
        <v>7021</v>
      </c>
    </row>
    <row r="717" spans="1:4" x14ac:dyDescent="0.25">
      <c r="A717" t="s">
        <v>7022</v>
      </c>
      <c r="B717">
        <v>1</v>
      </c>
      <c r="C717" t="s">
        <v>5592</v>
      </c>
      <c r="D717" t="s">
        <v>7023</v>
      </c>
    </row>
    <row r="718" spans="1:4" x14ac:dyDescent="0.25">
      <c r="A718" t="s">
        <v>7024</v>
      </c>
      <c r="B718">
        <v>1</v>
      </c>
      <c r="C718" t="s">
        <v>5592</v>
      </c>
      <c r="D718" t="s">
        <v>7025</v>
      </c>
    </row>
    <row r="719" spans="1:4" x14ac:dyDescent="0.25">
      <c r="A719" t="s">
        <v>7026</v>
      </c>
      <c r="B719">
        <v>1</v>
      </c>
      <c r="C719" t="s">
        <v>5592</v>
      </c>
      <c r="D719" t="s">
        <v>7027</v>
      </c>
    </row>
    <row r="720" spans="1:4" x14ac:dyDescent="0.25">
      <c r="A720" t="s">
        <v>7028</v>
      </c>
      <c r="B720">
        <v>1</v>
      </c>
      <c r="C720" t="s">
        <v>5592</v>
      </c>
      <c r="D720" t="s">
        <v>7029</v>
      </c>
    </row>
    <row r="721" spans="1:4" x14ac:dyDescent="0.25">
      <c r="A721" t="s">
        <v>7030</v>
      </c>
      <c r="B721">
        <v>1</v>
      </c>
      <c r="C721" t="s">
        <v>5592</v>
      </c>
      <c r="D721" t="s">
        <v>7031</v>
      </c>
    </row>
    <row r="722" spans="1:4" x14ac:dyDescent="0.25">
      <c r="A722" t="s">
        <v>7032</v>
      </c>
      <c r="B722">
        <v>1</v>
      </c>
      <c r="C722" t="s">
        <v>5592</v>
      </c>
      <c r="D722" t="s">
        <v>7033</v>
      </c>
    </row>
    <row r="723" spans="1:4" x14ac:dyDescent="0.25">
      <c r="A723" t="s">
        <v>7034</v>
      </c>
      <c r="B723">
        <v>1</v>
      </c>
      <c r="C723" t="s">
        <v>5592</v>
      </c>
      <c r="D723" t="s">
        <v>7035</v>
      </c>
    </row>
    <row r="724" spans="1:4" x14ac:dyDescent="0.25">
      <c r="A724" t="s">
        <v>7036</v>
      </c>
      <c r="B724">
        <v>1</v>
      </c>
      <c r="C724" t="s">
        <v>5592</v>
      </c>
      <c r="D724" t="s">
        <v>7037</v>
      </c>
    </row>
    <row r="725" spans="1:4" x14ac:dyDescent="0.25">
      <c r="A725" t="s">
        <v>7038</v>
      </c>
      <c r="B725">
        <v>1</v>
      </c>
      <c r="C725" t="s">
        <v>5592</v>
      </c>
      <c r="D725" t="s">
        <v>7039</v>
      </c>
    </row>
    <row r="726" spans="1:4" x14ac:dyDescent="0.25">
      <c r="A726" s="1" t="s">
        <v>7040</v>
      </c>
      <c r="B726">
        <v>1</v>
      </c>
      <c r="C726" t="s">
        <v>5592</v>
      </c>
      <c r="D726" t="s">
        <v>7041</v>
      </c>
    </row>
    <row r="727" spans="1:4" x14ac:dyDescent="0.25">
      <c r="A727" s="1" t="s">
        <v>7042</v>
      </c>
      <c r="B727">
        <v>1</v>
      </c>
      <c r="C727" t="s">
        <v>5592</v>
      </c>
      <c r="D727" t="s">
        <v>7043</v>
      </c>
    </row>
    <row r="728" spans="1:4" x14ac:dyDescent="0.25">
      <c r="A728" t="s">
        <v>7044</v>
      </c>
      <c r="B728">
        <v>1</v>
      </c>
      <c r="C728" t="s">
        <v>5592</v>
      </c>
      <c r="D728" t="s">
        <v>7045</v>
      </c>
    </row>
    <row r="729" spans="1:4" x14ac:dyDescent="0.25">
      <c r="A729" t="s">
        <v>7046</v>
      </c>
      <c r="B729">
        <v>1</v>
      </c>
      <c r="C729" t="s">
        <v>5592</v>
      </c>
      <c r="D729" t="s">
        <v>7047</v>
      </c>
    </row>
    <row r="730" spans="1:4" x14ac:dyDescent="0.25">
      <c r="A730" t="s">
        <v>7048</v>
      </c>
      <c r="B730">
        <v>1</v>
      </c>
      <c r="C730" t="s">
        <v>5592</v>
      </c>
      <c r="D730" t="s">
        <v>7049</v>
      </c>
    </row>
    <row r="731" spans="1:4" x14ac:dyDescent="0.25">
      <c r="A731" t="s">
        <v>7050</v>
      </c>
      <c r="B731">
        <v>1</v>
      </c>
      <c r="C731" t="s">
        <v>5592</v>
      </c>
      <c r="D731" t="s">
        <v>7051</v>
      </c>
    </row>
    <row r="732" spans="1:4" x14ac:dyDescent="0.25">
      <c r="A732" t="s">
        <v>7052</v>
      </c>
      <c r="B732">
        <v>1</v>
      </c>
      <c r="C732" t="s">
        <v>5592</v>
      </c>
      <c r="D732" t="s">
        <v>7053</v>
      </c>
    </row>
    <row r="733" spans="1:4" x14ac:dyDescent="0.25">
      <c r="A733" t="s">
        <v>7054</v>
      </c>
      <c r="B733">
        <v>1</v>
      </c>
      <c r="C733" t="s">
        <v>5592</v>
      </c>
      <c r="D733" t="s">
        <v>7055</v>
      </c>
    </row>
    <row r="734" spans="1:4" x14ac:dyDescent="0.25">
      <c r="A734" t="s">
        <v>7056</v>
      </c>
      <c r="B734">
        <v>1</v>
      </c>
      <c r="C734" t="s">
        <v>5592</v>
      </c>
      <c r="D734" t="s">
        <v>7057</v>
      </c>
    </row>
    <row r="735" spans="1:4" x14ac:dyDescent="0.25">
      <c r="A735" t="s">
        <v>7058</v>
      </c>
      <c r="B735">
        <v>1</v>
      </c>
      <c r="C735" t="s">
        <v>5592</v>
      </c>
      <c r="D735" t="s">
        <v>7059</v>
      </c>
    </row>
    <row r="736" spans="1:4" x14ac:dyDescent="0.25">
      <c r="A736" t="s">
        <v>7060</v>
      </c>
      <c r="B736">
        <v>1</v>
      </c>
      <c r="C736" t="s">
        <v>5592</v>
      </c>
      <c r="D736" t="s">
        <v>7061</v>
      </c>
    </row>
    <row r="737" spans="1:4" x14ac:dyDescent="0.25">
      <c r="A737" t="s">
        <v>7062</v>
      </c>
      <c r="B737">
        <v>1</v>
      </c>
      <c r="C737" t="s">
        <v>5592</v>
      </c>
      <c r="D737" t="s">
        <v>7063</v>
      </c>
    </row>
    <row r="738" spans="1:4" x14ac:dyDescent="0.25">
      <c r="A738" t="s">
        <v>7064</v>
      </c>
      <c r="B738">
        <v>1</v>
      </c>
      <c r="C738" t="s">
        <v>5592</v>
      </c>
      <c r="D738" t="s">
        <v>7065</v>
      </c>
    </row>
    <row r="739" spans="1:4" x14ac:dyDescent="0.25">
      <c r="A739" t="s">
        <v>7066</v>
      </c>
      <c r="B739">
        <v>1</v>
      </c>
      <c r="C739" t="s">
        <v>5592</v>
      </c>
      <c r="D739" t="s">
        <v>7067</v>
      </c>
    </row>
    <row r="740" spans="1:4" x14ac:dyDescent="0.25">
      <c r="A740" t="s">
        <v>7068</v>
      </c>
      <c r="B740">
        <v>1</v>
      </c>
      <c r="C740" t="s">
        <v>5592</v>
      </c>
      <c r="D740" t="s">
        <v>7069</v>
      </c>
    </row>
    <row r="741" spans="1:4" x14ac:dyDescent="0.25">
      <c r="A741" t="s">
        <v>7070</v>
      </c>
      <c r="B741">
        <v>1</v>
      </c>
      <c r="C741" t="s">
        <v>5592</v>
      </c>
      <c r="D741" t="s">
        <v>7071</v>
      </c>
    </row>
    <row r="742" spans="1:4" x14ac:dyDescent="0.25">
      <c r="A742" s="1" t="s">
        <v>7072</v>
      </c>
      <c r="B742">
        <v>1</v>
      </c>
      <c r="C742" t="s">
        <v>5592</v>
      </c>
      <c r="D742" t="s">
        <v>7073</v>
      </c>
    </row>
    <row r="743" spans="1:4" x14ac:dyDescent="0.25">
      <c r="A743" t="s">
        <v>7074</v>
      </c>
      <c r="B743">
        <v>1</v>
      </c>
      <c r="C743" t="s">
        <v>5592</v>
      </c>
      <c r="D743" t="s">
        <v>7075</v>
      </c>
    </row>
    <row r="744" spans="1:4" x14ac:dyDescent="0.25">
      <c r="A744" t="s">
        <v>7076</v>
      </c>
      <c r="B744">
        <v>1</v>
      </c>
      <c r="C744" t="s">
        <v>5592</v>
      </c>
      <c r="D744" t="s">
        <v>7077</v>
      </c>
    </row>
    <row r="745" spans="1:4" x14ac:dyDescent="0.25">
      <c r="A745" t="s">
        <v>7078</v>
      </c>
      <c r="B745">
        <v>1</v>
      </c>
      <c r="C745" t="s">
        <v>5592</v>
      </c>
      <c r="D745" t="s">
        <v>7079</v>
      </c>
    </row>
    <row r="746" spans="1:4" x14ac:dyDescent="0.25">
      <c r="A746" t="s">
        <v>7080</v>
      </c>
      <c r="B746">
        <v>1</v>
      </c>
      <c r="C746" t="s">
        <v>5592</v>
      </c>
      <c r="D746" t="s">
        <v>7081</v>
      </c>
    </row>
    <row r="747" spans="1:4" x14ac:dyDescent="0.25">
      <c r="A747" t="s">
        <v>7082</v>
      </c>
      <c r="B747">
        <v>1</v>
      </c>
      <c r="C747" t="s">
        <v>5592</v>
      </c>
      <c r="D747" t="s">
        <v>7083</v>
      </c>
    </row>
    <row r="748" spans="1:4" x14ac:dyDescent="0.25">
      <c r="A748" t="s">
        <v>7084</v>
      </c>
      <c r="B748">
        <v>1</v>
      </c>
      <c r="C748" t="s">
        <v>5592</v>
      </c>
      <c r="D748" t="s">
        <v>7085</v>
      </c>
    </row>
    <row r="749" spans="1:4" x14ac:dyDescent="0.25">
      <c r="A749" t="s">
        <v>7086</v>
      </c>
      <c r="B749">
        <v>1</v>
      </c>
      <c r="C749" t="s">
        <v>5592</v>
      </c>
      <c r="D749" t="s">
        <v>7087</v>
      </c>
    </row>
    <row r="750" spans="1:4" x14ac:dyDescent="0.25">
      <c r="A750" t="s">
        <v>7088</v>
      </c>
      <c r="B750">
        <v>1</v>
      </c>
      <c r="C750" t="s">
        <v>5592</v>
      </c>
      <c r="D750" t="s">
        <v>7089</v>
      </c>
    </row>
    <row r="751" spans="1:4" x14ac:dyDescent="0.25">
      <c r="A751" t="s">
        <v>7090</v>
      </c>
      <c r="B751">
        <v>1</v>
      </c>
      <c r="C751" t="s">
        <v>5592</v>
      </c>
      <c r="D751" t="s">
        <v>7091</v>
      </c>
    </row>
    <row r="752" spans="1:4" x14ac:dyDescent="0.25">
      <c r="A752" t="s">
        <v>7092</v>
      </c>
      <c r="B752">
        <v>1</v>
      </c>
      <c r="C752" t="s">
        <v>5592</v>
      </c>
      <c r="D752" t="s">
        <v>7093</v>
      </c>
    </row>
    <row r="753" spans="1:4" x14ac:dyDescent="0.25">
      <c r="A753" t="s">
        <v>7094</v>
      </c>
      <c r="B753">
        <v>1</v>
      </c>
      <c r="C753" t="s">
        <v>5592</v>
      </c>
      <c r="D753" t="s">
        <v>7095</v>
      </c>
    </row>
    <row r="754" spans="1:4" x14ac:dyDescent="0.25">
      <c r="A754" t="s">
        <v>7096</v>
      </c>
      <c r="B754">
        <v>1</v>
      </c>
      <c r="C754" t="s">
        <v>5592</v>
      </c>
      <c r="D754" t="s">
        <v>7097</v>
      </c>
    </row>
    <row r="755" spans="1:4" x14ac:dyDescent="0.25">
      <c r="A755" t="s">
        <v>7098</v>
      </c>
      <c r="B755">
        <v>1</v>
      </c>
      <c r="C755" t="s">
        <v>5592</v>
      </c>
      <c r="D755" t="s">
        <v>7099</v>
      </c>
    </row>
    <row r="756" spans="1:4" x14ac:dyDescent="0.25">
      <c r="A756" t="s">
        <v>7100</v>
      </c>
      <c r="B756">
        <v>1</v>
      </c>
      <c r="C756" t="s">
        <v>5592</v>
      </c>
      <c r="D756" t="s">
        <v>7101</v>
      </c>
    </row>
    <row r="757" spans="1:4" x14ac:dyDescent="0.25">
      <c r="A757" t="s">
        <v>7102</v>
      </c>
      <c r="B757">
        <v>1</v>
      </c>
      <c r="C757" t="s">
        <v>5592</v>
      </c>
      <c r="D757" t="s">
        <v>7103</v>
      </c>
    </row>
    <row r="758" spans="1:4" x14ac:dyDescent="0.25">
      <c r="A758" t="s">
        <v>7104</v>
      </c>
      <c r="B758">
        <v>1</v>
      </c>
      <c r="C758" t="s">
        <v>5592</v>
      </c>
      <c r="D758" t="s">
        <v>7105</v>
      </c>
    </row>
    <row r="759" spans="1:4" x14ac:dyDescent="0.25">
      <c r="A759" t="s">
        <v>7106</v>
      </c>
      <c r="B759">
        <v>1</v>
      </c>
      <c r="C759" t="s">
        <v>5592</v>
      </c>
      <c r="D759" t="s">
        <v>7107</v>
      </c>
    </row>
    <row r="760" spans="1:4" x14ac:dyDescent="0.25">
      <c r="A760" t="s">
        <v>7108</v>
      </c>
      <c r="B760">
        <v>1</v>
      </c>
      <c r="C760" t="s">
        <v>5592</v>
      </c>
      <c r="D760" t="s">
        <v>7109</v>
      </c>
    </row>
    <row r="761" spans="1:4" x14ac:dyDescent="0.25">
      <c r="A761" t="s">
        <v>7110</v>
      </c>
      <c r="B761">
        <v>1</v>
      </c>
      <c r="C761" t="s">
        <v>5592</v>
      </c>
      <c r="D761" t="s">
        <v>7111</v>
      </c>
    </row>
    <row r="762" spans="1:4" x14ac:dyDescent="0.25">
      <c r="A762" t="s">
        <v>7112</v>
      </c>
      <c r="B762">
        <v>1</v>
      </c>
      <c r="C762" t="s">
        <v>5592</v>
      </c>
      <c r="D762" t="s">
        <v>7113</v>
      </c>
    </row>
    <row r="763" spans="1:4" x14ac:dyDescent="0.25">
      <c r="A763" t="s">
        <v>7114</v>
      </c>
      <c r="B763">
        <v>1</v>
      </c>
      <c r="C763" t="s">
        <v>5592</v>
      </c>
      <c r="D763" t="s">
        <v>7115</v>
      </c>
    </row>
    <row r="764" spans="1:4" x14ac:dyDescent="0.25">
      <c r="A764" t="s">
        <v>7116</v>
      </c>
      <c r="B764">
        <v>1</v>
      </c>
      <c r="C764" t="s">
        <v>5592</v>
      </c>
      <c r="D764" t="s">
        <v>7117</v>
      </c>
    </row>
    <row r="765" spans="1:4" x14ac:dyDescent="0.25">
      <c r="A765" t="s">
        <v>7118</v>
      </c>
      <c r="B765">
        <v>1</v>
      </c>
      <c r="C765" t="s">
        <v>5592</v>
      </c>
      <c r="D765" t="s">
        <v>7119</v>
      </c>
    </row>
    <row r="766" spans="1:4" x14ac:dyDescent="0.25">
      <c r="A766" t="s">
        <v>7120</v>
      </c>
      <c r="B766">
        <v>1</v>
      </c>
      <c r="C766" t="s">
        <v>5592</v>
      </c>
      <c r="D766" t="s">
        <v>7121</v>
      </c>
    </row>
    <row r="767" spans="1:4" x14ac:dyDescent="0.25">
      <c r="A767" t="s">
        <v>7122</v>
      </c>
      <c r="B767">
        <v>1</v>
      </c>
      <c r="C767" t="s">
        <v>5592</v>
      </c>
      <c r="D767" t="s">
        <v>7123</v>
      </c>
    </row>
    <row r="768" spans="1:4" x14ac:dyDescent="0.25">
      <c r="A768" t="s">
        <v>7124</v>
      </c>
      <c r="B768">
        <v>1</v>
      </c>
      <c r="C768" t="s">
        <v>5592</v>
      </c>
      <c r="D768" t="s">
        <v>7125</v>
      </c>
    </row>
    <row r="769" spans="1:4" x14ac:dyDescent="0.25">
      <c r="A769" t="s">
        <v>7126</v>
      </c>
      <c r="B769">
        <v>1</v>
      </c>
      <c r="C769" t="s">
        <v>5592</v>
      </c>
      <c r="D769" t="s">
        <v>7127</v>
      </c>
    </row>
    <row r="770" spans="1:4" x14ac:dyDescent="0.25">
      <c r="A770" t="s">
        <v>7128</v>
      </c>
      <c r="B770">
        <v>1</v>
      </c>
      <c r="C770" t="s">
        <v>5592</v>
      </c>
      <c r="D770" t="s">
        <v>7129</v>
      </c>
    </row>
    <row r="771" spans="1:4" x14ac:dyDescent="0.25">
      <c r="A771" t="s">
        <v>7130</v>
      </c>
      <c r="B771">
        <v>1</v>
      </c>
      <c r="C771" t="s">
        <v>5592</v>
      </c>
      <c r="D771" t="s">
        <v>7131</v>
      </c>
    </row>
    <row r="772" spans="1:4" x14ac:dyDescent="0.25">
      <c r="A772" t="s">
        <v>7132</v>
      </c>
      <c r="B772">
        <v>1</v>
      </c>
      <c r="C772" t="s">
        <v>5592</v>
      </c>
      <c r="D772" t="s">
        <v>7133</v>
      </c>
    </row>
    <row r="773" spans="1:4" x14ac:dyDescent="0.25">
      <c r="A773" t="s">
        <v>7134</v>
      </c>
      <c r="B773">
        <v>1</v>
      </c>
      <c r="C773" t="s">
        <v>5592</v>
      </c>
      <c r="D773" t="s">
        <v>7135</v>
      </c>
    </row>
    <row r="774" spans="1:4" x14ac:dyDescent="0.25">
      <c r="A774" t="s">
        <v>7136</v>
      </c>
      <c r="B774">
        <v>1</v>
      </c>
      <c r="C774" t="s">
        <v>5592</v>
      </c>
      <c r="D774" t="s">
        <v>7137</v>
      </c>
    </row>
    <row r="775" spans="1:4" x14ac:dyDescent="0.25">
      <c r="A775" t="s">
        <v>7138</v>
      </c>
      <c r="B775">
        <v>1</v>
      </c>
      <c r="C775" t="s">
        <v>5592</v>
      </c>
      <c r="D775" t="s">
        <v>7139</v>
      </c>
    </row>
    <row r="776" spans="1:4" x14ac:dyDescent="0.25">
      <c r="A776" s="1" t="s">
        <v>7140</v>
      </c>
      <c r="B776">
        <v>1</v>
      </c>
      <c r="C776" t="s">
        <v>5592</v>
      </c>
      <c r="D776" t="s">
        <v>7141</v>
      </c>
    </row>
    <row r="777" spans="1:4" x14ac:dyDescent="0.25">
      <c r="A777" t="s">
        <v>7142</v>
      </c>
      <c r="B777">
        <v>1</v>
      </c>
      <c r="C777" t="s">
        <v>5592</v>
      </c>
      <c r="D777" t="s">
        <v>7143</v>
      </c>
    </row>
    <row r="778" spans="1:4" x14ac:dyDescent="0.25">
      <c r="A778" t="s">
        <v>7144</v>
      </c>
      <c r="B778">
        <v>1</v>
      </c>
      <c r="C778" t="s">
        <v>5592</v>
      </c>
      <c r="D778" t="s">
        <v>7145</v>
      </c>
    </row>
    <row r="779" spans="1:4" x14ac:dyDescent="0.25">
      <c r="A779" t="s">
        <v>7158</v>
      </c>
      <c r="B779">
        <v>1</v>
      </c>
      <c r="C779" t="s">
        <v>5592</v>
      </c>
      <c r="D779" t="s">
        <v>7159</v>
      </c>
    </row>
    <row r="780" spans="1:4" x14ac:dyDescent="0.25">
      <c r="A780" t="s">
        <v>7161</v>
      </c>
      <c r="B780">
        <v>1</v>
      </c>
      <c r="C780" t="s">
        <v>5592</v>
      </c>
      <c r="D780" t="s">
        <v>7162</v>
      </c>
    </row>
    <row r="781" spans="1:4" x14ac:dyDescent="0.25">
      <c r="A781" t="s">
        <v>7165</v>
      </c>
      <c r="B781">
        <v>1</v>
      </c>
      <c r="C781" t="s">
        <v>5592</v>
      </c>
      <c r="D781" t="s">
        <v>7166</v>
      </c>
    </row>
    <row r="782" spans="1:4" x14ac:dyDescent="0.25">
      <c r="A782" t="s">
        <v>7171</v>
      </c>
      <c r="B782">
        <v>1</v>
      </c>
      <c r="C782" t="s">
        <v>5592</v>
      </c>
      <c r="D782" t="s">
        <v>7172</v>
      </c>
    </row>
    <row r="783" spans="1:4" x14ac:dyDescent="0.25">
      <c r="A783" t="s">
        <v>7177</v>
      </c>
      <c r="B783">
        <v>1</v>
      </c>
      <c r="C783" t="s">
        <v>5592</v>
      </c>
      <c r="D783" t="s">
        <v>7178</v>
      </c>
    </row>
    <row r="784" spans="1:4" x14ac:dyDescent="0.25">
      <c r="A784" t="s">
        <v>7183</v>
      </c>
      <c r="B784">
        <v>1</v>
      </c>
      <c r="C784" t="s">
        <v>5592</v>
      </c>
      <c r="D784" t="s">
        <v>7184</v>
      </c>
    </row>
    <row r="785" spans="1:4" x14ac:dyDescent="0.25">
      <c r="A785" t="s">
        <v>7187</v>
      </c>
      <c r="B785">
        <v>1</v>
      </c>
      <c r="C785" t="s">
        <v>5592</v>
      </c>
      <c r="D785" t="s">
        <v>7188</v>
      </c>
    </row>
    <row r="786" spans="1:4" x14ac:dyDescent="0.25">
      <c r="A786" t="s">
        <v>7194</v>
      </c>
      <c r="B786">
        <v>1</v>
      </c>
      <c r="C786" t="s">
        <v>5592</v>
      </c>
      <c r="D786" t="s">
        <v>7195</v>
      </c>
    </row>
    <row r="787" spans="1:4" x14ac:dyDescent="0.25">
      <c r="A787" t="s">
        <v>7197</v>
      </c>
      <c r="B787">
        <v>1</v>
      </c>
      <c r="C787" t="s">
        <v>5592</v>
      </c>
      <c r="D787" t="s">
        <v>7198</v>
      </c>
    </row>
    <row r="788" spans="1:4" x14ac:dyDescent="0.25">
      <c r="A788" t="s">
        <v>7199</v>
      </c>
      <c r="B788">
        <v>1</v>
      </c>
      <c r="C788" t="s">
        <v>5592</v>
      </c>
      <c r="D788" t="s">
        <v>7200</v>
      </c>
    </row>
    <row r="789" spans="1:4" x14ac:dyDescent="0.25">
      <c r="A789" t="s">
        <v>7203</v>
      </c>
      <c r="B789">
        <v>1</v>
      </c>
      <c r="C789" t="s">
        <v>5592</v>
      </c>
      <c r="D789" t="s">
        <v>7204</v>
      </c>
    </row>
    <row r="790" spans="1:4" x14ac:dyDescent="0.25">
      <c r="A790" t="s">
        <v>7206</v>
      </c>
      <c r="B790">
        <v>1</v>
      </c>
      <c r="C790" t="s">
        <v>5592</v>
      </c>
      <c r="D790" t="s">
        <v>7207</v>
      </c>
    </row>
    <row r="791" spans="1:4" x14ac:dyDescent="0.25">
      <c r="A791" t="s">
        <v>7209</v>
      </c>
      <c r="B791">
        <v>1</v>
      </c>
      <c r="C791" t="s">
        <v>5592</v>
      </c>
      <c r="D791" t="s">
        <v>7210</v>
      </c>
    </row>
    <row r="792" spans="1:4" x14ac:dyDescent="0.25">
      <c r="A792" t="s">
        <v>7214</v>
      </c>
      <c r="B792">
        <v>1</v>
      </c>
      <c r="C792" t="s">
        <v>5592</v>
      </c>
      <c r="D792" t="s">
        <v>7215</v>
      </c>
    </row>
    <row r="793" spans="1:4" x14ac:dyDescent="0.25">
      <c r="A793" t="s">
        <v>7219</v>
      </c>
      <c r="B793">
        <v>1</v>
      </c>
      <c r="C793" t="s">
        <v>5592</v>
      </c>
      <c r="D793" t="s">
        <v>7220</v>
      </c>
    </row>
    <row r="794" spans="1:4" x14ac:dyDescent="0.25">
      <c r="A794" t="s">
        <v>7224</v>
      </c>
      <c r="B794">
        <v>1</v>
      </c>
      <c r="C794" t="s">
        <v>5592</v>
      </c>
      <c r="D794" t="s">
        <v>7225</v>
      </c>
    </row>
    <row r="795" spans="1:4" x14ac:dyDescent="0.25">
      <c r="A795" t="s">
        <v>7229</v>
      </c>
      <c r="B795">
        <v>1</v>
      </c>
      <c r="C795" t="s">
        <v>5592</v>
      </c>
      <c r="D795" t="s">
        <v>7230</v>
      </c>
    </row>
    <row r="796" spans="1:4" x14ac:dyDescent="0.25">
      <c r="A796" t="s">
        <v>7234</v>
      </c>
      <c r="B796">
        <v>1</v>
      </c>
      <c r="C796" t="s">
        <v>5592</v>
      </c>
      <c r="D796" t="s">
        <v>7235</v>
      </c>
    </row>
    <row r="797" spans="1:4" x14ac:dyDescent="0.25">
      <c r="A797" t="s">
        <v>7239</v>
      </c>
      <c r="B797">
        <v>1</v>
      </c>
      <c r="C797" t="s">
        <v>5592</v>
      </c>
      <c r="D797" t="s">
        <v>7240</v>
      </c>
    </row>
  </sheetData>
  <sheetProtection algorithmName="SHA-512" hashValue="5xUxxRLp8bLw+tjhUkccd57aRiPhqgKCCLtptuyh4nRm4uCEa8LYgi/ncrgJjT+r4Y8PPUSkr1VArkLZi0i/ag==" saltValue="00IgGsyfpXGkFkwGn1jhm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1"/>
  <sheetViews>
    <sheetView tabSelected="1" zoomScale="70" zoomScaleNormal="70" workbookViewId="0">
      <pane ySplit="1" topLeftCell="A2" activePane="bottomLeft" state="frozen"/>
      <selection pane="bottomLeft" activeCell="F2" sqref="F2"/>
    </sheetView>
  </sheetViews>
  <sheetFormatPr defaultColWidth="45.5703125" defaultRowHeight="143.25" customHeight="1" x14ac:dyDescent="0.25"/>
  <cols>
    <col min="1" max="1" width="45.5703125" style="2" customWidth="1"/>
    <col min="2" max="3" width="45.5703125" style="3"/>
    <col min="4" max="4" width="13.5703125" style="2" bestFit="1" customWidth="1"/>
    <col min="5" max="5" width="15.140625" style="2" bestFit="1" customWidth="1"/>
    <col min="6" max="6" width="45.5703125" style="3"/>
    <col min="7" max="7" width="25.140625" style="4" bestFit="1" customWidth="1"/>
    <col min="8" max="8" width="19.7109375" style="8" customWidth="1"/>
    <col min="9" max="9" width="13.7109375" style="2" bestFit="1" customWidth="1"/>
    <col min="10" max="10" width="13.7109375" style="2" customWidth="1"/>
    <col min="11" max="11" width="13.42578125" style="2" bestFit="1" customWidth="1"/>
    <col min="12" max="12" width="16.140625" style="2" bestFit="1" customWidth="1"/>
    <col min="13" max="13" width="23.28515625" style="2" bestFit="1" customWidth="1"/>
    <col min="14" max="14" width="0" style="3" hidden="1" customWidth="1"/>
    <col min="15" max="15" width="77.28515625" style="3" hidden="1" customWidth="1"/>
    <col min="16" max="16" width="108" style="3" hidden="1" customWidth="1"/>
    <col min="17" max="17" width="17.28515625" style="2" bestFit="1" customWidth="1"/>
    <col min="18" max="16384" width="45.5703125" style="2"/>
  </cols>
  <sheetData>
    <row r="1" spans="1:17" ht="26.25" customHeight="1" x14ac:dyDescent="0.25">
      <c r="A1" s="2" t="s">
        <v>0</v>
      </c>
      <c r="B1" s="3" t="s">
        <v>1</v>
      </c>
      <c r="C1" s="3" t="s">
        <v>2</v>
      </c>
      <c r="D1" s="2" t="s">
        <v>5</v>
      </c>
      <c r="E1" s="2" t="s">
        <v>9</v>
      </c>
      <c r="F1" s="3" t="s">
        <v>3</v>
      </c>
      <c r="G1" s="4" t="s">
        <v>8</v>
      </c>
      <c r="H1" s="8" t="s">
        <v>4</v>
      </c>
      <c r="I1" s="2" t="s">
        <v>10</v>
      </c>
      <c r="J1" s="2" t="s">
        <v>15</v>
      </c>
      <c r="K1" s="2" t="s">
        <v>6</v>
      </c>
      <c r="L1" s="2" t="s">
        <v>7</v>
      </c>
      <c r="M1" s="2" t="s">
        <v>11</v>
      </c>
      <c r="N1" s="3" t="s">
        <v>12</v>
      </c>
      <c r="O1" s="3" t="s">
        <v>13</v>
      </c>
      <c r="P1" s="3" t="s">
        <v>14</v>
      </c>
      <c r="Q1" s="2" t="s">
        <v>16</v>
      </c>
    </row>
    <row r="2" spans="1:17" ht="143.25" customHeight="1" x14ac:dyDescent="0.25">
      <c r="A2" s="5" t="str">
        <f>_xll.JChemExcel.Functions.JCSYSStructure("50A647B589F94DEB7D0CBA1EAE819980")</f>
        <v/>
      </c>
      <c r="B2" s="3" t="s">
        <v>17</v>
      </c>
      <c r="C2" s="3" t="s">
        <v>18</v>
      </c>
      <c r="D2" s="2" t="s">
        <v>19</v>
      </c>
      <c r="E2" s="2" t="s">
        <v>7248</v>
      </c>
      <c r="F2" s="3" t="s">
        <v>7909</v>
      </c>
      <c r="G2" s="2" t="s">
        <v>21</v>
      </c>
      <c r="H2" s="8">
        <v>461.4</v>
      </c>
      <c r="I2" s="2" t="s">
        <v>22</v>
      </c>
      <c r="J2" s="2" t="s">
        <v>26</v>
      </c>
      <c r="K2" s="2">
        <v>1</v>
      </c>
      <c r="L2" s="2" t="s">
        <v>20</v>
      </c>
      <c r="M2" s="2">
        <v>1970</v>
      </c>
      <c r="N2" s="3" t="s">
        <v>23</v>
      </c>
      <c r="O2" s="3" t="s">
        <v>24</v>
      </c>
      <c r="P2" s="3" t="s">
        <v>25</v>
      </c>
      <c r="Q2" s="2">
        <v>2843</v>
      </c>
    </row>
    <row r="3" spans="1:17" ht="143.25" customHeight="1" x14ac:dyDescent="0.25">
      <c r="A3" s="5" t="str">
        <f>_xll.JChemExcel.Functions.JCSYSStructure("C725614FF6722BF574DB2EE705636395")</f>
        <v/>
      </c>
      <c r="B3" s="3" t="s">
        <v>27</v>
      </c>
      <c r="C3" s="3" t="s">
        <v>28</v>
      </c>
      <c r="D3" s="2" t="s">
        <v>30</v>
      </c>
      <c r="E3" s="2" t="s">
        <v>7249</v>
      </c>
      <c r="F3" s="3" t="s">
        <v>29</v>
      </c>
      <c r="G3" s="2" t="s">
        <v>31</v>
      </c>
      <c r="H3" s="8">
        <v>238.2</v>
      </c>
      <c r="I3" s="2" t="s">
        <v>22</v>
      </c>
      <c r="J3" s="2" t="s">
        <v>26</v>
      </c>
      <c r="K3" s="2">
        <v>1</v>
      </c>
      <c r="L3" s="2" t="s">
        <v>20</v>
      </c>
      <c r="M3" s="2">
        <v>1993</v>
      </c>
      <c r="N3" s="3" t="s">
        <v>32</v>
      </c>
      <c r="O3" s="3" t="s">
        <v>33</v>
      </c>
      <c r="P3" s="3" t="s">
        <v>34</v>
      </c>
      <c r="Q3" s="2">
        <v>2843</v>
      </c>
    </row>
    <row r="4" spans="1:17" ht="143.25" customHeight="1" x14ac:dyDescent="0.25">
      <c r="A4" s="5" t="str">
        <f>_xll.JChemExcel.Functions.JCSYSStructure("6E62AAF8F47774F3EA5C8C2538F04D19")</f>
        <v/>
      </c>
      <c r="B4" s="3" t="s">
        <v>35</v>
      </c>
      <c r="C4" s="3" t="s">
        <v>36</v>
      </c>
      <c r="D4" s="2" t="s">
        <v>37</v>
      </c>
      <c r="E4" s="2" t="s">
        <v>7250</v>
      </c>
      <c r="F4" s="3" t="s">
        <v>7910</v>
      </c>
      <c r="G4" s="2" t="s">
        <v>38</v>
      </c>
      <c r="H4" s="8">
        <v>1202.5999999999999</v>
      </c>
      <c r="I4" s="2" t="s">
        <v>22</v>
      </c>
      <c r="J4" s="2" t="s">
        <v>26</v>
      </c>
      <c r="K4" s="2">
        <v>1</v>
      </c>
      <c r="L4" s="2" t="s">
        <v>20</v>
      </c>
      <c r="M4" s="2">
        <v>1983</v>
      </c>
      <c r="N4" s="3" t="s">
        <v>39</v>
      </c>
      <c r="O4" s="3" t="s">
        <v>40</v>
      </c>
      <c r="P4" s="3" t="s">
        <v>41</v>
      </c>
      <c r="Q4" s="2">
        <v>2843</v>
      </c>
    </row>
    <row r="5" spans="1:17" ht="143.25" customHeight="1" x14ac:dyDescent="0.25">
      <c r="A5" s="5" t="str">
        <f>_xll.JChemExcel.Functions.JCSYSStructure("1881FB5868197832BD9C1D941D42D886")</f>
        <v/>
      </c>
      <c r="B5" s="3" t="s">
        <v>42</v>
      </c>
      <c r="C5" s="3" t="s">
        <v>43</v>
      </c>
      <c r="D5" s="2" t="s">
        <v>45</v>
      </c>
      <c r="E5" s="2" t="s">
        <v>7251</v>
      </c>
      <c r="F5" s="3" t="s">
        <v>44</v>
      </c>
      <c r="G5" s="2" t="s">
        <v>46</v>
      </c>
      <c r="H5" s="8">
        <v>416</v>
      </c>
      <c r="I5" s="2" t="s">
        <v>22</v>
      </c>
      <c r="J5" s="2" t="s">
        <v>26</v>
      </c>
      <c r="K5" s="2">
        <v>1</v>
      </c>
      <c r="L5" s="2" t="s">
        <v>20</v>
      </c>
      <c r="M5" s="2">
        <v>1996</v>
      </c>
      <c r="N5" s="3" t="s">
        <v>47</v>
      </c>
      <c r="O5" s="3" t="s">
        <v>48</v>
      </c>
      <c r="P5" s="3" t="s">
        <v>49</v>
      </c>
      <c r="Q5" s="2">
        <v>2843</v>
      </c>
    </row>
    <row r="6" spans="1:17" ht="143.25" customHeight="1" x14ac:dyDescent="0.25">
      <c r="A6" s="10" t="str">
        <f>_xll.JChemExcel.Functions.JCSYSStructure("7A97C7C57E373C5A792E44862DB5D2A8")</f>
        <v/>
      </c>
      <c r="B6" s="3" t="s">
        <v>7157</v>
      </c>
      <c r="C6" s="3" t="s">
        <v>7160</v>
      </c>
      <c r="D6" s="2" t="s">
        <v>50</v>
      </c>
      <c r="E6" s="2" t="s">
        <v>7252</v>
      </c>
      <c r="F6" s="3" t="s">
        <v>8042</v>
      </c>
      <c r="G6" s="2" t="s">
        <v>7911</v>
      </c>
      <c r="H6" s="8">
        <v>443</v>
      </c>
      <c r="I6" s="2" t="s">
        <v>22</v>
      </c>
      <c r="J6" s="2" t="s">
        <v>26</v>
      </c>
      <c r="K6" s="2">
        <v>1</v>
      </c>
      <c r="L6" s="2" t="s">
        <v>20</v>
      </c>
      <c r="M6" s="2">
        <v>1964</v>
      </c>
      <c r="N6" s="3" t="s">
        <v>51</v>
      </c>
      <c r="O6" s="3" t="s">
        <v>52</v>
      </c>
      <c r="P6" s="3" t="s">
        <v>53</v>
      </c>
      <c r="Q6" s="2">
        <v>2843</v>
      </c>
    </row>
    <row r="7" spans="1:17" ht="143.25" customHeight="1" x14ac:dyDescent="0.25">
      <c r="A7" s="5" t="str">
        <f>_xll.JChemExcel.Functions.JCSYSStructure("344192E7DDA32742F8D4712408D91A8F")</f>
        <v/>
      </c>
      <c r="B7" s="3" t="s">
        <v>54</v>
      </c>
      <c r="C7" s="3" t="s">
        <v>55</v>
      </c>
      <c r="D7" s="2" t="s">
        <v>57</v>
      </c>
      <c r="E7" s="2" t="s">
        <v>7253</v>
      </c>
      <c r="F7" s="3" t="s">
        <v>56</v>
      </c>
      <c r="G7" s="2" t="s">
        <v>58</v>
      </c>
      <c r="H7" s="8">
        <v>320.3</v>
      </c>
      <c r="I7" s="2" t="s">
        <v>22</v>
      </c>
      <c r="J7" s="2" t="s">
        <v>26</v>
      </c>
      <c r="K7" s="2">
        <v>1</v>
      </c>
      <c r="L7" s="2" t="s">
        <v>20</v>
      </c>
      <c r="M7" s="2">
        <v>2004</v>
      </c>
      <c r="N7" s="3" t="s">
        <v>59</v>
      </c>
      <c r="O7" s="3" t="s">
        <v>60</v>
      </c>
      <c r="P7" s="3" t="s">
        <v>61</v>
      </c>
      <c r="Q7" s="2">
        <v>2843</v>
      </c>
    </row>
    <row r="8" spans="1:17" ht="143.25" customHeight="1" x14ac:dyDescent="0.25">
      <c r="A8" s="5" t="str">
        <f>_xll.JChemExcel.Functions.JCSYSStructure("E4A7FA4F43EFBAA982430AA4C9F9543D")</f>
        <v/>
      </c>
      <c r="B8" s="3" t="s">
        <v>62</v>
      </c>
      <c r="C8" s="3" t="s">
        <v>63</v>
      </c>
      <c r="D8" s="2" t="s">
        <v>64</v>
      </c>
      <c r="E8" s="2" t="s">
        <v>7254</v>
      </c>
      <c r="F8" s="3" t="s">
        <v>7912</v>
      </c>
      <c r="G8" s="2" t="s">
        <v>65</v>
      </c>
      <c r="H8" s="8">
        <v>914.2</v>
      </c>
      <c r="I8" s="2" t="s">
        <v>22</v>
      </c>
      <c r="J8" s="2" t="s">
        <v>26</v>
      </c>
      <c r="K8" s="2">
        <v>1</v>
      </c>
      <c r="L8" s="2" t="s">
        <v>20</v>
      </c>
      <c r="M8" s="2">
        <v>1999</v>
      </c>
      <c r="N8" s="3" t="s">
        <v>66</v>
      </c>
      <c r="O8" s="3" t="s">
        <v>67</v>
      </c>
      <c r="P8" s="3" t="s">
        <v>68</v>
      </c>
      <c r="Q8" s="2">
        <v>2843</v>
      </c>
    </row>
    <row r="9" spans="1:17" ht="143.25" customHeight="1" x14ac:dyDescent="0.25">
      <c r="A9" s="5" t="str">
        <f>_xll.JChemExcel.Functions.JCSYSStructure("772741F3C1852EA8B13F0D0930BB3982")</f>
        <v/>
      </c>
      <c r="B9" s="3" t="s">
        <v>69</v>
      </c>
      <c r="C9" s="3" t="s">
        <v>70</v>
      </c>
      <c r="D9" s="2" t="s">
        <v>71</v>
      </c>
      <c r="E9" s="2" t="s">
        <v>7255</v>
      </c>
      <c r="F9" s="3" t="s">
        <v>7913</v>
      </c>
      <c r="G9" s="2" t="s">
        <v>72</v>
      </c>
      <c r="H9" s="8">
        <v>495.3</v>
      </c>
      <c r="I9" s="2" t="s">
        <v>22</v>
      </c>
      <c r="J9" s="2" t="s">
        <v>26</v>
      </c>
      <c r="K9" s="2">
        <v>1</v>
      </c>
      <c r="L9" s="2" t="s">
        <v>20</v>
      </c>
      <c r="M9" s="2">
        <v>1971</v>
      </c>
      <c r="N9" s="3" t="s">
        <v>73</v>
      </c>
      <c r="O9" s="3" t="s">
        <v>74</v>
      </c>
      <c r="P9" s="3" t="s">
        <v>53</v>
      </c>
      <c r="Q9" s="2">
        <v>2843</v>
      </c>
    </row>
    <row r="10" spans="1:17" ht="143.25" customHeight="1" x14ac:dyDescent="0.25">
      <c r="A10" s="5" t="str">
        <f>_xll.JChemExcel.Functions.JCSYSStructure("31BBB6AAB719696C80DFF9F584B8B860")</f>
        <v/>
      </c>
      <c r="B10" s="3" t="s">
        <v>75</v>
      </c>
      <c r="C10" s="3" t="s">
        <v>76</v>
      </c>
      <c r="D10" s="2" t="s">
        <v>77</v>
      </c>
      <c r="E10" s="2" t="s">
        <v>7256</v>
      </c>
      <c r="F10" s="3" t="s">
        <v>7914</v>
      </c>
      <c r="G10" s="2" t="s">
        <v>78</v>
      </c>
      <c r="H10" s="8">
        <v>681.8</v>
      </c>
      <c r="I10" s="2" t="s">
        <v>22</v>
      </c>
      <c r="J10" s="2" t="s">
        <v>26</v>
      </c>
      <c r="K10" s="2">
        <v>1</v>
      </c>
      <c r="L10" s="2" t="s">
        <v>20</v>
      </c>
      <c r="M10" s="2">
        <v>1985</v>
      </c>
      <c r="N10" s="3" t="s">
        <v>79</v>
      </c>
      <c r="O10" s="3" t="s">
        <v>80</v>
      </c>
      <c r="P10" s="3" t="s">
        <v>81</v>
      </c>
      <c r="Q10" s="2">
        <v>2843</v>
      </c>
    </row>
    <row r="11" spans="1:17" ht="143.25" customHeight="1" x14ac:dyDescent="0.25">
      <c r="A11" s="5" t="str">
        <f>_xll.JChemExcel.Functions.JCSYSStructure("B9228B639EBFCEC652B49BFD6FFBC1FB")</f>
        <v/>
      </c>
      <c r="B11" s="3" t="s">
        <v>82</v>
      </c>
      <c r="C11" s="3" t="s">
        <v>83</v>
      </c>
      <c r="D11" s="2" t="s">
        <v>84</v>
      </c>
      <c r="E11" s="2">
        <v>550273</v>
      </c>
      <c r="F11" s="3" t="s">
        <v>7915</v>
      </c>
      <c r="G11" s="2" t="s">
        <v>85</v>
      </c>
      <c r="H11" s="8">
        <v>516</v>
      </c>
      <c r="I11" s="2" t="s">
        <v>22</v>
      </c>
      <c r="J11" s="2" t="s">
        <v>26</v>
      </c>
      <c r="K11" s="2">
        <v>1</v>
      </c>
      <c r="L11" s="2" t="s">
        <v>20</v>
      </c>
      <c r="M11" s="2">
        <v>1988</v>
      </c>
      <c r="N11" s="3" t="s">
        <v>86</v>
      </c>
      <c r="O11" s="3" t="s">
        <v>87</v>
      </c>
      <c r="P11" s="3" t="s">
        <v>88</v>
      </c>
      <c r="Q11" s="2">
        <v>2843</v>
      </c>
    </row>
    <row r="12" spans="1:17" ht="143.25" customHeight="1" x14ac:dyDescent="0.25">
      <c r="A12" s="5" t="str">
        <f>_xll.JChemExcel.Functions.JCSYSStructure("13DEBCD6B38B2FDE626C28FDBA757529")</f>
        <v/>
      </c>
      <c r="B12" s="3" t="s">
        <v>89</v>
      </c>
      <c r="C12" s="3" t="s">
        <v>90</v>
      </c>
      <c r="D12" s="2" t="s">
        <v>92</v>
      </c>
      <c r="E12" s="2" t="s">
        <v>7257</v>
      </c>
      <c r="F12" s="3" t="s">
        <v>91</v>
      </c>
      <c r="G12" s="2" t="s">
        <v>93</v>
      </c>
      <c r="H12" s="8">
        <v>461.6</v>
      </c>
      <c r="I12" s="2" t="s">
        <v>22</v>
      </c>
      <c r="J12" s="2" t="s">
        <v>26</v>
      </c>
      <c r="K12" s="2">
        <v>1</v>
      </c>
      <c r="L12" s="2" t="s">
        <v>20</v>
      </c>
      <c r="M12" s="2">
        <v>1984</v>
      </c>
      <c r="N12" s="3" t="s">
        <v>94</v>
      </c>
      <c r="O12" s="3" t="s">
        <v>95</v>
      </c>
      <c r="P12" s="3" t="s">
        <v>96</v>
      </c>
      <c r="Q12" s="2">
        <v>2843</v>
      </c>
    </row>
    <row r="13" spans="1:17" ht="143.25" customHeight="1" x14ac:dyDescent="0.25">
      <c r="A13" s="5" t="str">
        <f>_xll.JChemExcel.Functions.JCSYSStructure("99DFC30B0DE903B179944B71249A67B2")</f>
        <v/>
      </c>
      <c r="B13" s="3" t="s">
        <v>97</v>
      </c>
      <c r="C13" s="3" t="s">
        <v>98</v>
      </c>
      <c r="D13" s="2" t="s">
        <v>99</v>
      </c>
      <c r="E13" s="2">
        <v>550253</v>
      </c>
      <c r="F13" s="3" t="s">
        <v>7916</v>
      </c>
      <c r="G13" s="2" t="s">
        <v>100</v>
      </c>
      <c r="H13" s="8">
        <v>513.5</v>
      </c>
      <c r="I13" s="2" t="s">
        <v>22</v>
      </c>
      <c r="J13" s="2" t="s">
        <v>26</v>
      </c>
      <c r="K13" s="2">
        <v>1</v>
      </c>
      <c r="L13" s="2" t="s">
        <v>20</v>
      </c>
      <c r="M13" s="2">
        <v>1976</v>
      </c>
      <c r="N13" s="3" t="s">
        <v>101</v>
      </c>
      <c r="O13" s="3" t="s">
        <v>102</v>
      </c>
      <c r="P13" s="3" t="s">
        <v>103</v>
      </c>
      <c r="Q13" s="2">
        <v>2843</v>
      </c>
    </row>
    <row r="14" spans="1:17" ht="143.25" customHeight="1" x14ac:dyDescent="0.25">
      <c r="A14" s="5" t="str">
        <f>_xll.JChemExcel.Functions.JCSYSStructure("11F805622E5D6F17297C3738B7237EC1")</f>
        <v/>
      </c>
      <c r="B14" s="3" t="s">
        <v>104</v>
      </c>
      <c r="C14" s="3" t="s">
        <v>105</v>
      </c>
      <c r="D14" s="2" t="s">
        <v>107</v>
      </c>
      <c r="E14" s="2">
        <v>550301</v>
      </c>
      <c r="F14" s="3" t="s">
        <v>106</v>
      </c>
      <c r="G14" s="2" t="s">
        <v>108</v>
      </c>
      <c r="H14" s="8">
        <v>270.3</v>
      </c>
      <c r="I14" s="2" t="s">
        <v>22</v>
      </c>
      <c r="J14" s="2" t="s">
        <v>26</v>
      </c>
      <c r="K14" s="2">
        <v>1</v>
      </c>
      <c r="L14" s="2" t="s">
        <v>20</v>
      </c>
      <c r="M14" s="2">
        <v>1961</v>
      </c>
      <c r="N14" s="3" t="s">
        <v>109</v>
      </c>
      <c r="O14" s="3" t="s">
        <v>110</v>
      </c>
      <c r="P14" s="3" t="s">
        <v>111</v>
      </c>
      <c r="Q14" s="2">
        <v>2843</v>
      </c>
    </row>
    <row r="15" spans="1:17" ht="143.25" customHeight="1" x14ac:dyDescent="0.25">
      <c r="A15" s="5" t="str">
        <f>_xll.JChemExcel.Functions.JCSYSStructure("FBBF5A6DEA809DF33C4335F0952EFBF7")</f>
        <v/>
      </c>
      <c r="B15" s="3" t="s">
        <v>112</v>
      </c>
      <c r="C15" s="3" t="s">
        <v>113</v>
      </c>
      <c r="D15" s="2" t="s">
        <v>115</v>
      </c>
      <c r="E15" s="2">
        <v>550271</v>
      </c>
      <c r="F15" s="3" t="s">
        <v>114</v>
      </c>
      <c r="G15" s="2" t="s">
        <v>116</v>
      </c>
      <c r="H15" s="8">
        <v>445.5</v>
      </c>
      <c r="I15" s="2" t="s">
        <v>22</v>
      </c>
      <c r="J15" s="2" t="s">
        <v>26</v>
      </c>
      <c r="K15" s="2">
        <v>1</v>
      </c>
      <c r="L15" s="2" t="s">
        <v>20</v>
      </c>
      <c r="M15" s="2">
        <v>1984</v>
      </c>
      <c r="N15" s="3" t="s">
        <v>117</v>
      </c>
      <c r="O15" s="3" t="s">
        <v>118</v>
      </c>
      <c r="P15" s="3" t="s">
        <v>119</v>
      </c>
      <c r="Q15" s="2">
        <v>2843</v>
      </c>
    </row>
    <row r="16" spans="1:17" ht="143.25" customHeight="1" x14ac:dyDescent="0.25">
      <c r="A16" s="5" t="str">
        <f>_xll.JChemExcel.Functions.JCSYSStructure("8A90E9ED2CB64448880F09257A9F785D")</f>
        <v/>
      </c>
      <c r="B16" s="3" t="s">
        <v>120</v>
      </c>
      <c r="C16" s="3" t="s">
        <v>121</v>
      </c>
      <c r="D16" s="2" t="s">
        <v>122</v>
      </c>
      <c r="E16" s="2" t="s">
        <v>7258</v>
      </c>
      <c r="F16" s="3" t="s">
        <v>7917</v>
      </c>
      <c r="G16" s="2" t="s">
        <v>123</v>
      </c>
      <c r="H16" s="8">
        <v>317.8</v>
      </c>
      <c r="I16" s="2" t="s">
        <v>22</v>
      </c>
      <c r="J16" s="2" t="s">
        <v>26</v>
      </c>
      <c r="K16" s="2">
        <v>1</v>
      </c>
      <c r="L16" s="2" t="s">
        <v>20</v>
      </c>
      <c r="M16" s="2" t="s">
        <v>124</v>
      </c>
      <c r="N16" s="3" t="s">
        <v>125</v>
      </c>
      <c r="O16" s="3" t="s">
        <v>126</v>
      </c>
      <c r="P16" s="3" t="s">
        <v>127</v>
      </c>
      <c r="Q16" s="2">
        <v>2843</v>
      </c>
    </row>
    <row r="17" spans="1:17" ht="143.25" customHeight="1" x14ac:dyDescent="0.25">
      <c r="A17" s="5" t="str">
        <f>_xll.JChemExcel.Functions.JCSYSStructure("112728ADAB9C592A2C205DADAAC23D0E")</f>
        <v/>
      </c>
      <c r="B17" s="3" t="s">
        <v>128</v>
      </c>
      <c r="C17" s="3" t="s">
        <v>129</v>
      </c>
      <c r="D17" s="2" t="s">
        <v>130</v>
      </c>
      <c r="E17" s="2" t="s">
        <v>7259</v>
      </c>
      <c r="F17" s="3" t="s">
        <v>7918</v>
      </c>
      <c r="G17" s="2" t="s">
        <v>131</v>
      </c>
      <c r="H17" s="8">
        <v>396.9</v>
      </c>
      <c r="I17" s="2" t="s">
        <v>22</v>
      </c>
      <c r="J17" s="2" t="s">
        <v>26</v>
      </c>
      <c r="K17" s="2">
        <v>1</v>
      </c>
      <c r="L17" s="2" t="s">
        <v>20</v>
      </c>
      <c r="M17" s="2" t="s">
        <v>124</v>
      </c>
      <c r="N17" s="3" t="s">
        <v>132</v>
      </c>
      <c r="O17" s="3" t="s">
        <v>133</v>
      </c>
      <c r="P17" s="3" t="s">
        <v>134</v>
      </c>
      <c r="Q17" s="2">
        <v>2843</v>
      </c>
    </row>
    <row r="18" spans="1:17" ht="143.25" customHeight="1" x14ac:dyDescent="0.25">
      <c r="A18" s="5" t="str">
        <f>_xll.JChemExcel.Functions.JCSYSStructure("C456089F88675BE847D8C77AE3300224")</f>
        <v/>
      </c>
      <c r="B18" s="3" t="s">
        <v>135</v>
      </c>
      <c r="C18" s="3" t="s">
        <v>136</v>
      </c>
      <c r="D18" s="2" t="s">
        <v>137</v>
      </c>
      <c r="E18" s="2" t="s">
        <v>7260</v>
      </c>
      <c r="F18" s="3" t="s">
        <v>7919</v>
      </c>
      <c r="G18" s="2" t="s">
        <v>138</v>
      </c>
      <c r="H18" s="8">
        <v>377.9</v>
      </c>
      <c r="I18" s="2" t="s">
        <v>22</v>
      </c>
      <c r="J18" s="2" t="s">
        <v>26</v>
      </c>
      <c r="K18" s="2">
        <v>1</v>
      </c>
      <c r="L18" s="2" t="s">
        <v>20</v>
      </c>
      <c r="M18" s="2">
        <v>1989</v>
      </c>
      <c r="N18" s="3" t="s">
        <v>79</v>
      </c>
      <c r="O18" s="3" t="s">
        <v>139</v>
      </c>
      <c r="P18" s="3" t="s">
        <v>53</v>
      </c>
      <c r="Q18" s="2">
        <v>2843</v>
      </c>
    </row>
    <row r="19" spans="1:17" ht="143.25" customHeight="1" x14ac:dyDescent="0.25">
      <c r="A19" s="5" t="str">
        <f>_xll.JChemExcel.Functions.JCSYSStructure("98B2394B02A6BF6CFB0B7F1FC9C0F61B")</f>
        <v/>
      </c>
      <c r="B19" s="3" t="s">
        <v>140</v>
      </c>
      <c r="C19" s="3" t="s">
        <v>141</v>
      </c>
      <c r="D19" s="2" t="s">
        <v>143</v>
      </c>
      <c r="E19" s="2" t="s">
        <v>7261</v>
      </c>
      <c r="F19" s="3" t="s">
        <v>142</v>
      </c>
      <c r="G19" s="2" t="s">
        <v>144</v>
      </c>
      <c r="H19" s="8">
        <v>252.3</v>
      </c>
      <c r="I19" s="2" t="s">
        <v>22</v>
      </c>
      <c r="J19" s="2" t="s">
        <v>26</v>
      </c>
      <c r="K19" s="2">
        <v>1</v>
      </c>
      <c r="L19" s="2" t="s">
        <v>20</v>
      </c>
      <c r="M19" s="2">
        <v>1953</v>
      </c>
      <c r="N19" s="3" t="s">
        <v>145</v>
      </c>
      <c r="O19" s="3" t="s">
        <v>146</v>
      </c>
      <c r="P19" s="3" t="s">
        <v>147</v>
      </c>
      <c r="Q19" s="2">
        <v>2843</v>
      </c>
    </row>
    <row r="20" spans="1:17" ht="143.25" customHeight="1" x14ac:dyDescent="0.25">
      <c r="A20" s="5" t="str">
        <f>_xll.JChemExcel.Functions.JCSYSStructure("E0B472FBD7CF999D65F73AF12A5E78C6")</f>
        <v/>
      </c>
      <c r="B20" s="3" t="s">
        <v>148</v>
      </c>
      <c r="C20" s="3" t="s">
        <v>149</v>
      </c>
      <c r="D20" s="2" t="s">
        <v>150</v>
      </c>
      <c r="E20" s="2">
        <v>550287</v>
      </c>
      <c r="F20" s="3" t="s">
        <v>7920</v>
      </c>
      <c r="G20" s="2" t="s">
        <v>151</v>
      </c>
      <c r="H20" s="8">
        <v>271.8</v>
      </c>
      <c r="I20" s="2" t="s">
        <v>22</v>
      </c>
      <c r="J20" s="2" t="s">
        <v>26</v>
      </c>
      <c r="K20" s="2">
        <v>1</v>
      </c>
      <c r="L20" s="2" t="s">
        <v>20</v>
      </c>
      <c r="M20" s="2">
        <v>1950</v>
      </c>
      <c r="N20" s="3" t="s">
        <v>79</v>
      </c>
      <c r="O20" s="3" t="s">
        <v>152</v>
      </c>
      <c r="P20" s="3" t="s">
        <v>153</v>
      </c>
      <c r="Q20" s="2">
        <v>2843</v>
      </c>
    </row>
    <row r="21" spans="1:17" ht="143.25" customHeight="1" x14ac:dyDescent="0.25">
      <c r="A21" s="5" t="str">
        <f>_xll.JChemExcel.Functions.JCSYSStructure("2795C765616088692CDAAFFA7589DFBE")</f>
        <v/>
      </c>
      <c r="B21" s="3" t="s">
        <v>7176</v>
      </c>
      <c r="C21" s="3" t="s">
        <v>7175</v>
      </c>
      <c r="D21" s="2" t="s">
        <v>154</v>
      </c>
      <c r="E21" s="2">
        <v>550251</v>
      </c>
      <c r="F21" s="3" t="s">
        <v>7921</v>
      </c>
      <c r="G21" s="2" t="s">
        <v>7179</v>
      </c>
      <c r="H21" s="8">
        <v>288.8</v>
      </c>
      <c r="I21" s="2" t="s">
        <v>22</v>
      </c>
      <c r="J21" s="2" t="s">
        <v>26</v>
      </c>
      <c r="K21" s="2">
        <v>1</v>
      </c>
      <c r="L21" s="2" t="s">
        <v>20</v>
      </c>
      <c r="M21" s="2">
        <v>1948</v>
      </c>
      <c r="N21" s="3" t="s">
        <v>155</v>
      </c>
      <c r="O21" s="3" t="s">
        <v>156</v>
      </c>
      <c r="P21" s="3" t="s">
        <v>53</v>
      </c>
      <c r="Q21" s="2">
        <v>2843</v>
      </c>
    </row>
    <row r="22" spans="1:17" ht="143.25" customHeight="1" x14ac:dyDescent="0.25">
      <c r="A22" s="5" t="str">
        <f>_xll.JChemExcel.Functions.JCSYSStructure("54BB31A44F655E707D9DA29FC325F053")</f>
        <v/>
      </c>
      <c r="B22" s="3" t="s">
        <v>157</v>
      </c>
      <c r="C22" s="3" t="s">
        <v>158</v>
      </c>
      <c r="D22" s="2" t="s">
        <v>160</v>
      </c>
      <c r="E22" s="2" t="s">
        <v>7262</v>
      </c>
      <c r="F22" s="3" t="s">
        <v>159</v>
      </c>
      <c r="G22" s="2" t="s">
        <v>161</v>
      </c>
      <c r="H22" s="8">
        <v>474.4</v>
      </c>
      <c r="I22" s="2" t="s">
        <v>22</v>
      </c>
      <c r="J22" s="2" t="s">
        <v>26</v>
      </c>
      <c r="K22" s="2">
        <v>1</v>
      </c>
      <c r="L22" s="2" t="s">
        <v>20</v>
      </c>
      <c r="M22" s="2">
        <v>1985</v>
      </c>
      <c r="N22" s="3" t="s">
        <v>79</v>
      </c>
      <c r="O22" s="3" t="s">
        <v>162</v>
      </c>
      <c r="P22" s="3" t="s">
        <v>163</v>
      </c>
      <c r="Q22" s="2">
        <v>2843</v>
      </c>
    </row>
    <row r="23" spans="1:17" ht="143.25" customHeight="1" x14ac:dyDescent="0.25">
      <c r="A23" s="5" t="str">
        <f>_xll.JChemExcel.Functions.JCSYSStructure("DE4A9C5015F41C10B063CBC28A85FF1E")</f>
        <v/>
      </c>
      <c r="B23" s="3" t="s">
        <v>164</v>
      </c>
      <c r="C23" s="3" t="s">
        <v>165</v>
      </c>
      <c r="D23" s="2" t="s">
        <v>167</v>
      </c>
      <c r="E23" s="2">
        <v>350125</v>
      </c>
      <c r="F23" s="3" t="s">
        <v>166</v>
      </c>
      <c r="G23" s="2" t="s">
        <v>168</v>
      </c>
      <c r="H23" s="8">
        <v>357.4</v>
      </c>
      <c r="I23" s="2" t="s">
        <v>22</v>
      </c>
      <c r="J23" s="2" t="s">
        <v>26</v>
      </c>
      <c r="K23" s="2">
        <v>1</v>
      </c>
      <c r="L23" s="2" t="s">
        <v>20</v>
      </c>
      <c r="M23" s="2" t="s">
        <v>124</v>
      </c>
      <c r="N23" s="3" t="s">
        <v>169</v>
      </c>
      <c r="O23" s="3" t="s">
        <v>170</v>
      </c>
      <c r="P23" s="3" t="s">
        <v>53</v>
      </c>
      <c r="Q23" s="2">
        <v>2843</v>
      </c>
    </row>
    <row r="24" spans="1:17" ht="143.25" customHeight="1" x14ac:dyDescent="0.25">
      <c r="A24" s="5" t="str">
        <f>_xll.JChemExcel.Functions.JCSYSStructure("89D69AEBA7B418484FA3F046DB45C386")</f>
        <v/>
      </c>
      <c r="B24" s="3" t="s">
        <v>171</v>
      </c>
      <c r="C24" s="3" t="s">
        <v>172</v>
      </c>
      <c r="D24" s="2" t="s">
        <v>174</v>
      </c>
      <c r="E24" s="2" t="s">
        <v>7922</v>
      </c>
      <c r="F24" s="3" t="s">
        <v>173</v>
      </c>
      <c r="G24" s="2" t="s">
        <v>175</v>
      </c>
      <c r="H24" s="8">
        <v>187.7</v>
      </c>
      <c r="I24" s="2" t="s">
        <v>22</v>
      </c>
      <c r="J24" s="2" t="s">
        <v>26</v>
      </c>
      <c r="K24" s="2">
        <v>1</v>
      </c>
      <c r="L24" s="2" t="s">
        <v>20</v>
      </c>
      <c r="M24" s="2">
        <v>1986</v>
      </c>
      <c r="N24" s="3" t="s">
        <v>176</v>
      </c>
      <c r="O24" s="3" t="s">
        <v>177</v>
      </c>
      <c r="P24" s="3" t="s">
        <v>178</v>
      </c>
      <c r="Q24" s="2">
        <v>2843</v>
      </c>
    </row>
    <row r="25" spans="1:17" ht="143.25" customHeight="1" x14ac:dyDescent="0.25">
      <c r="A25" s="5" t="str">
        <f>_xll.JChemExcel.Functions.JCSYSStructure("80B69DE3F76C267FB0F62BBAD5324D66")</f>
        <v/>
      </c>
      <c r="B25" s="3" t="s">
        <v>179</v>
      </c>
      <c r="C25" s="3" t="s">
        <v>180</v>
      </c>
      <c r="D25" s="2" t="s">
        <v>181</v>
      </c>
      <c r="E25" s="2" t="s">
        <v>7263</v>
      </c>
      <c r="F25" s="3" t="s">
        <v>7923</v>
      </c>
      <c r="G25" s="2" t="s">
        <v>182</v>
      </c>
      <c r="H25" s="8">
        <v>419.9</v>
      </c>
      <c r="I25" s="2" t="s">
        <v>22</v>
      </c>
      <c r="J25" s="2" t="s">
        <v>26</v>
      </c>
      <c r="K25" s="2">
        <v>1</v>
      </c>
      <c r="L25" s="2" t="s">
        <v>20</v>
      </c>
      <c r="M25" s="2">
        <v>1976</v>
      </c>
      <c r="N25" s="3" t="s">
        <v>183</v>
      </c>
      <c r="O25" s="3" t="s">
        <v>184</v>
      </c>
      <c r="P25" s="3" t="s">
        <v>185</v>
      </c>
      <c r="Q25" s="2">
        <v>2843</v>
      </c>
    </row>
    <row r="26" spans="1:17" ht="143.25" customHeight="1" x14ac:dyDescent="0.25">
      <c r="A26" s="5" t="str">
        <f>_xll.JChemExcel.Functions.JCSYSStructure("515485941E3019C017845628006939C1")</f>
        <v/>
      </c>
      <c r="B26" s="3" t="s">
        <v>186</v>
      </c>
      <c r="C26" s="3" t="s">
        <v>187</v>
      </c>
      <c r="D26" s="2" t="s">
        <v>188</v>
      </c>
      <c r="E26" s="2">
        <v>550087</v>
      </c>
      <c r="F26" s="3" t="s">
        <v>7925</v>
      </c>
      <c r="G26" s="2" t="s">
        <v>189</v>
      </c>
      <c r="H26" s="8">
        <v>266.60000000000002</v>
      </c>
      <c r="I26" s="2" t="s">
        <v>22</v>
      </c>
      <c r="J26" s="2" t="s">
        <v>26</v>
      </c>
      <c r="K26" s="2">
        <v>1</v>
      </c>
      <c r="L26" s="2" t="s">
        <v>20</v>
      </c>
      <c r="M26" s="2" t="s">
        <v>124</v>
      </c>
      <c r="N26" s="3" t="s">
        <v>190</v>
      </c>
      <c r="O26" s="3" t="s">
        <v>191</v>
      </c>
      <c r="P26" s="3" t="s">
        <v>192</v>
      </c>
      <c r="Q26" s="2">
        <v>2843</v>
      </c>
    </row>
    <row r="27" spans="1:17" ht="143.25" customHeight="1" x14ac:dyDescent="0.25">
      <c r="A27" s="5" t="str">
        <f>_xll.JChemExcel.Functions.JCSYSStructure("87FE5F8F9A74486BBCB037AA3DE9CC56")</f>
        <v/>
      </c>
      <c r="B27" s="3" t="s">
        <v>7182</v>
      </c>
      <c r="C27" s="3" t="s">
        <v>7181</v>
      </c>
      <c r="D27" s="2" t="s">
        <v>193</v>
      </c>
      <c r="E27" s="2" t="s">
        <v>7264</v>
      </c>
      <c r="F27" s="3" t="s">
        <v>7180</v>
      </c>
      <c r="G27" s="2" t="s">
        <v>8043</v>
      </c>
      <c r="H27" s="8">
        <v>231.1</v>
      </c>
      <c r="I27" s="2" t="s">
        <v>22</v>
      </c>
      <c r="J27" s="2" t="s">
        <v>26</v>
      </c>
      <c r="K27" s="2">
        <v>1</v>
      </c>
      <c r="L27" s="2" t="s">
        <v>20</v>
      </c>
      <c r="M27" s="2">
        <v>1982</v>
      </c>
      <c r="N27" s="3" t="s">
        <v>183</v>
      </c>
      <c r="O27" s="3" t="s">
        <v>194</v>
      </c>
      <c r="P27" s="3" t="s">
        <v>53</v>
      </c>
      <c r="Q27" s="2">
        <v>2843</v>
      </c>
    </row>
    <row r="28" spans="1:17" ht="143.25" customHeight="1" x14ac:dyDescent="0.25">
      <c r="A28" s="5" t="str">
        <f>_xll.JChemExcel.Functions.JCSYSStructure("12259170DA39A51EF975DD114B853A1B")</f>
        <v/>
      </c>
      <c r="B28" s="3" t="s">
        <v>195</v>
      </c>
      <c r="C28" s="3" t="s">
        <v>196</v>
      </c>
      <c r="D28" s="2" t="s">
        <v>198</v>
      </c>
      <c r="E28" s="2" t="s">
        <v>7265</v>
      </c>
      <c r="F28" s="3" t="s">
        <v>197</v>
      </c>
      <c r="G28" s="2" t="s">
        <v>199</v>
      </c>
      <c r="H28" s="8">
        <v>679.8</v>
      </c>
      <c r="I28" s="2" t="s">
        <v>22</v>
      </c>
      <c r="J28" s="2" t="s">
        <v>26</v>
      </c>
      <c r="K28" s="2">
        <v>1</v>
      </c>
      <c r="L28" s="2" t="s">
        <v>20</v>
      </c>
      <c r="M28" s="2">
        <v>1946</v>
      </c>
      <c r="N28" s="3" t="s">
        <v>200</v>
      </c>
      <c r="O28" s="3" t="s">
        <v>201</v>
      </c>
      <c r="P28" s="3" t="s">
        <v>53</v>
      </c>
      <c r="Q28" s="2">
        <v>2843</v>
      </c>
    </row>
    <row r="29" spans="1:17" ht="143.25" customHeight="1" x14ac:dyDescent="0.25">
      <c r="A29" s="5" t="str">
        <f>_xll.JChemExcel.Functions.JCSYSStructure("5043C153E248C837E85F0480ED38B945")</f>
        <v/>
      </c>
      <c r="B29" s="3" t="s">
        <v>202</v>
      </c>
      <c r="C29" s="3" t="s">
        <v>203</v>
      </c>
      <c r="D29" s="2" t="s">
        <v>205</v>
      </c>
      <c r="E29" s="2" t="s">
        <v>7266</v>
      </c>
      <c r="F29" s="3" t="s">
        <v>204</v>
      </c>
      <c r="G29" s="2" t="s">
        <v>206</v>
      </c>
      <c r="H29" s="8">
        <v>247.2</v>
      </c>
      <c r="I29" s="2" t="s">
        <v>22</v>
      </c>
      <c r="J29" s="2" t="s">
        <v>26</v>
      </c>
      <c r="K29" s="2">
        <v>1</v>
      </c>
      <c r="L29" s="2" t="s">
        <v>20</v>
      </c>
      <c r="M29" s="2">
        <v>2003</v>
      </c>
      <c r="N29" s="3" t="s">
        <v>207</v>
      </c>
      <c r="O29" s="3" t="s">
        <v>208</v>
      </c>
      <c r="P29" s="3" t="s">
        <v>209</v>
      </c>
      <c r="Q29" s="2">
        <v>2843</v>
      </c>
    </row>
    <row r="30" spans="1:17" ht="143.25" customHeight="1" x14ac:dyDescent="0.25">
      <c r="A30" s="5" t="str">
        <f>_xll.JChemExcel.Functions.JCSYSStructure("08DCF368C6A08AA8ED46A2269C159505")</f>
        <v/>
      </c>
      <c r="B30" s="3" t="s">
        <v>210</v>
      </c>
      <c r="C30" s="3" t="s">
        <v>211</v>
      </c>
      <c r="D30" s="2" t="s">
        <v>212</v>
      </c>
      <c r="E30" s="2" t="s">
        <v>7267</v>
      </c>
      <c r="F30" s="3" t="s">
        <v>7924</v>
      </c>
      <c r="G30" s="2" t="s">
        <v>213</v>
      </c>
      <c r="H30" s="8">
        <v>343.9</v>
      </c>
      <c r="I30" s="2" t="s">
        <v>22</v>
      </c>
      <c r="J30" s="2" t="s">
        <v>26</v>
      </c>
      <c r="K30" s="2">
        <v>1</v>
      </c>
      <c r="L30" s="2" t="s">
        <v>20</v>
      </c>
      <c r="M30" s="2">
        <v>1985</v>
      </c>
      <c r="N30" s="3" t="s">
        <v>214</v>
      </c>
      <c r="O30" s="3" t="s">
        <v>215</v>
      </c>
      <c r="P30" s="3" t="s">
        <v>216</v>
      </c>
      <c r="Q30" s="2">
        <v>2843</v>
      </c>
    </row>
    <row r="31" spans="1:17" ht="143.25" customHeight="1" x14ac:dyDescent="0.25">
      <c r="A31" s="5" t="str">
        <f>_xll.JChemExcel.Functions.JCSYSStructure("27F00D75AA6771DE71851DCAC10284B3")</f>
        <v/>
      </c>
      <c r="B31" s="3" t="s">
        <v>217</v>
      </c>
      <c r="C31" s="3" t="s">
        <v>218</v>
      </c>
      <c r="D31" s="2" t="s">
        <v>220</v>
      </c>
      <c r="E31" s="2">
        <v>550322</v>
      </c>
      <c r="F31" s="3" t="s">
        <v>219</v>
      </c>
      <c r="G31" s="2" t="s">
        <v>221</v>
      </c>
      <c r="H31" s="8">
        <v>194.2</v>
      </c>
      <c r="I31" s="2" t="s">
        <v>22</v>
      </c>
      <c r="J31" s="2" t="s">
        <v>26</v>
      </c>
      <c r="K31" s="2">
        <v>1</v>
      </c>
      <c r="L31" s="2" t="s">
        <v>20</v>
      </c>
      <c r="M31" s="2">
        <v>1999</v>
      </c>
      <c r="N31" s="3" t="s">
        <v>222</v>
      </c>
      <c r="O31" s="3" t="s">
        <v>223</v>
      </c>
      <c r="P31" s="3" t="s">
        <v>224</v>
      </c>
      <c r="Q31" s="2">
        <v>2843</v>
      </c>
    </row>
    <row r="32" spans="1:17" ht="143.25" customHeight="1" x14ac:dyDescent="0.25">
      <c r="A32" s="5" t="str">
        <f>_xll.JChemExcel.Functions.JCSYSStructure("F39CE4C4EB0A4FD96E06AE9D1EF50F27")</f>
        <v/>
      </c>
      <c r="B32" s="3" t="s">
        <v>225</v>
      </c>
      <c r="C32" s="3" t="s">
        <v>226</v>
      </c>
      <c r="D32" s="2" t="s">
        <v>227</v>
      </c>
      <c r="E32" s="2" t="s">
        <v>7268</v>
      </c>
      <c r="F32" s="3" t="s">
        <v>7926</v>
      </c>
      <c r="G32" s="2" t="s">
        <v>228</v>
      </c>
      <c r="H32" s="8">
        <v>432.5</v>
      </c>
      <c r="I32" s="2" t="s">
        <v>22</v>
      </c>
      <c r="J32" s="2" t="s">
        <v>26</v>
      </c>
      <c r="K32" s="2">
        <v>1</v>
      </c>
      <c r="L32" s="2" t="s">
        <v>20</v>
      </c>
      <c r="M32" s="2">
        <v>1978</v>
      </c>
      <c r="N32" s="3" t="s">
        <v>229</v>
      </c>
      <c r="O32" s="3" t="s">
        <v>230</v>
      </c>
      <c r="P32" s="3" t="s">
        <v>231</v>
      </c>
      <c r="Q32" s="2">
        <v>2843</v>
      </c>
    </row>
    <row r="33" spans="1:17" ht="143.25" customHeight="1" x14ac:dyDescent="0.25">
      <c r="A33" s="5" t="str">
        <f>_xll.JChemExcel.Functions.JCSYSStructure("C5BCC8113D2FE0A6C884F957083741CA")</f>
        <v/>
      </c>
      <c r="B33" s="3" t="s">
        <v>232</v>
      </c>
      <c r="C33" s="3" t="s">
        <v>233</v>
      </c>
      <c r="D33" s="2" t="s">
        <v>235</v>
      </c>
      <c r="E33" s="2" t="s">
        <v>7269</v>
      </c>
      <c r="F33" s="3" t="s">
        <v>234</v>
      </c>
      <c r="G33" s="2" t="s">
        <v>236</v>
      </c>
      <c r="H33" s="8">
        <v>288.39999999999998</v>
      </c>
      <c r="I33" s="2" t="s">
        <v>22</v>
      </c>
      <c r="J33" s="2" t="s">
        <v>1013</v>
      </c>
      <c r="K33" s="2">
        <v>1</v>
      </c>
      <c r="L33" s="2" t="s">
        <v>20</v>
      </c>
      <c r="M33" s="2">
        <v>1981</v>
      </c>
      <c r="N33" s="3" t="s">
        <v>237</v>
      </c>
      <c r="O33" s="3" t="s">
        <v>238</v>
      </c>
      <c r="P33" s="3" t="s">
        <v>239</v>
      </c>
      <c r="Q33" s="2">
        <v>2843</v>
      </c>
    </row>
    <row r="34" spans="1:17" ht="143.25" customHeight="1" x14ac:dyDescent="0.25">
      <c r="A34" s="5" t="str">
        <f>_xll.JChemExcel.Functions.JCSYSStructure("7DACCDF68FD8F4566C9142DF4D94B75D")</f>
        <v/>
      </c>
      <c r="B34" s="3" t="s">
        <v>240</v>
      </c>
      <c r="C34" s="3" t="s">
        <v>241</v>
      </c>
      <c r="D34" s="2" t="s">
        <v>243</v>
      </c>
      <c r="E34" s="2" t="s">
        <v>7270</v>
      </c>
      <c r="F34" s="3" t="s">
        <v>242</v>
      </c>
      <c r="G34" s="2" t="s">
        <v>244</v>
      </c>
      <c r="H34" s="8">
        <v>248.3</v>
      </c>
      <c r="I34" s="2" t="s">
        <v>22</v>
      </c>
      <c r="J34" s="2" t="s">
        <v>26</v>
      </c>
      <c r="K34" s="2">
        <v>1</v>
      </c>
      <c r="L34" s="2" t="s">
        <v>20</v>
      </c>
      <c r="M34" s="2">
        <v>1982</v>
      </c>
      <c r="N34" s="3" t="s">
        <v>245</v>
      </c>
      <c r="O34" s="3" t="s">
        <v>246</v>
      </c>
      <c r="P34" s="3" t="s">
        <v>247</v>
      </c>
      <c r="Q34" s="2">
        <v>2843</v>
      </c>
    </row>
    <row r="35" spans="1:17" ht="143.25" customHeight="1" x14ac:dyDescent="0.25">
      <c r="A35" s="5" t="str">
        <f>_xll.JChemExcel.Functions.JCSYSStructure("A9FFB17BA958DE7F1B2CF17827A04CFF")</f>
        <v/>
      </c>
      <c r="B35" s="3" t="s">
        <v>248</v>
      </c>
      <c r="C35" s="3" t="s">
        <v>249</v>
      </c>
      <c r="D35" s="2" t="s">
        <v>251</v>
      </c>
      <c r="E35" s="2" t="s">
        <v>7271</v>
      </c>
      <c r="F35" s="3" t="s">
        <v>250</v>
      </c>
      <c r="G35" s="2" t="s">
        <v>252</v>
      </c>
      <c r="H35" s="8">
        <v>337.8</v>
      </c>
      <c r="I35" s="2" t="s">
        <v>22</v>
      </c>
      <c r="J35" s="2" t="s">
        <v>26</v>
      </c>
      <c r="K35" s="2">
        <v>1</v>
      </c>
      <c r="L35" s="2" t="s">
        <v>20</v>
      </c>
      <c r="M35" s="2">
        <v>1978</v>
      </c>
      <c r="N35" s="3" t="s">
        <v>253</v>
      </c>
      <c r="O35" s="3" t="s">
        <v>254</v>
      </c>
      <c r="P35" s="3" t="s">
        <v>255</v>
      </c>
      <c r="Q35" s="2">
        <v>2843</v>
      </c>
    </row>
    <row r="36" spans="1:17" ht="143.25" customHeight="1" x14ac:dyDescent="0.25">
      <c r="A36" s="5" t="str">
        <f>_xll.JChemExcel.Functions.JCSYSStructure("9E71F286532C4F31DF3794B7F8C5BE8F")</f>
        <v/>
      </c>
      <c r="B36" s="3" t="s">
        <v>256</v>
      </c>
      <c r="C36" s="3" t="s">
        <v>257</v>
      </c>
      <c r="D36" s="2" t="s">
        <v>259</v>
      </c>
      <c r="E36" s="2" t="s">
        <v>7272</v>
      </c>
      <c r="F36" s="3" t="s">
        <v>258</v>
      </c>
      <c r="G36" s="2" t="s">
        <v>260</v>
      </c>
      <c r="H36" s="8">
        <v>308.8</v>
      </c>
      <c r="I36" s="2" t="s">
        <v>22</v>
      </c>
      <c r="J36" s="2" t="s">
        <v>26</v>
      </c>
      <c r="K36" s="2">
        <v>1</v>
      </c>
      <c r="L36" s="2" t="s">
        <v>20</v>
      </c>
      <c r="M36" s="2">
        <v>1992</v>
      </c>
      <c r="N36" s="3" t="s">
        <v>261</v>
      </c>
      <c r="O36" s="3" t="s">
        <v>262</v>
      </c>
      <c r="P36" s="3" t="s">
        <v>263</v>
      </c>
      <c r="Q36" s="2">
        <v>2843</v>
      </c>
    </row>
    <row r="37" spans="1:17" ht="143.25" customHeight="1" x14ac:dyDescent="0.25">
      <c r="A37" s="5" t="str">
        <f>_xll.JChemExcel.Functions.JCSYSStructure("897A79F19A6F5C14838A3DB971F50B95")</f>
        <v/>
      </c>
      <c r="B37" s="3" t="s">
        <v>264</v>
      </c>
      <c r="C37" s="3" t="s">
        <v>265</v>
      </c>
      <c r="D37" s="2" t="s">
        <v>267</v>
      </c>
      <c r="E37" s="2" t="s">
        <v>7273</v>
      </c>
      <c r="F37" s="3" t="s">
        <v>266</v>
      </c>
      <c r="G37" s="2" t="s">
        <v>268</v>
      </c>
      <c r="H37" s="8">
        <v>313.89999999999998</v>
      </c>
      <c r="I37" s="2" t="s">
        <v>22</v>
      </c>
      <c r="J37" s="2" t="s">
        <v>26</v>
      </c>
      <c r="K37" s="2">
        <v>1</v>
      </c>
      <c r="L37" s="2" t="s">
        <v>20</v>
      </c>
      <c r="M37" s="2">
        <v>1980</v>
      </c>
      <c r="N37" s="3" t="s">
        <v>269</v>
      </c>
      <c r="O37" s="3" t="s">
        <v>270</v>
      </c>
      <c r="P37" s="3" t="s">
        <v>271</v>
      </c>
      <c r="Q37" s="2">
        <v>2843</v>
      </c>
    </row>
    <row r="38" spans="1:17" ht="143.25" customHeight="1" x14ac:dyDescent="0.25">
      <c r="A38" s="5" t="str">
        <f>_xll.JChemExcel.Functions.JCSYSStructure("76D6114DAB7D9F8B179A2B16F0D6DF45")</f>
        <v/>
      </c>
      <c r="B38" s="3" t="s">
        <v>272</v>
      </c>
      <c r="C38" s="3" t="s">
        <v>273</v>
      </c>
      <c r="D38" s="2" t="s">
        <v>274</v>
      </c>
      <c r="E38" s="2">
        <v>550092</v>
      </c>
      <c r="F38" s="3" t="s">
        <v>7927</v>
      </c>
      <c r="G38" s="2" t="s">
        <v>275</v>
      </c>
      <c r="H38" s="8">
        <v>244.7</v>
      </c>
      <c r="I38" s="2" t="s">
        <v>22</v>
      </c>
      <c r="J38" s="2" t="s">
        <v>26</v>
      </c>
      <c r="K38" s="2">
        <v>1</v>
      </c>
      <c r="L38" s="2" t="s">
        <v>20</v>
      </c>
      <c r="M38" s="2" t="s">
        <v>124</v>
      </c>
      <c r="N38" s="3" t="s">
        <v>276</v>
      </c>
      <c r="O38" s="3" t="s">
        <v>277</v>
      </c>
      <c r="P38" s="3" t="s">
        <v>278</v>
      </c>
      <c r="Q38" s="2">
        <v>2843</v>
      </c>
    </row>
    <row r="39" spans="1:17" ht="143.25" customHeight="1" x14ac:dyDescent="0.25">
      <c r="A39" s="5" t="str">
        <f>_xll.JChemExcel.Functions.JCSYSStructure("8CEA99CF533A0C84196C5FDF948DD51D")</f>
        <v/>
      </c>
      <c r="B39" s="3" t="s">
        <v>279</v>
      </c>
      <c r="C39" s="3" t="s">
        <v>280</v>
      </c>
      <c r="D39" s="2" t="s">
        <v>281</v>
      </c>
      <c r="E39" s="2" t="s">
        <v>7274</v>
      </c>
      <c r="F39" s="3" t="s">
        <v>7928</v>
      </c>
      <c r="G39" s="2" t="s">
        <v>282</v>
      </c>
      <c r="H39" s="8">
        <v>412.4</v>
      </c>
      <c r="I39" s="2" t="s">
        <v>22</v>
      </c>
      <c r="J39" s="2" t="s">
        <v>26</v>
      </c>
      <c r="K39" s="2">
        <v>1</v>
      </c>
      <c r="L39" s="2" t="s">
        <v>20</v>
      </c>
      <c r="M39" s="2">
        <v>1986</v>
      </c>
      <c r="N39" s="3" t="s">
        <v>283</v>
      </c>
      <c r="O39" s="3" t="s">
        <v>284</v>
      </c>
      <c r="P39" s="3" t="s">
        <v>285</v>
      </c>
      <c r="Q39" s="2">
        <v>2843</v>
      </c>
    </row>
    <row r="40" spans="1:17" ht="143.25" customHeight="1" x14ac:dyDescent="0.25">
      <c r="A40" s="5" t="str">
        <f>_xll.JChemExcel.Functions.JCSYSStructure("120A389C7C0F2901ADE2932CDA884AD9")</f>
        <v/>
      </c>
      <c r="B40" s="3" t="s">
        <v>286</v>
      </c>
      <c r="C40" s="3" t="s">
        <v>287</v>
      </c>
      <c r="D40" s="2" t="s">
        <v>289</v>
      </c>
      <c r="E40" s="2">
        <v>550096</v>
      </c>
      <c r="F40" s="3" t="s">
        <v>288</v>
      </c>
      <c r="G40" s="2" t="s">
        <v>290</v>
      </c>
      <c r="H40" s="8">
        <v>284.39999999999998</v>
      </c>
      <c r="I40" s="2" t="s">
        <v>22</v>
      </c>
      <c r="J40" s="2" t="s">
        <v>26</v>
      </c>
      <c r="K40" s="2">
        <v>1</v>
      </c>
      <c r="L40" s="2" t="s">
        <v>20</v>
      </c>
      <c r="M40" s="2">
        <v>1960</v>
      </c>
      <c r="N40" s="3" t="s">
        <v>291</v>
      </c>
      <c r="O40" s="3" t="s">
        <v>292</v>
      </c>
      <c r="P40" s="3" t="s">
        <v>293</v>
      </c>
      <c r="Q40" s="2">
        <v>2843</v>
      </c>
    </row>
    <row r="41" spans="1:17" ht="143.25" customHeight="1" x14ac:dyDescent="0.25">
      <c r="A41" s="5" t="str">
        <f>_xll.JChemExcel.Functions.JCSYSStructure("D9A2A46775A96E086113014DD4BE138A")</f>
        <v/>
      </c>
      <c r="B41" s="3" t="s">
        <v>294</v>
      </c>
      <c r="C41" s="3" t="s">
        <v>295</v>
      </c>
      <c r="D41" s="2" t="s">
        <v>296</v>
      </c>
      <c r="E41" s="2" t="s">
        <v>7275</v>
      </c>
      <c r="F41" s="3" t="s">
        <v>7929</v>
      </c>
      <c r="G41" s="2" t="s">
        <v>297</v>
      </c>
      <c r="H41" s="8">
        <v>732.7</v>
      </c>
      <c r="I41" s="2" t="s">
        <v>22</v>
      </c>
      <c r="J41" s="2" t="s">
        <v>26</v>
      </c>
      <c r="K41" s="2">
        <v>1</v>
      </c>
      <c r="L41" s="2" t="s">
        <v>20</v>
      </c>
      <c r="M41" s="2">
        <v>1972</v>
      </c>
      <c r="N41" s="3" t="s">
        <v>298</v>
      </c>
      <c r="O41" s="3" t="s">
        <v>299</v>
      </c>
      <c r="P41" s="3" t="s">
        <v>300</v>
      </c>
      <c r="Q41" s="2">
        <v>2843</v>
      </c>
    </row>
    <row r="42" spans="1:17" ht="143.25" customHeight="1" x14ac:dyDescent="0.25">
      <c r="A42" s="5" t="str">
        <f>_xll.JChemExcel.Functions.JCSYSStructure("AC74155641428F6C1098C9E920AC112A")</f>
        <v/>
      </c>
      <c r="B42" s="3" t="s">
        <v>301</v>
      </c>
      <c r="C42" s="3" t="s">
        <v>302</v>
      </c>
      <c r="D42" s="2" t="s">
        <v>304</v>
      </c>
      <c r="E42" s="2" t="s">
        <v>7276</v>
      </c>
      <c r="F42" s="3" t="s">
        <v>303</v>
      </c>
      <c r="G42" s="2" t="s">
        <v>305</v>
      </c>
      <c r="H42" s="8">
        <v>875.1</v>
      </c>
      <c r="I42" s="2" t="s">
        <v>22</v>
      </c>
      <c r="J42" s="2" t="s">
        <v>26</v>
      </c>
      <c r="K42" s="2">
        <v>1</v>
      </c>
      <c r="L42" s="2" t="s">
        <v>20</v>
      </c>
      <c r="M42" s="2">
        <v>1996</v>
      </c>
      <c r="N42" s="3" t="s">
        <v>306</v>
      </c>
      <c r="O42" s="3" t="s">
        <v>307</v>
      </c>
      <c r="P42" s="3" t="s">
        <v>308</v>
      </c>
      <c r="Q42" s="2">
        <v>2843</v>
      </c>
    </row>
    <row r="43" spans="1:17" ht="143.25" customHeight="1" x14ac:dyDescent="0.25">
      <c r="A43" s="5" t="str">
        <f>_xll.JChemExcel.Functions.JCSYSStructure("F922E70E4BC92CB1EDE238FBA7BD7F53")</f>
        <v/>
      </c>
      <c r="B43" s="3" t="s">
        <v>309</v>
      </c>
      <c r="C43" s="3" t="s">
        <v>310</v>
      </c>
      <c r="D43" s="2" t="s">
        <v>312</v>
      </c>
      <c r="E43" s="2" t="s">
        <v>7277</v>
      </c>
      <c r="F43" s="3" t="s">
        <v>311</v>
      </c>
      <c r="G43" s="2" t="s">
        <v>313</v>
      </c>
      <c r="H43" s="8">
        <v>375.9</v>
      </c>
      <c r="I43" s="2" t="s">
        <v>22</v>
      </c>
      <c r="J43" s="2" t="s">
        <v>26</v>
      </c>
      <c r="K43" s="2">
        <v>1</v>
      </c>
      <c r="L43" s="2" t="s">
        <v>20</v>
      </c>
      <c r="M43" s="2">
        <v>1967</v>
      </c>
      <c r="N43" s="3" t="s">
        <v>314</v>
      </c>
      <c r="O43" s="3" t="s">
        <v>315</v>
      </c>
      <c r="P43" s="3" t="s">
        <v>316</v>
      </c>
      <c r="Q43" s="2">
        <v>2843</v>
      </c>
    </row>
    <row r="44" spans="1:17" ht="143.25" customHeight="1" x14ac:dyDescent="0.25">
      <c r="A44" s="5" t="str">
        <f>_xll.JChemExcel.Functions.JCSYSStructure("24DA7CA7051BFD30FB4DEA381570E8A5")</f>
        <v/>
      </c>
      <c r="B44" s="3" t="s">
        <v>317</v>
      </c>
      <c r="C44" s="3" t="s">
        <v>318</v>
      </c>
      <c r="D44" s="2" t="s">
        <v>320</v>
      </c>
      <c r="E44" s="2" t="s">
        <v>7278</v>
      </c>
      <c r="F44" s="3" t="s">
        <v>319</v>
      </c>
      <c r="G44" s="2" t="s">
        <v>321</v>
      </c>
      <c r="H44" s="8">
        <v>252.3</v>
      </c>
      <c r="I44" s="2" t="s">
        <v>22</v>
      </c>
      <c r="J44" s="2" t="s">
        <v>26</v>
      </c>
      <c r="K44" s="2">
        <v>1</v>
      </c>
      <c r="L44" s="2" t="s">
        <v>20</v>
      </c>
      <c r="M44" s="2">
        <v>1977</v>
      </c>
      <c r="N44" s="3" t="s">
        <v>322</v>
      </c>
      <c r="O44" s="3" t="s">
        <v>323</v>
      </c>
      <c r="P44" s="3" t="s">
        <v>324</v>
      </c>
      <c r="Q44" s="2">
        <v>2843</v>
      </c>
    </row>
    <row r="45" spans="1:17" ht="143.25" customHeight="1" x14ac:dyDescent="0.25">
      <c r="A45" s="5" t="str">
        <f>_xll.JChemExcel.Functions.JCSYSStructure("9472F7BA57124C06C6A8C98824836234")</f>
        <v/>
      </c>
      <c r="B45" s="3" t="s">
        <v>325</v>
      </c>
      <c r="C45" s="3" t="s">
        <v>326</v>
      </c>
      <c r="D45" s="2" t="s">
        <v>328</v>
      </c>
      <c r="E45" s="2" t="s">
        <v>7279</v>
      </c>
      <c r="F45" s="3" t="s">
        <v>327</v>
      </c>
      <c r="G45" s="2" t="s">
        <v>329</v>
      </c>
      <c r="H45" s="8">
        <v>212.2</v>
      </c>
      <c r="I45" s="2" t="s">
        <v>22</v>
      </c>
      <c r="J45" s="2" t="s">
        <v>26</v>
      </c>
      <c r="K45" s="2">
        <v>1</v>
      </c>
      <c r="L45" s="2" t="s">
        <v>20</v>
      </c>
      <c r="M45" s="2" t="s">
        <v>124</v>
      </c>
      <c r="N45" s="3" t="s">
        <v>330</v>
      </c>
      <c r="O45" s="3" t="s">
        <v>331</v>
      </c>
      <c r="P45" s="3" t="s">
        <v>332</v>
      </c>
      <c r="Q45" s="2">
        <v>2843</v>
      </c>
    </row>
    <row r="46" spans="1:17" ht="143.25" customHeight="1" x14ac:dyDescent="0.25">
      <c r="A46" s="5" t="str">
        <f>_xll.JChemExcel.Functions.JCSYSStructure("66EA32260B0934386DE273091FE00F4C")</f>
        <v/>
      </c>
      <c r="B46" s="3" t="s">
        <v>333</v>
      </c>
      <c r="C46" s="3" t="s">
        <v>334</v>
      </c>
      <c r="D46" s="2" t="s">
        <v>335</v>
      </c>
      <c r="E46" s="2">
        <v>430153</v>
      </c>
      <c r="F46" s="3" t="s">
        <v>8053</v>
      </c>
      <c r="G46" s="2" t="s">
        <v>336</v>
      </c>
      <c r="H46" s="8">
        <v>290.10000000000002</v>
      </c>
      <c r="I46" s="2" t="s">
        <v>22</v>
      </c>
      <c r="J46" s="2" t="s">
        <v>1013</v>
      </c>
      <c r="K46" s="2">
        <v>1</v>
      </c>
      <c r="L46" s="2" t="s">
        <v>20</v>
      </c>
      <c r="M46" s="2" t="s">
        <v>124</v>
      </c>
      <c r="N46" s="3" t="s">
        <v>337</v>
      </c>
      <c r="O46" s="3" t="s">
        <v>338</v>
      </c>
      <c r="P46" s="3" t="s">
        <v>53</v>
      </c>
      <c r="Q46" s="2">
        <v>2843</v>
      </c>
    </row>
    <row r="47" spans="1:17" ht="143.25" customHeight="1" x14ac:dyDescent="0.25">
      <c r="A47" s="5" t="str">
        <f>_xll.JChemExcel.Functions.JCSYSStructure("0BCB87C907F081D7C14C2D00612C66DF")</f>
        <v/>
      </c>
      <c r="B47" s="3" t="s">
        <v>339</v>
      </c>
      <c r="C47" s="3" t="s">
        <v>340</v>
      </c>
      <c r="D47" s="2" t="s">
        <v>342</v>
      </c>
      <c r="E47" s="2" t="s">
        <v>7280</v>
      </c>
      <c r="F47" s="3" t="s">
        <v>341</v>
      </c>
      <c r="G47" s="2" t="s">
        <v>343</v>
      </c>
      <c r="H47" s="8">
        <v>377.86185999999998</v>
      </c>
      <c r="I47" s="2" t="s">
        <v>22</v>
      </c>
      <c r="J47" s="2" t="s">
        <v>26</v>
      </c>
      <c r="K47" s="2">
        <v>1</v>
      </c>
      <c r="L47" s="2" t="s">
        <v>20</v>
      </c>
      <c r="M47" s="2">
        <v>1984</v>
      </c>
      <c r="N47" s="3" t="s">
        <v>344</v>
      </c>
      <c r="O47" s="3" t="s">
        <v>345</v>
      </c>
      <c r="P47" s="3" t="s">
        <v>346</v>
      </c>
      <c r="Q47" s="2">
        <v>2843</v>
      </c>
    </row>
    <row r="48" spans="1:17" ht="143.25" customHeight="1" x14ac:dyDescent="0.25">
      <c r="A48" s="5" t="str">
        <f>_xll.JChemExcel.Functions.JCSYSStructure("D4FD3D4B06948ACFF83115D7011BFCC3")</f>
        <v/>
      </c>
      <c r="B48" s="3" t="s">
        <v>347</v>
      </c>
      <c r="C48" s="3" t="s">
        <v>348</v>
      </c>
      <c r="D48" s="2" t="s">
        <v>350</v>
      </c>
      <c r="E48" s="2" t="s">
        <v>7281</v>
      </c>
      <c r="F48" s="3" t="s">
        <v>349</v>
      </c>
      <c r="G48" s="2" t="s">
        <v>351</v>
      </c>
      <c r="H48" s="8">
        <v>287.39999999999998</v>
      </c>
      <c r="I48" s="2" t="s">
        <v>22</v>
      </c>
      <c r="J48" s="2" t="s">
        <v>26</v>
      </c>
      <c r="K48" s="2">
        <v>1</v>
      </c>
      <c r="L48" s="2" t="s">
        <v>20</v>
      </c>
      <c r="M48" s="2">
        <v>1997</v>
      </c>
      <c r="N48" s="3" t="s">
        <v>352</v>
      </c>
      <c r="O48" s="3" t="s">
        <v>353</v>
      </c>
      <c r="P48" s="3" t="s">
        <v>354</v>
      </c>
      <c r="Q48" s="2">
        <v>2843</v>
      </c>
    </row>
    <row r="49" spans="1:17" ht="143.25" customHeight="1" x14ac:dyDescent="0.25">
      <c r="A49" s="5" t="str">
        <f>_xll.JChemExcel.Functions.JCSYSStructure("F227301FA6D2B8128216A947E8FEFEE4")</f>
        <v/>
      </c>
      <c r="B49" s="3" t="s">
        <v>355</v>
      </c>
      <c r="C49" s="3" t="s">
        <v>356</v>
      </c>
      <c r="D49" s="2" t="s">
        <v>357</v>
      </c>
      <c r="E49" s="2">
        <v>550363</v>
      </c>
      <c r="F49" s="3" t="s">
        <v>7930</v>
      </c>
      <c r="G49" s="2" t="s">
        <v>358</v>
      </c>
      <c r="H49" s="8">
        <v>215.8</v>
      </c>
      <c r="I49" s="2" t="s">
        <v>22</v>
      </c>
      <c r="J49" s="2" t="s">
        <v>26</v>
      </c>
      <c r="K49" s="2">
        <v>1</v>
      </c>
      <c r="L49" s="2" t="s">
        <v>20</v>
      </c>
      <c r="M49" s="2">
        <v>2003</v>
      </c>
      <c r="N49" s="3" t="s">
        <v>359</v>
      </c>
      <c r="O49" s="3" t="s">
        <v>360</v>
      </c>
      <c r="P49" s="3" t="s">
        <v>53</v>
      </c>
      <c r="Q49" s="2">
        <v>2843</v>
      </c>
    </row>
    <row r="50" spans="1:17" ht="143.25" customHeight="1" x14ac:dyDescent="0.25">
      <c r="A50" s="5" t="str">
        <f>_xll.JChemExcel.Functions.JCSYSStructure("AFC87969F4DF7895A3A9E092689E990A")</f>
        <v/>
      </c>
      <c r="B50" s="3" t="s">
        <v>361</v>
      </c>
      <c r="C50" s="3" t="s">
        <v>362</v>
      </c>
      <c r="D50" s="2" t="s">
        <v>364</v>
      </c>
      <c r="E50" s="2" t="s">
        <v>7282</v>
      </c>
      <c r="F50" s="3" t="s">
        <v>363</v>
      </c>
      <c r="G50" s="2" t="s">
        <v>7185</v>
      </c>
      <c r="H50" s="8">
        <v>270.7</v>
      </c>
      <c r="I50" s="2" t="s">
        <v>22</v>
      </c>
      <c r="J50" s="2" t="s">
        <v>26</v>
      </c>
      <c r="K50" s="2">
        <v>1</v>
      </c>
      <c r="L50" s="2" t="s">
        <v>20</v>
      </c>
      <c r="M50" s="2" t="e">
        <v>#N/A</v>
      </c>
      <c r="N50" s="3" t="s">
        <v>365</v>
      </c>
      <c r="O50" s="3" t="s">
        <v>366</v>
      </c>
      <c r="P50" s="3" t="s">
        <v>367</v>
      </c>
      <c r="Q50" s="2">
        <v>2843</v>
      </c>
    </row>
    <row r="51" spans="1:17" ht="143.25" customHeight="1" x14ac:dyDescent="0.25">
      <c r="A51" s="5" t="str">
        <f>_xll.JChemExcel.Functions.JCSYSStructure("6CCF4FAA56F4BB3B6931583614FB4092")</f>
        <v/>
      </c>
      <c r="B51" s="3" t="s">
        <v>368</v>
      </c>
      <c r="C51" s="3" t="s">
        <v>369</v>
      </c>
      <c r="D51" s="2" t="s">
        <v>371</v>
      </c>
      <c r="E51" s="2">
        <v>400044</v>
      </c>
      <c r="F51" s="3" t="s">
        <v>370</v>
      </c>
      <c r="G51" s="2" t="s">
        <v>372</v>
      </c>
      <c r="H51" s="8">
        <v>178.3</v>
      </c>
      <c r="I51" s="2" t="s">
        <v>22</v>
      </c>
      <c r="J51" s="2" t="s">
        <v>26</v>
      </c>
      <c r="K51" s="2">
        <v>1</v>
      </c>
      <c r="L51" s="2" t="s">
        <v>20</v>
      </c>
      <c r="M51" s="2">
        <v>1989</v>
      </c>
      <c r="N51" s="3" t="s">
        <v>373</v>
      </c>
      <c r="O51" s="3" t="s">
        <v>374</v>
      </c>
      <c r="P51" s="3" t="s">
        <v>375</v>
      </c>
      <c r="Q51" s="2">
        <v>2843</v>
      </c>
    </row>
    <row r="52" spans="1:17" ht="143.25" customHeight="1" x14ac:dyDescent="0.25">
      <c r="A52" s="5" t="str">
        <f>_xll.JChemExcel.Functions.JCSYSStructure("23C19419229C85DEE931D3185FAC8A20")</f>
        <v/>
      </c>
      <c r="B52" s="3" t="s">
        <v>376</v>
      </c>
      <c r="C52" s="3" t="s">
        <v>377</v>
      </c>
      <c r="D52" s="2" t="s">
        <v>379</v>
      </c>
      <c r="E52" s="2" t="s">
        <v>7283</v>
      </c>
      <c r="F52" s="3" t="s">
        <v>378</v>
      </c>
      <c r="G52" s="2" t="s">
        <v>380</v>
      </c>
      <c r="H52" s="8">
        <v>420.4</v>
      </c>
      <c r="I52" s="2" t="s">
        <v>22</v>
      </c>
      <c r="J52" s="2" t="s">
        <v>26</v>
      </c>
      <c r="K52" s="2">
        <v>1</v>
      </c>
      <c r="L52" s="2" t="s">
        <v>20</v>
      </c>
      <c r="M52" s="2">
        <v>1982</v>
      </c>
      <c r="N52" s="3" t="s">
        <v>237</v>
      </c>
      <c r="O52" s="3" t="s">
        <v>381</v>
      </c>
      <c r="P52" s="3" t="s">
        <v>382</v>
      </c>
      <c r="Q52" s="2">
        <v>2843</v>
      </c>
    </row>
    <row r="53" spans="1:17" ht="143.25" customHeight="1" x14ac:dyDescent="0.25">
      <c r="A53" s="5" t="str">
        <f>_xll.JChemExcel.Functions.JCSYSStructure("16064F60352BB1A8B33E2532E3AA9886")</f>
        <v/>
      </c>
      <c r="B53" s="3" t="s">
        <v>383</v>
      </c>
      <c r="C53" s="3" t="s">
        <v>384</v>
      </c>
      <c r="D53" s="2" t="s">
        <v>386</v>
      </c>
      <c r="E53" s="2" t="s">
        <v>7284</v>
      </c>
      <c r="F53" s="3" t="s">
        <v>385</v>
      </c>
      <c r="G53" s="2" t="s">
        <v>387</v>
      </c>
      <c r="H53" s="8">
        <v>317.39999999999998</v>
      </c>
      <c r="I53" s="2" t="s">
        <v>22</v>
      </c>
      <c r="J53" s="2" t="s">
        <v>26</v>
      </c>
      <c r="K53" s="2">
        <v>1</v>
      </c>
      <c r="L53" s="2" t="s">
        <v>20</v>
      </c>
      <c r="M53" s="2">
        <v>2000</v>
      </c>
      <c r="N53" s="3" t="s">
        <v>388</v>
      </c>
      <c r="O53" s="3" t="s">
        <v>389</v>
      </c>
      <c r="P53" s="3" t="s">
        <v>390</v>
      </c>
      <c r="Q53" s="2">
        <v>2843</v>
      </c>
    </row>
    <row r="54" spans="1:17" ht="143.25" customHeight="1" x14ac:dyDescent="0.25">
      <c r="A54" s="5" t="str">
        <f>_xll.JChemExcel.Functions.JCSYSStructure("D0D9A7941090E929FD5A4639A31DC8DF")</f>
        <v/>
      </c>
      <c r="B54" s="3" t="s">
        <v>391</v>
      </c>
      <c r="C54" s="3" t="s">
        <v>392</v>
      </c>
      <c r="D54" s="2" t="s">
        <v>394</v>
      </c>
      <c r="E54" s="2" t="s">
        <v>7285</v>
      </c>
      <c r="F54" s="3" t="s">
        <v>393</v>
      </c>
      <c r="G54" s="2" t="s">
        <v>395</v>
      </c>
      <c r="H54" s="8">
        <v>247.7</v>
      </c>
      <c r="I54" s="2" t="s">
        <v>22</v>
      </c>
      <c r="J54" s="2" t="s">
        <v>26</v>
      </c>
      <c r="K54" s="2">
        <v>1</v>
      </c>
      <c r="L54" s="2" t="s">
        <v>20</v>
      </c>
      <c r="M54" s="2">
        <v>1956</v>
      </c>
      <c r="N54" s="3" t="s">
        <v>396</v>
      </c>
      <c r="O54" s="3" t="s">
        <v>397</v>
      </c>
      <c r="P54" s="3" t="s">
        <v>398</v>
      </c>
      <c r="Q54" s="2">
        <v>2843</v>
      </c>
    </row>
    <row r="55" spans="1:17" ht="143.25" customHeight="1" x14ac:dyDescent="0.25">
      <c r="A55" s="5" t="str">
        <f>_xll.JChemExcel.Functions.JCSYSStructure("C1E00DF5219F38F49E71F1EA2E6A9BC7")</f>
        <v/>
      </c>
      <c r="B55" s="3" t="s">
        <v>399</v>
      </c>
      <c r="C55" s="3" t="s">
        <v>400</v>
      </c>
      <c r="D55" s="2" t="s">
        <v>402</v>
      </c>
      <c r="E55" s="2">
        <v>550135</v>
      </c>
      <c r="F55" s="3" t="s">
        <v>401</v>
      </c>
      <c r="G55" s="2" t="s">
        <v>403</v>
      </c>
      <c r="H55" s="8">
        <v>181.7</v>
      </c>
      <c r="I55" s="2" t="s">
        <v>22</v>
      </c>
      <c r="J55" s="2" t="s">
        <v>26</v>
      </c>
      <c r="K55" s="2">
        <v>1</v>
      </c>
      <c r="L55" s="2" t="s">
        <v>20</v>
      </c>
      <c r="M55" s="2">
        <v>1973</v>
      </c>
      <c r="N55" s="3" t="s">
        <v>404</v>
      </c>
      <c r="O55" s="3" t="s">
        <v>404</v>
      </c>
      <c r="P55" s="3" t="s">
        <v>405</v>
      </c>
      <c r="Q55" s="2">
        <v>2843</v>
      </c>
    </row>
    <row r="56" spans="1:17" ht="143.25" customHeight="1" x14ac:dyDescent="0.25">
      <c r="A56" s="5" t="str">
        <f>_xll.JChemExcel.Functions.JCSYSStructure("5B5C9C1DFAFE93B217B55DB0875D57E3")</f>
        <v/>
      </c>
      <c r="B56" s="3" t="s">
        <v>406</v>
      </c>
      <c r="C56" s="3" t="s">
        <v>407</v>
      </c>
      <c r="D56" s="2" t="s">
        <v>409</v>
      </c>
      <c r="E56" s="2" t="s">
        <v>7286</v>
      </c>
      <c r="F56" s="3" t="s">
        <v>408</v>
      </c>
      <c r="G56" s="2" t="s">
        <v>410</v>
      </c>
      <c r="H56" s="8">
        <v>694.8</v>
      </c>
      <c r="I56" s="2" t="s">
        <v>22</v>
      </c>
      <c r="J56" s="2" t="s">
        <v>26</v>
      </c>
      <c r="K56" s="2">
        <v>1</v>
      </c>
      <c r="L56" s="2" t="s">
        <v>20</v>
      </c>
      <c r="M56" s="2" t="s">
        <v>124</v>
      </c>
      <c r="N56" s="3" t="s">
        <v>411</v>
      </c>
      <c r="O56" s="3" t="s">
        <v>412</v>
      </c>
      <c r="P56" s="3" t="s">
        <v>53</v>
      </c>
      <c r="Q56" s="2">
        <v>2843</v>
      </c>
    </row>
    <row r="57" spans="1:17" ht="143.25" customHeight="1" x14ac:dyDescent="0.25">
      <c r="A57" s="5" t="str">
        <f>_xll.JChemExcel.Functions.JCSYSStructure("CA2F2E6C4A52DB45F7BD780B4078E031")</f>
        <v/>
      </c>
      <c r="B57" s="3" t="s">
        <v>7186</v>
      </c>
      <c r="C57" s="3" t="s">
        <v>7189</v>
      </c>
      <c r="D57" s="2" t="s">
        <v>413</v>
      </c>
      <c r="E57" s="2" t="s">
        <v>7287</v>
      </c>
      <c r="F57" s="3" t="s">
        <v>7190</v>
      </c>
      <c r="G57" s="2" t="s">
        <v>7191</v>
      </c>
      <c r="H57" s="8">
        <v>303.8</v>
      </c>
      <c r="I57" s="2" t="s">
        <v>22</v>
      </c>
      <c r="J57" s="2" t="s">
        <v>26</v>
      </c>
      <c r="K57" s="2">
        <v>1</v>
      </c>
      <c r="L57" s="2" t="s">
        <v>20</v>
      </c>
      <c r="M57" s="2" t="s">
        <v>124</v>
      </c>
      <c r="N57" s="3" t="s">
        <v>414</v>
      </c>
      <c r="O57" s="3" t="s">
        <v>415</v>
      </c>
      <c r="P57" s="3" t="s">
        <v>53</v>
      </c>
      <c r="Q57" s="2">
        <v>2843</v>
      </c>
    </row>
    <row r="58" spans="1:17" ht="143.25" customHeight="1" x14ac:dyDescent="0.25">
      <c r="A58" s="5" t="str">
        <f>_xll.JChemExcel.Functions.JCSYSStructure("945A152031FD33EEA763ADA60907074D")</f>
        <v/>
      </c>
      <c r="B58" s="3" t="s">
        <v>416</v>
      </c>
      <c r="C58" s="3" t="s">
        <v>417</v>
      </c>
      <c r="D58" s="2" t="s">
        <v>418</v>
      </c>
      <c r="E58" s="2">
        <v>270171</v>
      </c>
      <c r="F58" s="3" t="s">
        <v>7931</v>
      </c>
      <c r="G58" s="2" t="s">
        <v>419</v>
      </c>
      <c r="H58" s="8">
        <v>355.3</v>
      </c>
      <c r="I58" s="2" t="s">
        <v>22</v>
      </c>
      <c r="J58" s="2" t="s">
        <v>26</v>
      </c>
      <c r="K58" s="2">
        <v>1</v>
      </c>
      <c r="L58" s="2" t="s">
        <v>20</v>
      </c>
      <c r="M58" s="2">
        <v>1957</v>
      </c>
      <c r="N58" s="3" t="s">
        <v>94</v>
      </c>
      <c r="O58" s="3" t="s">
        <v>420</v>
      </c>
      <c r="P58" s="3" t="s">
        <v>421</v>
      </c>
      <c r="Q58" s="2">
        <v>2843</v>
      </c>
    </row>
    <row r="59" spans="1:17" ht="143.25" customHeight="1" x14ac:dyDescent="0.25">
      <c r="A59" s="5" t="str">
        <f>_xll.JChemExcel.Functions.JCSYSStructure("34F9B07BC841D4FE410997F917352F2A")</f>
        <v/>
      </c>
      <c r="B59" s="3" t="s">
        <v>422</v>
      </c>
      <c r="C59" s="3" t="s">
        <v>423</v>
      </c>
      <c r="D59" s="2" t="s">
        <v>424</v>
      </c>
      <c r="E59" s="2" t="s">
        <v>7288</v>
      </c>
      <c r="F59" s="3" t="s">
        <v>7932</v>
      </c>
      <c r="G59" s="2" t="s">
        <v>425</v>
      </c>
      <c r="H59" s="8">
        <v>510.4</v>
      </c>
      <c r="I59" s="2" t="s">
        <v>22</v>
      </c>
      <c r="J59" s="2" t="s">
        <v>26</v>
      </c>
      <c r="K59" s="2">
        <v>1</v>
      </c>
      <c r="L59" s="2" t="s">
        <v>20</v>
      </c>
      <c r="M59" s="2">
        <v>1959</v>
      </c>
      <c r="N59" s="3" t="s">
        <v>94</v>
      </c>
      <c r="O59" s="3" t="s">
        <v>426</v>
      </c>
      <c r="P59" s="3" t="s">
        <v>427</v>
      </c>
      <c r="Q59" s="2">
        <v>2843</v>
      </c>
    </row>
    <row r="60" spans="1:17" ht="143.25" customHeight="1" x14ac:dyDescent="0.25">
      <c r="A60" s="5" t="str">
        <f>_xll.JChemExcel.Functions.JCSYSStructure("CBD106EAC90A7A75E7D79E603801AA09")</f>
        <v/>
      </c>
      <c r="B60" s="3" t="s">
        <v>428</v>
      </c>
      <c r="C60" s="3" t="s">
        <v>429</v>
      </c>
      <c r="D60" s="2" t="s">
        <v>431</v>
      </c>
      <c r="E60" s="2" t="s">
        <v>7289</v>
      </c>
      <c r="F60" s="3" t="s">
        <v>430</v>
      </c>
      <c r="G60" s="2" t="s">
        <v>432</v>
      </c>
      <c r="H60" s="8">
        <v>410.5</v>
      </c>
      <c r="I60" s="2" t="s">
        <v>22</v>
      </c>
      <c r="J60" s="2" t="s">
        <v>26</v>
      </c>
      <c r="K60" s="2">
        <v>1</v>
      </c>
      <c r="L60" s="2" t="s">
        <v>20</v>
      </c>
      <c r="M60" s="2">
        <v>1993</v>
      </c>
      <c r="N60" s="3" t="s">
        <v>94</v>
      </c>
      <c r="O60" s="3" t="s">
        <v>433</v>
      </c>
      <c r="P60" s="3" t="s">
        <v>434</v>
      </c>
      <c r="Q60" s="2">
        <v>2843</v>
      </c>
    </row>
    <row r="61" spans="1:17" ht="143.25" customHeight="1" x14ac:dyDescent="0.25">
      <c r="A61" s="5" t="str">
        <f>_xll.JChemExcel.Functions.JCSYSStructure("6C880750CE56E7DB8301D6B1161A68D7")</f>
        <v/>
      </c>
      <c r="B61" s="3" t="s">
        <v>435</v>
      </c>
      <c r="C61" s="3" t="s">
        <v>436</v>
      </c>
      <c r="D61" s="2" t="s">
        <v>438</v>
      </c>
      <c r="E61" s="2" t="s">
        <v>7290</v>
      </c>
      <c r="F61" s="3" t="s">
        <v>437</v>
      </c>
      <c r="G61" s="2" t="s">
        <v>439</v>
      </c>
      <c r="H61" s="8">
        <v>291.8</v>
      </c>
      <c r="I61" s="2" t="s">
        <v>22</v>
      </c>
      <c r="J61" s="2" t="s">
        <v>26</v>
      </c>
      <c r="K61" s="2">
        <v>1</v>
      </c>
      <c r="L61" s="2" t="s">
        <v>20</v>
      </c>
      <c r="M61" s="2">
        <v>1946</v>
      </c>
      <c r="N61" s="3" t="s">
        <v>440</v>
      </c>
      <c r="O61" s="3" t="s">
        <v>441</v>
      </c>
      <c r="P61" s="3" t="s">
        <v>442</v>
      </c>
      <c r="Q61" s="2">
        <v>2843</v>
      </c>
    </row>
    <row r="62" spans="1:17" ht="143.25" customHeight="1" x14ac:dyDescent="0.25">
      <c r="A62" s="5" t="str">
        <f>_xll.JChemExcel.Functions.JCSYSStructure("2C95DBD5D78449AFB9D7EA955DF7213C")</f>
        <v/>
      </c>
      <c r="B62" s="3" t="s">
        <v>443</v>
      </c>
      <c r="C62" s="3" t="s">
        <v>444</v>
      </c>
      <c r="D62" s="2" t="s">
        <v>446</v>
      </c>
      <c r="E62" s="2" t="s">
        <v>7291</v>
      </c>
      <c r="F62" s="3" t="s">
        <v>445</v>
      </c>
      <c r="G62" s="2" t="s">
        <v>447</v>
      </c>
      <c r="H62" s="8">
        <v>320.89999999999998</v>
      </c>
      <c r="I62" s="2" t="s">
        <v>22</v>
      </c>
      <c r="J62" s="2" t="s">
        <v>26</v>
      </c>
      <c r="K62" s="2">
        <v>1</v>
      </c>
      <c r="L62" s="2" t="s">
        <v>20</v>
      </c>
      <c r="M62" s="2">
        <v>1951</v>
      </c>
      <c r="N62" s="3" t="s">
        <v>448</v>
      </c>
      <c r="O62" s="3" t="s">
        <v>449</v>
      </c>
      <c r="P62" s="3" t="s">
        <v>450</v>
      </c>
      <c r="Q62" s="2">
        <v>2843</v>
      </c>
    </row>
    <row r="63" spans="1:17" ht="143.25" customHeight="1" x14ac:dyDescent="0.25">
      <c r="A63" s="5" t="str">
        <f>_xll.JChemExcel.Functions.JCSYSStructure("64D0C3A14B095FCF3E0627DFE13C4EAE")</f>
        <v/>
      </c>
      <c r="B63" s="3" t="s">
        <v>451</v>
      </c>
      <c r="C63" s="3" t="s">
        <v>452</v>
      </c>
      <c r="D63" s="2" t="s">
        <v>454</v>
      </c>
      <c r="E63" s="2" t="s">
        <v>7292</v>
      </c>
      <c r="F63" s="3" t="s">
        <v>453</v>
      </c>
      <c r="G63" s="2" t="s">
        <v>455</v>
      </c>
      <c r="H63" s="8">
        <v>350.9</v>
      </c>
      <c r="I63" s="2" t="s">
        <v>22</v>
      </c>
      <c r="J63" s="2" t="s">
        <v>26</v>
      </c>
      <c r="K63" s="2">
        <v>1</v>
      </c>
      <c r="L63" s="2" t="s">
        <v>20</v>
      </c>
      <c r="M63" s="2">
        <v>1983</v>
      </c>
      <c r="N63" s="3" t="s">
        <v>456</v>
      </c>
      <c r="O63" s="3" t="s">
        <v>457</v>
      </c>
      <c r="P63" s="3" t="s">
        <v>458</v>
      </c>
      <c r="Q63" s="2">
        <v>2843</v>
      </c>
    </row>
    <row r="64" spans="1:17" ht="143.25" customHeight="1" x14ac:dyDescent="0.25">
      <c r="A64" s="5" t="str">
        <f>_xll.JChemExcel.Functions.JCSYSStructure("3A6EF24DBF73F61005848745343ADEB6")</f>
        <v/>
      </c>
      <c r="B64" s="3" t="s">
        <v>7193</v>
      </c>
      <c r="C64" s="3" t="s">
        <v>7192</v>
      </c>
      <c r="D64" s="2" t="s">
        <v>459</v>
      </c>
      <c r="E64" s="2" t="s">
        <v>7293</v>
      </c>
      <c r="F64" s="3" t="s">
        <v>7933</v>
      </c>
      <c r="G64" s="2" t="s">
        <v>460</v>
      </c>
      <c r="H64" s="8">
        <v>333.3</v>
      </c>
      <c r="I64" s="2" t="s">
        <v>22</v>
      </c>
      <c r="J64" s="2" t="s">
        <v>26</v>
      </c>
      <c r="K64" s="2">
        <v>1</v>
      </c>
      <c r="L64" s="2" t="s">
        <v>20</v>
      </c>
      <c r="M64" s="2" t="s">
        <v>124</v>
      </c>
      <c r="N64" s="3" t="s">
        <v>461</v>
      </c>
      <c r="O64" s="3" t="s">
        <v>462</v>
      </c>
      <c r="P64" s="3" t="s">
        <v>53</v>
      </c>
      <c r="Q64" s="2">
        <v>2843</v>
      </c>
    </row>
    <row r="65" spans="1:17" ht="143.25" customHeight="1" x14ac:dyDescent="0.25">
      <c r="A65" s="5" t="str">
        <f>_xll.JChemExcel.Functions.JCSYSStructure("1010F6DF8E0F44753044B6A27173DA39")</f>
        <v/>
      </c>
      <c r="B65" s="3" t="s">
        <v>463</v>
      </c>
      <c r="C65" s="3" t="s">
        <v>464</v>
      </c>
      <c r="D65" s="2" t="s">
        <v>465</v>
      </c>
      <c r="E65" s="2">
        <v>550076</v>
      </c>
      <c r="F65" s="3" t="s">
        <v>7196</v>
      </c>
      <c r="G65" s="2" t="s">
        <v>466</v>
      </c>
      <c r="H65" s="8">
        <v>337.3</v>
      </c>
      <c r="I65" s="2" t="s">
        <v>22</v>
      </c>
      <c r="J65" s="2" t="s">
        <v>26</v>
      </c>
      <c r="K65" s="2">
        <v>1</v>
      </c>
      <c r="L65" s="2" t="s">
        <v>20</v>
      </c>
      <c r="M65" s="2" t="s">
        <v>124</v>
      </c>
      <c r="N65" s="3" t="s">
        <v>467</v>
      </c>
      <c r="O65" s="3" t="s">
        <v>468</v>
      </c>
      <c r="P65" s="3" t="s">
        <v>53</v>
      </c>
      <c r="Q65" s="2">
        <v>2843</v>
      </c>
    </row>
    <row r="66" spans="1:17" ht="143.25" customHeight="1" x14ac:dyDescent="0.25">
      <c r="A66" s="5" t="str">
        <f>_xll.JChemExcel.Functions.JCSYSStructure("ECEA4E59F19FCF07D5D64FB3A14751C6")</f>
        <v/>
      </c>
      <c r="B66" s="3" t="s">
        <v>469</v>
      </c>
      <c r="C66" s="3" t="s">
        <v>470</v>
      </c>
      <c r="D66" s="2" t="s">
        <v>472</v>
      </c>
      <c r="E66" s="2" t="s">
        <v>7294</v>
      </c>
      <c r="F66" s="3" t="s">
        <v>471</v>
      </c>
      <c r="G66" s="2" t="s">
        <v>473</v>
      </c>
      <c r="H66" s="8">
        <v>883.1</v>
      </c>
      <c r="I66" s="2" t="s">
        <v>22</v>
      </c>
      <c r="J66" s="2" t="s">
        <v>26</v>
      </c>
      <c r="K66" s="2">
        <v>1</v>
      </c>
      <c r="L66" s="2" t="s">
        <v>20</v>
      </c>
      <c r="M66" s="2">
        <v>1997</v>
      </c>
      <c r="N66" s="3" t="s">
        <v>94</v>
      </c>
      <c r="O66" s="3" t="s">
        <v>474</v>
      </c>
      <c r="P66" s="3" t="s">
        <v>475</v>
      </c>
      <c r="Q66" s="2">
        <v>2843</v>
      </c>
    </row>
    <row r="67" spans="1:17" ht="143.25" customHeight="1" x14ac:dyDescent="0.25">
      <c r="A67" s="5" t="str">
        <f>_xll.JChemExcel.Functions.JCSYSStructure("7D205957DDA5D87A4B75AF3C4C5AE871")</f>
        <v/>
      </c>
      <c r="B67" s="3" t="s">
        <v>476</v>
      </c>
      <c r="C67" s="3" t="s">
        <v>477</v>
      </c>
      <c r="D67" s="2" t="s">
        <v>479</v>
      </c>
      <c r="E67" s="2" t="s">
        <v>7295</v>
      </c>
      <c r="F67" s="3" t="s">
        <v>478</v>
      </c>
      <c r="G67" s="2" t="s">
        <v>480</v>
      </c>
      <c r="H67" s="8">
        <v>316.89999999999998</v>
      </c>
      <c r="I67" s="2" t="s">
        <v>22</v>
      </c>
      <c r="J67" s="2" t="s">
        <v>26</v>
      </c>
      <c r="K67" s="2">
        <v>1</v>
      </c>
      <c r="L67" s="2" t="s">
        <v>20</v>
      </c>
      <c r="M67" s="2">
        <v>1959</v>
      </c>
      <c r="N67" s="3" t="s">
        <v>481</v>
      </c>
      <c r="O67" s="3" t="s">
        <v>482</v>
      </c>
      <c r="P67" s="3" t="s">
        <v>483</v>
      </c>
      <c r="Q67" s="2">
        <v>2843</v>
      </c>
    </row>
    <row r="68" spans="1:17" ht="143.25" customHeight="1" x14ac:dyDescent="0.25">
      <c r="A68" s="5" t="str">
        <f>_xll.JChemExcel.Functions.JCSYSStructure("6499DC425E3762C8BBFB3C47220027E0")</f>
        <v/>
      </c>
      <c r="B68" s="3" t="s">
        <v>484</v>
      </c>
      <c r="C68" s="3" t="s">
        <v>485</v>
      </c>
      <c r="D68" s="2" t="s">
        <v>487</v>
      </c>
      <c r="E68" s="2" t="s">
        <v>7296</v>
      </c>
      <c r="F68" s="3" t="s">
        <v>486</v>
      </c>
      <c r="G68" s="2" t="s">
        <v>488</v>
      </c>
      <c r="H68" s="8">
        <v>313.8</v>
      </c>
      <c r="I68" s="2" t="s">
        <v>22</v>
      </c>
      <c r="J68" s="2" t="s">
        <v>26</v>
      </c>
      <c r="K68" s="2">
        <v>1</v>
      </c>
      <c r="L68" s="2" t="s">
        <v>20</v>
      </c>
      <c r="M68" s="2">
        <v>1980</v>
      </c>
      <c r="N68" s="3" t="s">
        <v>269</v>
      </c>
      <c r="O68" s="3" t="s">
        <v>489</v>
      </c>
      <c r="P68" s="3" t="s">
        <v>490</v>
      </c>
      <c r="Q68" s="2">
        <v>2843</v>
      </c>
    </row>
    <row r="69" spans="1:17" ht="143.25" customHeight="1" x14ac:dyDescent="0.25">
      <c r="A69" s="5" t="str">
        <f>_xll.JChemExcel.Functions.JCSYSStructure("BF6AD22728866EF05F86DBF7A1DD74B0")</f>
        <v/>
      </c>
      <c r="B69" s="3" t="s">
        <v>491</v>
      </c>
      <c r="C69" s="3" t="s">
        <v>492</v>
      </c>
      <c r="D69" s="2" t="s">
        <v>494</v>
      </c>
      <c r="E69" s="2" t="s">
        <v>7297</v>
      </c>
      <c r="F69" s="3" t="s">
        <v>493</v>
      </c>
      <c r="G69" s="2" t="s">
        <v>495</v>
      </c>
      <c r="H69" s="8">
        <v>336.3</v>
      </c>
      <c r="I69" s="2" t="s">
        <v>22</v>
      </c>
      <c r="J69" s="2" t="s">
        <v>26</v>
      </c>
      <c r="K69" s="2">
        <v>1</v>
      </c>
      <c r="L69" s="2" t="s">
        <v>20</v>
      </c>
      <c r="M69" s="2" t="s">
        <v>124</v>
      </c>
      <c r="N69" s="3" t="s">
        <v>496</v>
      </c>
      <c r="O69" s="3" t="s">
        <v>497</v>
      </c>
      <c r="P69" s="3" t="s">
        <v>498</v>
      </c>
      <c r="Q69" s="2">
        <v>2843</v>
      </c>
    </row>
    <row r="70" spans="1:17" ht="143.25" customHeight="1" x14ac:dyDescent="0.25">
      <c r="A70" s="11" t="str">
        <f>_xll.JChemExcel.Functions.JCSYSStructure("E64ED77E44C80BA69CF16DECD988A5AA")</f>
        <v/>
      </c>
      <c r="B70" s="3" t="s">
        <v>499</v>
      </c>
      <c r="C70" s="3" t="s">
        <v>500</v>
      </c>
      <c r="D70" s="2" t="s">
        <v>501</v>
      </c>
      <c r="E70" s="2" t="s">
        <v>7298</v>
      </c>
      <c r="F70" s="3" t="s">
        <v>7934</v>
      </c>
      <c r="G70" s="2" t="s">
        <v>502</v>
      </c>
      <c r="H70" s="8">
        <v>393.9</v>
      </c>
      <c r="I70" s="2" t="s">
        <v>22</v>
      </c>
      <c r="J70" s="2" t="s">
        <v>26</v>
      </c>
      <c r="K70" s="2">
        <v>1</v>
      </c>
      <c r="L70" s="2" t="s">
        <v>20</v>
      </c>
      <c r="M70" s="2" t="e">
        <v>#N/A</v>
      </c>
      <c r="N70" s="3" t="s">
        <v>503</v>
      </c>
      <c r="O70" s="3" t="s">
        <v>504</v>
      </c>
      <c r="P70" s="3" t="s">
        <v>53</v>
      </c>
      <c r="Q70" s="2">
        <v>2843</v>
      </c>
    </row>
    <row r="71" spans="1:17" ht="143.25" customHeight="1" x14ac:dyDescent="0.25">
      <c r="A71" s="5" t="str">
        <f>_xll.JChemExcel.Functions.JCSYSStructure("24B2DCB1F2C83B1E97E1BD83A3FD0534")</f>
        <v/>
      </c>
      <c r="B71" s="3" t="s">
        <v>505</v>
      </c>
      <c r="C71" s="3" t="s">
        <v>506</v>
      </c>
      <c r="D71" s="2" t="s">
        <v>507</v>
      </c>
      <c r="E71" s="2" t="s">
        <v>7299</v>
      </c>
      <c r="F71" s="3" t="s">
        <v>7935</v>
      </c>
      <c r="G71" s="2" t="s">
        <v>508</v>
      </c>
      <c r="H71" s="8">
        <v>182.6</v>
      </c>
      <c r="I71" s="2" t="s">
        <v>22</v>
      </c>
      <c r="J71" s="2" t="s">
        <v>26</v>
      </c>
      <c r="K71" s="2">
        <v>1</v>
      </c>
      <c r="L71" s="2" t="s">
        <v>20</v>
      </c>
      <c r="M71" s="2">
        <v>1972</v>
      </c>
      <c r="N71" s="3" t="s">
        <v>509</v>
      </c>
      <c r="O71" s="3" t="s">
        <v>510</v>
      </c>
      <c r="P71" s="3" t="s">
        <v>511</v>
      </c>
      <c r="Q71" s="2">
        <v>2843</v>
      </c>
    </row>
    <row r="72" spans="1:17" ht="143.25" customHeight="1" x14ac:dyDescent="0.25">
      <c r="A72" s="5" t="str">
        <f>_xll.JChemExcel.Functions.JCSYSStructure("39195DCCA5ECDBF5E03EF5F62D7C86FE")</f>
        <v/>
      </c>
      <c r="B72" s="3" t="s">
        <v>512</v>
      </c>
      <c r="C72" s="3" t="s">
        <v>513</v>
      </c>
      <c r="D72" s="2" t="s">
        <v>515</v>
      </c>
      <c r="E72" s="2" t="s">
        <v>7300</v>
      </c>
      <c r="F72" s="3" t="s">
        <v>514</v>
      </c>
      <c r="G72" s="2" t="s">
        <v>516</v>
      </c>
      <c r="H72" s="8">
        <v>337.4</v>
      </c>
      <c r="I72" s="2" t="s">
        <v>22</v>
      </c>
      <c r="J72" s="2" t="s">
        <v>26</v>
      </c>
      <c r="K72" s="2">
        <v>1</v>
      </c>
      <c r="L72" s="2" t="s">
        <v>20</v>
      </c>
      <c r="M72" s="2">
        <v>1986</v>
      </c>
      <c r="N72" s="3" t="s">
        <v>517</v>
      </c>
      <c r="O72" s="3" t="s">
        <v>518</v>
      </c>
      <c r="P72" s="3" t="s">
        <v>519</v>
      </c>
      <c r="Q72" s="2">
        <v>2843</v>
      </c>
    </row>
    <row r="73" spans="1:17" ht="143.25" customHeight="1" x14ac:dyDescent="0.25">
      <c r="A73" s="5" t="str">
        <f>_xll.JChemExcel.Functions.JCSYSStructure("48104E490E6C761DD2FC6C4A5539A6AA")</f>
        <v/>
      </c>
      <c r="B73" s="3" t="s">
        <v>520</v>
      </c>
      <c r="C73" s="3" t="s">
        <v>521</v>
      </c>
      <c r="D73" s="2" t="s">
        <v>523</v>
      </c>
      <c r="E73" s="2" t="s">
        <v>7301</v>
      </c>
      <c r="F73" s="3" t="s">
        <v>522</v>
      </c>
      <c r="G73" s="2" t="s">
        <v>524</v>
      </c>
      <c r="H73" s="8">
        <v>137.1</v>
      </c>
      <c r="I73" s="2" t="s">
        <v>22</v>
      </c>
      <c r="J73" s="2" t="s">
        <v>26</v>
      </c>
      <c r="K73" s="2">
        <v>1</v>
      </c>
      <c r="L73" s="2" t="s">
        <v>20</v>
      </c>
      <c r="M73" s="2" t="s">
        <v>124</v>
      </c>
      <c r="N73" s="3" t="s">
        <v>525</v>
      </c>
      <c r="O73" s="3" t="s">
        <v>526</v>
      </c>
      <c r="P73" s="3" t="s">
        <v>527</v>
      </c>
      <c r="Q73" s="2">
        <v>2843</v>
      </c>
    </row>
    <row r="74" spans="1:17" ht="143.25" customHeight="1" x14ac:dyDescent="0.25">
      <c r="A74" s="5" t="str">
        <f>_xll.JChemExcel.Functions.JCSYSStructure("AC78266FC9689551E57118CEBDD78091")</f>
        <v/>
      </c>
      <c r="B74" s="3" t="s">
        <v>528</v>
      </c>
      <c r="C74" s="3" t="s">
        <v>529</v>
      </c>
      <c r="D74" s="2" t="s">
        <v>531</v>
      </c>
      <c r="E74" s="2" t="s">
        <v>7302</v>
      </c>
      <c r="F74" s="3" t="s">
        <v>530</v>
      </c>
      <c r="G74" s="2" t="s">
        <v>532</v>
      </c>
      <c r="H74" s="8">
        <v>300.2</v>
      </c>
      <c r="I74" s="2" t="s">
        <v>22</v>
      </c>
      <c r="J74" s="2" t="s">
        <v>26</v>
      </c>
      <c r="K74" s="2">
        <v>1</v>
      </c>
      <c r="L74" s="2" t="s">
        <v>20</v>
      </c>
      <c r="M74" s="2">
        <v>1991</v>
      </c>
      <c r="N74" s="3" t="s">
        <v>533</v>
      </c>
      <c r="O74" s="3" t="s">
        <v>534</v>
      </c>
      <c r="P74" s="3" t="s">
        <v>535</v>
      </c>
      <c r="Q74" s="2">
        <v>2843</v>
      </c>
    </row>
    <row r="75" spans="1:17" ht="143.25" customHeight="1" x14ac:dyDescent="0.25">
      <c r="A75" s="5" t="str">
        <f>_xll.JChemExcel.Functions.JCSYSStructure("D18A7F946B178B23C4C4B31DFEECD574")</f>
        <v/>
      </c>
      <c r="B75" s="3" t="s">
        <v>536</v>
      </c>
      <c r="C75" s="3" t="s">
        <v>537</v>
      </c>
      <c r="D75" s="2" t="s">
        <v>539</v>
      </c>
      <c r="E75" s="2" t="s">
        <v>7303</v>
      </c>
      <c r="F75" s="3" t="s">
        <v>538</v>
      </c>
      <c r="G75" s="2" t="s">
        <v>540</v>
      </c>
      <c r="H75" s="8">
        <v>460</v>
      </c>
      <c r="I75" s="2" t="s">
        <v>22</v>
      </c>
      <c r="J75" s="2" t="s">
        <v>26</v>
      </c>
      <c r="K75" s="2">
        <v>1</v>
      </c>
      <c r="L75" s="2" t="s">
        <v>20</v>
      </c>
      <c r="M75" s="2">
        <v>1977</v>
      </c>
      <c r="N75" s="3" t="s">
        <v>541</v>
      </c>
      <c r="O75" s="3" t="s">
        <v>542</v>
      </c>
      <c r="P75" s="3" t="s">
        <v>543</v>
      </c>
      <c r="Q75" s="2">
        <v>2843</v>
      </c>
    </row>
    <row r="76" spans="1:17" ht="143.25" customHeight="1" x14ac:dyDescent="0.25">
      <c r="A76" s="5" t="str">
        <f>_xll.JChemExcel.Functions.JCSYSStructure("9A15148CC9297845786DCC1F234B1918")</f>
        <v/>
      </c>
      <c r="B76" s="3" t="s">
        <v>544</v>
      </c>
      <c r="C76" s="3" t="s">
        <v>545</v>
      </c>
      <c r="D76" s="2" t="s">
        <v>547</v>
      </c>
      <c r="E76" s="2" t="s">
        <v>7304</v>
      </c>
      <c r="F76" s="3" t="s">
        <v>546</v>
      </c>
      <c r="G76" s="2" t="s">
        <v>548</v>
      </c>
      <c r="H76" s="8">
        <v>488.6</v>
      </c>
      <c r="I76" s="2" t="s">
        <v>22</v>
      </c>
      <c r="J76" s="2" t="s">
        <v>26</v>
      </c>
      <c r="K76" s="2">
        <v>1</v>
      </c>
      <c r="L76" s="2" t="s">
        <v>20</v>
      </c>
      <c r="M76" s="2" t="s">
        <v>124</v>
      </c>
      <c r="N76" s="3" t="s">
        <v>549</v>
      </c>
      <c r="O76" s="3" t="s">
        <v>550</v>
      </c>
      <c r="P76" s="3" t="s">
        <v>551</v>
      </c>
      <c r="Q76" s="2">
        <v>2843</v>
      </c>
    </row>
    <row r="77" spans="1:17" ht="143.25" customHeight="1" x14ac:dyDescent="0.25">
      <c r="A77" s="5" t="str">
        <f>_xll.JChemExcel.Functions.JCSYSStructure("68FBB910A63BED7320754190912E1E96")</f>
        <v/>
      </c>
      <c r="B77" s="3" t="s">
        <v>552</v>
      </c>
      <c r="C77" s="3" t="s">
        <v>553</v>
      </c>
      <c r="D77" s="2" t="s">
        <v>555</v>
      </c>
      <c r="E77" s="2" t="s">
        <v>7305</v>
      </c>
      <c r="F77" s="3" t="s">
        <v>554</v>
      </c>
      <c r="G77" s="2" t="s">
        <v>556</v>
      </c>
      <c r="H77" s="8">
        <v>337.4</v>
      </c>
      <c r="I77" s="2" t="s">
        <v>22</v>
      </c>
      <c r="J77" s="2" t="s">
        <v>26</v>
      </c>
      <c r="K77" s="2">
        <v>1</v>
      </c>
      <c r="L77" s="2" t="s">
        <v>20</v>
      </c>
      <c r="M77" s="2">
        <v>2000</v>
      </c>
      <c r="N77" s="3" t="s">
        <v>51</v>
      </c>
      <c r="O77" s="3" t="s">
        <v>557</v>
      </c>
      <c r="P77" s="3" t="s">
        <v>558</v>
      </c>
      <c r="Q77" s="2">
        <v>2843</v>
      </c>
    </row>
    <row r="78" spans="1:17" ht="143.25" customHeight="1" x14ac:dyDescent="0.25">
      <c r="A78" s="5" t="str">
        <f>_xll.JChemExcel.Functions.JCSYSStructure("975AE4D4FB81FF9766C638656E1DDAFB")</f>
        <v/>
      </c>
      <c r="B78" s="3" t="s">
        <v>559</v>
      </c>
      <c r="C78" s="3" t="s">
        <v>560</v>
      </c>
      <c r="D78" s="2" t="s">
        <v>561</v>
      </c>
      <c r="E78" s="2" t="s">
        <v>7306</v>
      </c>
      <c r="F78" s="3" t="s">
        <v>7936</v>
      </c>
      <c r="G78" s="2" t="s">
        <v>562</v>
      </c>
      <c r="H78" s="8">
        <v>807.9</v>
      </c>
      <c r="I78" s="2" t="s">
        <v>22</v>
      </c>
      <c r="J78" s="2" t="s">
        <v>26</v>
      </c>
      <c r="K78" s="2">
        <v>1</v>
      </c>
      <c r="L78" s="2" t="s">
        <v>20</v>
      </c>
      <c r="M78" s="2">
        <v>1996</v>
      </c>
      <c r="N78" s="3" t="s">
        <v>563</v>
      </c>
      <c r="O78" s="3" t="s">
        <v>564</v>
      </c>
      <c r="P78" s="3" t="s">
        <v>565</v>
      </c>
      <c r="Q78" s="2">
        <v>2843</v>
      </c>
    </row>
    <row r="79" spans="1:17" ht="143.25" customHeight="1" x14ac:dyDescent="0.25">
      <c r="A79" s="5" t="str">
        <f>_xll.JChemExcel.Functions.JCSYSStructure("14DD8556717FFEE7A53D40BA65520A3F")</f>
        <v/>
      </c>
      <c r="B79" s="3" t="s">
        <v>566</v>
      </c>
      <c r="C79" s="3" t="s">
        <v>567</v>
      </c>
      <c r="D79" s="2" t="s">
        <v>569</v>
      </c>
      <c r="E79" s="2" t="s">
        <v>7307</v>
      </c>
      <c r="F79" s="3" t="s">
        <v>568</v>
      </c>
      <c r="G79" s="2" t="s">
        <v>570</v>
      </c>
      <c r="H79" s="8">
        <v>337.4</v>
      </c>
      <c r="I79" s="2" t="s">
        <v>22</v>
      </c>
      <c r="J79" s="2" t="s">
        <v>26</v>
      </c>
      <c r="K79" s="2">
        <v>1</v>
      </c>
      <c r="L79" s="2" t="s">
        <v>20</v>
      </c>
      <c r="M79" s="2" t="s">
        <v>124</v>
      </c>
      <c r="N79" s="3" t="s">
        <v>571</v>
      </c>
      <c r="O79" s="3" t="s">
        <v>572</v>
      </c>
      <c r="P79" s="3" t="s">
        <v>573</v>
      </c>
      <c r="Q79" s="2">
        <v>2843</v>
      </c>
    </row>
    <row r="80" spans="1:17" ht="143.25" customHeight="1" x14ac:dyDescent="0.25">
      <c r="A80" s="5" t="str">
        <f>_xll.JChemExcel.Functions.JCSYSStructure("48D77818CB7098C4FC97DEB6586C6864")</f>
        <v/>
      </c>
      <c r="B80" s="3" t="s">
        <v>574</v>
      </c>
      <c r="C80" s="3" t="s">
        <v>575</v>
      </c>
      <c r="D80" s="2" t="s">
        <v>577</v>
      </c>
      <c r="E80" s="2" t="s">
        <v>7308</v>
      </c>
      <c r="F80" s="3" t="s">
        <v>576</v>
      </c>
      <c r="G80" s="2" t="s">
        <v>578</v>
      </c>
      <c r="H80" s="8">
        <v>273.2</v>
      </c>
      <c r="I80" s="2" t="s">
        <v>22</v>
      </c>
      <c r="J80" s="2" t="s">
        <v>26</v>
      </c>
      <c r="K80" s="2">
        <v>1</v>
      </c>
      <c r="L80" s="2" t="s">
        <v>20</v>
      </c>
      <c r="M80" s="2">
        <v>1998</v>
      </c>
      <c r="N80" s="3" t="s">
        <v>579</v>
      </c>
      <c r="O80" s="3" t="s">
        <v>580</v>
      </c>
      <c r="P80" s="3" t="s">
        <v>581</v>
      </c>
      <c r="Q80" s="2">
        <v>2843</v>
      </c>
    </row>
    <row r="81" spans="1:17" ht="143.25" customHeight="1" x14ac:dyDescent="0.25">
      <c r="A81" s="5" t="str">
        <f>_xll.JChemExcel.Functions.JCSYSStructure("AFAD1AB421A12F16B6CC815F122A6826")</f>
        <v/>
      </c>
      <c r="B81" s="3" t="s">
        <v>582</v>
      </c>
      <c r="C81" s="3" t="s">
        <v>583</v>
      </c>
      <c r="D81" s="2" t="s">
        <v>585</v>
      </c>
      <c r="E81" s="2" t="s">
        <v>7309</v>
      </c>
      <c r="F81" s="3" t="s">
        <v>584</v>
      </c>
      <c r="G81" s="2" t="s">
        <v>586</v>
      </c>
      <c r="H81" s="8">
        <v>446.5</v>
      </c>
      <c r="I81" s="2" t="s">
        <v>22</v>
      </c>
      <c r="J81" s="2" t="s">
        <v>26</v>
      </c>
      <c r="K81" s="2">
        <v>1</v>
      </c>
      <c r="L81" s="2" t="s">
        <v>20</v>
      </c>
      <c r="M81" s="2" t="s">
        <v>124</v>
      </c>
      <c r="N81" s="3" t="s">
        <v>587</v>
      </c>
      <c r="O81" s="3" t="s">
        <v>588</v>
      </c>
      <c r="P81" s="3" t="s">
        <v>53</v>
      </c>
      <c r="Q81" s="2">
        <v>2843</v>
      </c>
    </row>
    <row r="82" spans="1:17" ht="143.25" customHeight="1" x14ac:dyDescent="0.25">
      <c r="A82" s="5" t="str">
        <f>_xll.JChemExcel.Functions.JCSYSStructure("E36E34104560C48ABD9CBC8625EF03DB")</f>
        <v/>
      </c>
      <c r="B82" s="3" t="s">
        <v>589</v>
      </c>
      <c r="C82" s="3" t="s">
        <v>590</v>
      </c>
      <c r="D82" s="2" t="s">
        <v>592</v>
      </c>
      <c r="E82" s="2" t="s">
        <v>7310</v>
      </c>
      <c r="F82" s="3" t="s">
        <v>591</v>
      </c>
      <c r="G82" s="2" t="s">
        <v>593</v>
      </c>
      <c r="H82" s="8">
        <v>388.4</v>
      </c>
      <c r="I82" s="2" t="s">
        <v>22</v>
      </c>
      <c r="J82" s="2" t="s">
        <v>26</v>
      </c>
      <c r="K82" s="2">
        <v>2</v>
      </c>
      <c r="L82" s="2" t="s">
        <v>20</v>
      </c>
      <c r="M82" s="2">
        <v>1995</v>
      </c>
      <c r="N82" s="3" t="s">
        <v>594</v>
      </c>
      <c r="O82" s="3" t="s">
        <v>595</v>
      </c>
      <c r="P82" s="3" t="s">
        <v>596</v>
      </c>
      <c r="Q82" s="2">
        <v>2843</v>
      </c>
    </row>
    <row r="83" spans="1:17" ht="143.25" customHeight="1" x14ac:dyDescent="0.25">
      <c r="A83" s="5" t="str">
        <f>_xll.JChemExcel.Functions.JCSYSStructure("08E8D1CE351B5D8CB26933AA1914A782")</f>
        <v/>
      </c>
      <c r="B83" s="3" t="s">
        <v>597</v>
      </c>
      <c r="C83" s="3" t="s">
        <v>598</v>
      </c>
      <c r="D83" s="2" t="s">
        <v>600</v>
      </c>
      <c r="E83" s="2" t="s">
        <v>7311</v>
      </c>
      <c r="F83" s="3" t="s">
        <v>599</v>
      </c>
      <c r="G83" s="2" t="s">
        <v>601</v>
      </c>
      <c r="H83" s="8">
        <v>312.39999999999998</v>
      </c>
      <c r="I83" s="2" t="s">
        <v>22</v>
      </c>
      <c r="J83" s="2" t="s">
        <v>26</v>
      </c>
      <c r="K83" s="2">
        <v>2</v>
      </c>
      <c r="L83" s="2" t="s">
        <v>20</v>
      </c>
      <c r="M83" s="2">
        <v>1996</v>
      </c>
      <c r="N83" s="3" t="s">
        <v>602</v>
      </c>
      <c r="O83" s="3" t="s">
        <v>603</v>
      </c>
      <c r="P83" s="3" t="s">
        <v>604</v>
      </c>
      <c r="Q83" s="2">
        <v>2843</v>
      </c>
    </row>
    <row r="84" spans="1:17" ht="143.25" customHeight="1" x14ac:dyDescent="0.25">
      <c r="A84" s="5" t="str">
        <f>_xll.JChemExcel.Functions.JCSYSStructure("FDBA627AA1E3E3F002AD0FDAFDD87A5C")</f>
        <v/>
      </c>
      <c r="B84" s="3" t="s">
        <v>605</v>
      </c>
      <c r="C84" s="3" t="s">
        <v>606</v>
      </c>
      <c r="D84" s="2" t="s">
        <v>608</v>
      </c>
      <c r="E84" s="2" t="s">
        <v>7312</v>
      </c>
      <c r="F84" s="3" t="s">
        <v>607</v>
      </c>
      <c r="G84" s="2" t="s">
        <v>609</v>
      </c>
      <c r="H84" s="8">
        <v>404.5</v>
      </c>
      <c r="I84" s="2" t="s">
        <v>22</v>
      </c>
      <c r="J84" s="2" t="s">
        <v>26</v>
      </c>
      <c r="K84" s="2">
        <v>2</v>
      </c>
      <c r="L84" s="2" t="s">
        <v>20</v>
      </c>
      <c r="M84" s="2">
        <v>1987</v>
      </c>
      <c r="N84" s="3" t="s">
        <v>610</v>
      </c>
      <c r="O84" s="3" t="s">
        <v>611</v>
      </c>
      <c r="P84" s="3" t="s">
        <v>612</v>
      </c>
      <c r="Q84" s="2">
        <v>2843</v>
      </c>
    </row>
    <row r="85" spans="1:17" ht="143.25" customHeight="1" x14ac:dyDescent="0.25">
      <c r="A85" s="5" t="str">
        <f>_xll.JChemExcel.Functions.JCSYSStructure("A0F52AD3754ACC909185B5C68CD5E2A5")</f>
        <v/>
      </c>
      <c r="B85" s="3" t="s">
        <v>613</v>
      </c>
      <c r="C85" s="3" t="s">
        <v>614</v>
      </c>
      <c r="D85" s="2" t="s">
        <v>616</v>
      </c>
      <c r="E85" s="2">
        <v>430160</v>
      </c>
      <c r="F85" s="3" t="s">
        <v>615</v>
      </c>
      <c r="G85" s="2" t="s">
        <v>617</v>
      </c>
      <c r="H85" s="8">
        <v>256.10000000000002</v>
      </c>
      <c r="I85" s="2" t="s">
        <v>22</v>
      </c>
      <c r="J85" s="2" t="s">
        <v>26</v>
      </c>
      <c r="K85" s="2">
        <v>2</v>
      </c>
      <c r="L85" s="2" t="s">
        <v>20</v>
      </c>
      <c r="M85" s="2">
        <v>1994</v>
      </c>
      <c r="N85" s="3" t="s">
        <v>618</v>
      </c>
      <c r="O85" s="3" t="s">
        <v>619</v>
      </c>
      <c r="P85" s="3" t="s">
        <v>620</v>
      </c>
      <c r="Q85" s="2">
        <v>2843</v>
      </c>
    </row>
    <row r="86" spans="1:17" ht="143.25" customHeight="1" x14ac:dyDescent="0.25">
      <c r="A86" s="5" t="str">
        <f>_xll.JChemExcel.Functions.JCSYSStructure("6CB132FCB3E9BFF9CC7269BBEC2FF0D9")</f>
        <v/>
      </c>
      <c r="B86" s="3" t="s">
        <v>621</v>
      </c>
      <c r="C86" s="3" t="s">
        <v>622</v>
      </c>
      <c r="D86" s="2" t="s">
        <v>624</v>
      </c>
      <c r="E86" s="2" t="s">
        <v>7313</v>
      </c>
      <c r="F86" s="3" t="s">
        <v>623</v>
      </c>
      <c r="G86" s="2" t="s">
        <v>625</v>
      </c>
      <c r="H86" s="8">
        <v>277.3</v>
      </c>
      <c r="I86" s="2" t="s">
        <v>22</v>
      </c>
      <c r="J86" s="2" t="s">
        <v>26</v>
      </c>
      <c r="K86" s="2">
        <v>2</v>
      </c>
      <c r="L86" s="2" t="s">
        <v>20</v>
      </c>
      <c r="M86" s="2">
        <v>1968</v>
      </c>
      <c r="N86" s="3" t="s">
        <v>626</v>
      </c>
      <c r="O86" s="3" t="s">
        <v>627</v>
      </c>
      <c r="P86" s="3" t="s">
        <v>628</v>
      </c>
      <c r="Q86" s="2">
        <v>2843</v>
      </c>
    </row>
    <row r="87" spans="1:17" ht="143.25" customHeight="1" x14ac:dyDescent="0.25">
      <c r="A87" s="5" t="str">
        <f>_xll.JChemExcel.Functions.JCSYSStructure("4A062F796FD211F09F3832EB92053940")</f>
        <v/>
      </c>
      <c r="B87" s="3" t="s">
        <v>629</v>
      </c>
      <c r="C87" s="3" t="s">
        <v>630</v>
      </c>
      <c r="D87" s="2" t="s">
        <v>632</v>
      </c>
      <c r="E87" s="2" t="s">
        <v>7314</v>
      </c>
      <c r="F87" s="3" t="s">
        <v>631</v>
      </c>
      <c r="G87" s="2" t="s">
        <v>633</v>
      </c>
      <c r="H87" s="8">
        <v>666.7</v>
      </c>
      <c r="I87" s="2" t="s">
        <v>22</v>
      </c>
      <c r="J87" s="2" t="s">
        <v>26</v>
      </c>
      <c r="K87" s="2">
        <v>2</v>
      </c>
      <c r="L87" s="2" t="s">
        <v>20</v>
      </c>
      <c r="M87" s="2">
        <v>1998</v>
      </c>
      <c r="N87" s="3" t="s">
        <v>634</v>
      </c>
      <c r="O87" s="3" t="s">
        <v>635</v>
      </c>
      <c r="P87" s="3" t="s">
        <v>53</v>
      </c>
      <c r="Q87" s="2">
        <v>2843</v>
      </c>
    </row>
    <row r="88" spans="1:17" ht="143.25" customHeight="1" x14ac:dyDescent="0.25">
      <c r="A88" s="5" t="str">
        <f>_xll.JChemExcel.Functions.JCSYSStructure("093D8EDE577DE1308FEBA68A1FDA7B90")</f>
        <v/>
      </c>
      <c r="B88" s="3" t="s">
        <v>636</v>
      </c>
      <c r="C88" s="3" t="s">
        <v>637</v>
      </c>
      <c r="D88" s="2" t="s">
        <v>639</v>
      </c>
      <c r="E88" s="2" t="s">
        <v>7315</v>
      </c>
      <c r="F88" s="3" t="s">
        <v>638</v>
      </c>
      <c r="G88" s="2" t="s">
        <v>640</v>
      </c>
      <c r="H88" s="8">
        <v>366.8</v>
      </c>
      <c r="I88" s="2" t="s">
        <v>22</v>
      </c>
      <c r="J88" s="2" t="s">
        <v>26</v>
      </c>
      <c r="K88" s="2">
        <v>2</v>
      </c>
      <c r="L88" s="2" t="s">
        <v>20</v>
      </c>
      <c r="M88" s="2">
        <v>1992</v>
      </c>
      <c r="N88" s="3" t="s">
        <v>641</v>
      </c>
      <c r="O88" s="3" t="s">
        <v>642</v>
      </c>
      <c r="P88" s="3" t="s">
        <v>643</v>
      </c>
      <c r="Q88" s="2">
        <v>2843</v>
      </c>
    </row>
    <row r="89" spans="1:17" ht="143.25" customHeight="1" x14ac:dyDescent="0.25">
      <c r="A89" s="5" t="str">
        <f>_xll.JChemExcel.Functions.JCSYSStructure("BAADB87587CC57DAC599C26C8AB94688")</f>
        <v/>
      </c>
      <c r="B89" s="3" t="s">
        <v>644</v>
      </c>
      <c r="C89" s="3" t="s">
        <v>645</v>
      </c>
      <c r="D89" s="2" t="s">
        <v>646</v>
      </c>
      <c r="E89" s="2" t="s">
        <v>7316</v>
      </c>
      <c r="F89" s="3" t="s">
        <v>7937</v>
      </c>
      <c r="G89" s="2" t="s">
        <v>647</v>
      </c>
      <c r="H89" s="8">
        <v>437.8</v>
      </c>
      <c r="I89" s="2" t="s">
        <v>22</v>
      </c>
      <c r="J89" s="2" t="s">
        <v>26</v>
      </c>
      <c r="K89" s="2">
        <v>2</v>
      </c>
      <c r="L89" s="2" t="s">
        <v>20</v>
      </c>
      <c r="M89" s="2" t="s">
        <v>124</v>
      </c>
      <c r="N89" s="3" t="s">
        <v>648</v>
      </c>
      <c r="O89" s="3" t="s">
        <v>649</v>
      </c>
      <c r="P89" s="3" t="s">
        <v>650</v>
      </c>
      <c r="Q89" s="2">
        <v>2843</v>
      </c>
    </row>
    <row r="90" spans="1:17" ht="143.25" customHeight="1" x14ac:dyDescent="0.25">
      <c r="A90" s="5" t="str">
        <f>_xll.JChemExcel.Functions.JCSYSStructure("E2803BA44408CCDBA2A31909A8D2CC80")</f>
        <v/>
      </c>
      <c r="B90" s="3" t="s">
        <v>651</v>
      </c>
      <c r="C90" s="3" t="s">
        <v>652</v>
      </c>
      <c r="D90" s="2" t="s">
        <v>654</v>
      </c>
      <c r="E90" s="2" t="s">
        <v>7317</v>
      </c>
      <c r="F90" s="3" t="s">
        <v>653</v>
      </c>
      <c r="G90" s="2" t="s">
        <v>655</v>
      </c>
      <c r="H90" s="8">
        <v>571.5</v>
      </c>
      <c r="I90" s="2" t="s">
        <v>22</v>
      </c>
      <c r="J90" s="2" t="s">
        <v>26</v>
      </c>
      <c r="K90" s="2">
        <v>2</v>
      </c>
      <c r="L90" s="2" t="s">
        <v>20</v>
      </c>
      <c r="M90" s="2">
        <v>1996</v>
      </c>
      <c r="N90" s="3" t="s">
        <v>23</v>
      </c>
      <c r="O90" s="3" t="s">
        <v>656</v>
      </c>
      <c r="P90" s="3" t="s">
        <v>53</v>
      </c>
      <c r="Q90" s="2">
        <v>2843</v>
      </c>
    </row>
    <row r="91" spans="1:17" ht="143.25" customHeight="1" x14ac:dyDescent="0.25">
      <c r="A91" s="5" t="str">
        <f>_xll.JChemExcel.Functions.JCSYSStructure("A3C67D3DED0E2210AF7A72199F34837A")</f>
        <v/>
      </c>
      <c r="B91" s="3" t="s">
        <v>657</v>
      </c>
      <c r="C91" s="3" t="s">
        <v>658</v>
      </c>
      <c r="D91" s="2" t="s">
        <v>660</v>
      </c>
      <c r="E91" s="2" t="s">
        <v>7318</v>
      </c>
      <c r="F91" s="3" t="s">
        <v>659</v>
      </c>
      <c r="G91" s="2" t="s">
        <v>661</v>
      </c>
      <c r="H91" s="8">
        <v>448.4</v>
      </c>
      <c r="I91" s="2" t="s">
        <v>22</v>
      </c>
      <c r="J91" s="2" t="s">
        <v>26</v>
      </c>
      <c r="K91" s="2">
        <v>2</v>
      </c>
      <c r="L91" s="2" t="s">
        <v>20</v>
      </c>
      <c r="M91" s="2">
        <v>2002</v>
      </c>
      <c r="N91" s="3" t="s">
        <v>94</v>
      </c>
      <c r="O91" s="3" t="s">
        <v>662</v>
      </c>
      <c r="P91" s="3" t="s">
        <v>663</v>
      </c>
      <c r="Q91" s="2">
        <v>2843</v>
      </c>
    </row>
    <row r="92" spans="1:17" ht="143.25" customHeight="1" x14ac:dyDescent="0.25">
      <c r="A92" s="5" t="str">
        <f>_xll.JChemExcel.Functions.JCSYSStructure("24CC03A1D1E995D2A9389EE3D627AC7C")</f>
        <v/>
      </c>
      <c r="B92" s="3" t="s">
        <v>664</v>
      </c>
      <c r="C92" s="3" t="s">
        <v>665</v>
      </c>
      <c r="D92" s="2" t="s">
        <v>667</v>
      </c>
      <c r="E92" s="2" t="s">
        <v>7319</v>
      </c>
      <c r="F92" s="3" t="s">
        <v>666</v>
      </c>
      <c r="G92" s="2" t="s">
        <v>668</v>
      </c>
      <c r="H92" s="8">
        <v>440.5</v>
      </c>
      <c r="I92" s="2" t="s">
        <v>22</v>
      </c>
      <c r="J92" s="2" t="s">
        <v>26</v>
      </c>
      <c r="K92" s="2">
        <v>2</v>
      </c>
      <c r="L92" s="2" t="s">
        <v>20</v>
      </c>
      <c r="M92" s="2" t="s">
        <v>124</v>
      </c>
      <c r="N92" s="3" t="s">
        <v>587</v>
      </c>
      <c r="O92" s="3" t="s">
        <v>669</v>
      </c>
      <c r="P92" s="3" t="s">
        <v>670</v>
      </c>
      <c r="Q92" s="2">
        <v>2843</v>
      </c>
    </row>
    <row r="93" spans="1:17" ht="143.25" customHeight="1" x14ac:dyDescent="0.25">
      <c r="A93" s="5" t="str">
        <f>_xll.JChemExcel.Functions.JCSYSStructure("E6972127650658EA39142E0F3524B161")</f>
        <v/>
      </c>
      <c r="B93" s="3" t="s">
        <v>671</v>
      </c>
      <c r="C93" s="3" t="s">
        <v>672</v>
      </c>
      <c r="D93" s="2" t="s">
        <v>674</v>
      </c>
      <c r="E93" s="2" t="s">
        <v>7320</v>
      </c>
      <c r="F93" s="3" t="s">
        <v>673</v>
      </c>
      <c r="G93" s="2" t="s">
        <v>675</v>
      </c>
      <c r="H93" s="8">
        <v>353.92811999999998</v>
      </c>
      <c r="I93" s="2" t="s">
        <v>22</v>
      </c>
      <c r="J93" s="2" t="s">
        <v>26</v>
      </c>
      <c r="K93" s="2">
        <v>2</v>
      </c>
      <c r="L93" s="2" t="s">
        <v>20</v>
      </c>
      <c r="M93" s="2">
        <v>1996</v>
      </c>
      <c r="N93" s="3" t="s">
        <v>676</v>
      </c>
      <c r="O93" s="3" t="s">
        <v>677</v>
      </c>
      <c r="P93" s="3" t="s">
        <v>53</v>
      </c>
      <c r="Q93" s="2">
        <v>2843</v>
      </c>
    </row>
    <row r="94" spans="1:17" ht="143.25" customHeight="1" x14ac:dyDescent="0.25">
      <c r="A94" s="5" t="str">
        <f>_xll.JChemExcel.Functions.JCSYSStructure("17C0646AA6D4E9D36F02CE48F1459945")</f>
        <v/>
      </c>
      <c r="B94" s="3" t="s">
        <v>678</v>
      </c>
      <c r="C94" s="3" t="s">
        <v>679</v>
      </c>
      <c r="D94" s="2" t="s">
        <v>681</v>
      </c>
      <c r="E94" s="2" t="s">
        <v>7321</v>
      </c>
      <c r="F94" s="3" t="s">
        <v>680</v>
      </c>
      <c r="G94" s="2" t="s">
        <v>682</v>
      </c>
      <c r="H94" s="8">
        <v>360.9</v>
      </c>
      <c r="I94" s="2" t="s">
        <v>22</v>
      </c>
      <c r="J94" s="2" t="s">
        <v>26</v>
      </c>
      <c r="K94" s="2">
        <v>2</v>
      </c>
      <c r="L94" s="2" t="s">
        <v>20</v>
      </c>
      <c r="M94" s="2">
        <v>1994</v>
      </c>
      <c r="N94" s="3" t="s">
        <v>183</v>
      </c>
      <c r="O94" s="3" t="s">
        <v>683</v>
      </c>
      <c r="P94" s="3" t="s">
        <v>53</v>
      </c>
      <c r="Q94" s="2">
        <v>2843</v>
      </c>
    </row>
    <row r="95" spans="1:17" ht="143.25" customHeight="1" x14ac:dyDescent="0.25">
      <c r="A95" s="5" t="str">
        <f>_xll.JChemExcel.Functions.JCSYSStructure("230884F3AF63FC697EA14492A686B05E")</f>
        <v/>
      </c>
      <c r="B95" s="3" t="s">
        <v>684</v>
      </c>
      <c r="C95" s="3" t="s">
        <v>685</v>
      </c>
      <c r="D95" s="2" t="s">
        <v>686</v>
      </c>
      <c r="E95" s="2" t="s">
        <v>7322</v>
      </c>
      <c r="F95" s="3" t="s">
        <v>7938</v>
      </c>
      <c r="G95" s="2" t="s">
        <v>687</v>
      </c>
      <c r="H95" s="8">
        <v>414.43</v>
      </c>
      <c r="I95" s="2" t="s">
        <v>22</v>
      </c>
      <c r="J95" s="2" t="s">
        <v>26</v>
      </c>
      <c r="K95" s="2">
        <v>2</v>
      </c>
      <c r="L95" s="2" t="s">
        <v>20</v>
      </c>
      <c r="M95" s="2" t="s">
        <v>124</v>
      </c>
      <c r="N95" s="3" t="s">
        <v>481</v>
      </c>
      <c r="O95" s="3" t="s">
        <v>688</v>
      </c>
      <c r="P95" s="3" t="s">
        <v>689</v>
      </c>
      <c r="Q95" s="2">
        <v>2843</v>
      </c>
    </row>
    <row r="96" spans="1:17" ht="143.25" customHeight="1" x14ac:dyDescent="0.25">
      <c r="A96" s="5" t="str">
        <f>_xll.JChemExcel.Functions.JCSYSStructure("3D79240ED3EC2013C658048E4405CD1F")</f>
        <v/>
      </c>
      <c r="B96" s="3" t="s">
        <v>690</v>
      </c>
      <c r="C96" s="3" t="s">
        <v>691</v>
      </c>
      <c r="D96" s="2" t="s">
        <v>693</v>
      </c>
      <c r="E96" s="2" t="s">
        <v>7323</v>
      </c>
      <c r="F96" s="3" t="s">
        <v>692</v>
      </c>
      <c r="G96" s="2" t="s">
        <v>694</v>
      </c>
      <c r="H96" s="8">
        <v>520.6</v>
      </c>
      <c r="I96" s="2" t="s">
        <v>22</v>
      </c>
      <c r="J96" s="2" t="s">
        <v>26</v>
      </c>
      <c r="K96" s="2">
        <v>2</v>
      </c>
      <c r="L96" s="2" t="s">
        <v>20</v>
      </c>
      <c r="M96" s="2">
        <v>1997</v>
      </c>
      <c r="N96" s="3" t="s">
        <v>183</v>
      </c>
      <c r="O96" s="3" t="s">
        <v>695</v>
      </c>
      <c r="P96" s="3" t="s">
        <v>696</v>
      </c>
      <c r="Q96" s="2">
        <v>2843</v>
      </c>
    </row>
    <row r="97" spans="1:17" ht="143.25" customHeight="1" x14ac:dyDescent="0.25">
      <c r="A97" s="5" t="str">
        <f>_xll.JChemExcel.Functions.JCSYSStructure("FFAABF4A4BB7CCA4885749637C384FC4")</f>
        <v/>
      </c>
      <c r="B97" s="3" t="s">
        <v>697</v>
      </c>
      <c r="C97" s="3" t="s">
        <v>698</v>
      </c>
      <c r="D97" s="2" t="s">
        <v>700</v>
      </c>
      <c r="E97" s="2" t="s">
        <v>7324</v>
      </c>
      <c r="F97" s="3" t="s">
        <v>699</v>
      </c>
      <c r="G97" s="2" t="s">
        <v>701</v>
      </c>
      <c r="H97" s="8">
        <v>305.3</v>
      </c>
      <c r="I97" s="2" t="s">
        <v>22</v>
      </c>
      <c r="J97" s="2" t="s">
        <v>26</v>
      </c>
      <c r="K97" s="2">
        <v>2</v>
      </c>
      <c r="L97" s="2" t="s">
        <v>20</v>
      </c>
      <c r="M97" s="2">
        <v>1999</v>
      </c>
      <c r="N97" s="3" t="s">
        <v>702</v>
      </c>
      <c r="O97" s="3" t="s">
        <v>703</v>
      </c>
      <c r="P97" s="3" t="s">
        <v>704</v>
      </c>
      <c r="Q97" s="2">
        <v>2843</v>
      </c>
    </row>
    <row r="98" spans="1:17" ht="143.25" customHeight="1" x14ac:dyDescent="0.25">
      <c r="A98" s="5" t="str">
        <f>_xll.JChemExcel.Functions.JCSYSStructure("510BCDFE47A74392BEA6EB44EC1CFAA5")</f>
        <v/>
      </c>
      <c r="B98" s="3" t="s">
        <v>7202</v>
      </c>
      <c r="C98" s="3" t="s">
        <v>7201</v>
      </c>
      <c r="D98" s="2" t="s">
        <v>705</v>
      </c>
      <c r="E98" s="2" t="s">
        <v>7325</v>
      </c>
      <c r="F98" s="3" t="s">
        <v>7939</v>
      </c>
      <c r="G98" s="2" t="s">
        <v>7940</v>
      </c>
      <c r="H98" s="8">
        <v>1512.6</v>
      </c>
      <c r="I98" s="2" t="s">
        <v>22</v>
      </c>
      <c r="J98" s="2" t="s">
        <v>26</v>
      </c>
      <c r="K98" s="2">
        <v>2</v>
      </c>
      <c r="L98" s="2" t="s">
        <v>20</v>
      </c>
      <c r="M98" s="2">
        <v>1973</v>
      </c>
      <c r="N98" s="3" t="s">
        <v>563</v>
      </c>
      <c r="O98" s="3" t="s">
        <v>706</v>
      </c>
      <c r="P98" s="3" t="s">
        <v>707</v>
      </c>
      <c r="Q98" s="2">
        <v>2843</v>
      </c>
    </row>
    <row r="99" spans="1:17" ht="143.25" customHeight="1" x14ac:dyDescent="0.25">
      <c r="A99" s="5" t="str">
        <f>_xll.JChemExcel.Functions.JCSYSStructure("8B10A0B3DCBA135149A4D0E200D0F2AF")</f>
        <v/>
      </c>
      <c r="B99" s="3" t="s">
        <v>708</v>
      </c>
      <c r="C99" s="3" t="s">
        <v>709</v>
      </c>
      <c r="D99" s="2" t="s">
        <v>711</v>
      </c>
      <c r="E99" s="2" t="s">
        <v>7326</v>
      </c>
      <c r="F99" s="3" t="s">
        <v>710</v>
      </c>
      <c r="G99" s="2" t="s">
        <v>712</v>
      </c>
      <c r="H99" s="8">
        <v>282.60000000000002</v>
      </c>
      <c r="I99" s="2" t="s">
        <v>22</v>
      </c>
      <c r="J99" s="2" t="s">
        <v>26</v>
      </c>
      <c r="K99" s="2">
        <v>2</v>
      </c>
      <c r="L99" s="2" t="s">
        <v>20</v>
      </c>
      <c r="M99" s="2">
        <v>1986</v>
      </c>
      <c r="N99" s="3" t="s">
        <v>183</v>
      </c>
      <c r="O99" s="3" t="s">
        <v>713</v>
      </c>
      <c r="P99" s="3" t="s">
        <v>53</v>
      </c>
      <c r="Q99" s="2">
        <v>2843</v>
      </c>
    </row>
    <row r="100" spans="1:17" ht="143.25" customHeight="1" x14ac:dyDescent="0.25">
      <c r="A100" s="5" t="str">
        <f>_xll.JChemExcel.Functions.JCSYSStructure("4395BC0846D483AD8FAA0FE34E549161")</f>
        <v/>
      </c>
      <c r="B100" s="3" t="s">
        <v>714</v>
      </c>
      <c r="C100" s="3" t="s">
        <v>715</v>
      </c>
      <c r="D100" s="2" t="s">
        <v>717</v>
      </c>
      <c r="E100" s="2" t="s">
        <v>7327</v>
      </c>
      <c r="F100" s="3" t="s">
        <v>716</v>
      </c>
      <c r="G100" s="2" t="s">
        <v>718</v>
      </c>
      <c r="H100" s="8">
        <v>290.2</v>
      </c>
      <c r="I100" s="2" t="s">
        <v>22</v>
      </c>
      <c r="J100" s="2" t="s">
        <v>26</v>
      </c>
      <c r="K100" s="2">
        <v>2</v>
      </c>
      <c r="L100" s="2" t="s">
        <v>20</v>
      </c>
      <c r="M100" s="2">
        <v>1996</v>
      </c>
      <c r="N100" s="3" t="s">
        <v>719</v>
      </c>
      <c r="O100" s="3" t="s">
        <v>720</v>
      </c>
      <c r="P100" s="3" t="s">
        <v>53</v>
      </c>
      <c r="Q100" s="2">
        <v>2843</v>
      </c>
    </row>
    <row r="101" spans="1:17" ht="143.25" customHeight="1" x14ac:dyDescent="0.25">
      <c r="A101" s="5" t="str">
        <f>_xll.JChemExcel.Functions.JCSYSStructure("E17217B8556569B846D7A975E4C1B5CC")</f>
        <v/>
      </c>
      <c r="B101" s="3" t="s">
        <v>721</v>
      </c>
      <c r="C101" s="3" t="s">
        <v>722</v>
      </c>
      <c r="D101" s="2" t="s">
        <v>724</v>
      </c>
      <c r="E101" s="2" t="s">
        <v>7328</v>
      </c>
      <c r="F101" s="3" t="s">
        <v>723</v>
      </c>
      <c r="G101" s="2" t="s">
        <v>725</v>
      </c>
      <c r="H101" s="8">
        <v>406.5</v>
      </c>
      <c r="I101" s="2" t="s">
        <v>22</v>
      </c>
      <c r="J101" s="2" t="s">
        <v>26</v>
      </c>
      <c r="K101" s="2">
        <v>2</v>
      </c>
      <c r="L101" s="2" t="s">
        <v>20</v>
      </c>
      <c r="M101" s="2">
        <v>1995</v>
      </c>
      <c r="N101" s="3" t="s">
        <v>726</v>
      </c>
      <c r="O101" s="3" t="s">
        <v>727</v>
      </c>
      <c r="P101" s="3" t="s">
        <v>53</v>
      </c>
      <c r="Q101" s="2">
        <v>2843</v>
      </c>
    </row>
    <row r="102" spans="1:17" ht="143.25" customHeight="1" x14ac:dyDescent="0.25">
      <c r="A102" s="5" t="str">
        <f>_xll.JChemExcel.Functions.JCSYSStructure("D3E7ED826CBEC03AD57A52CD0B3287EB")</f>
        <v/>
      </c>
      <c r="B102" s="3" t="s">
        <v>728</v>
      </c>
      <c r="C102" s="3" t="s">
        <v>729</v>
      </c>
      <c r="D102" s="2" t="s">
        <v>731</v>
      </c>
      <c r="E102" s="2" t="s">
        <v>7329</v>
      </c>
      <c r="F102" s="3" t="s">
        <v>730</v>
      </c>
      <c r="G102" s="2" t="s">
        <v>732</v>
      </c>
      <c r="H102" s="8">
        <v>303.3</v>
      </c>
      <c r="I102" s="2" t="s">
        <v>22</v>
      </c>
      <c r="J102" s="2" t="s">
        <v>26</v>
      </c>
      <c r="K102" s="2">
        <v>2</v>
      </c>
      <c r="L102" s="2" t="s">
        <v>20</v>
      </c>
      <c r="M102" s="2">
        <v>1991</v>
      </c>
      <c r="N102" s="3" t="s">
        <v>733</v>
      </c>
      <c r="O102" s="3" t="s">
        <v>734</v>
      </c>
      <c r="P102" s="3" t="s">
        <v>735</v>
      </c>
      <c r="Q102" s="2">
        <v>2843</v>
      </c>
    </row>
    <row r="103" spans="1:17" ht="143.25" customHeight="1" x14ac:dyDescent="0.25">
      <c r="A103" s="5" t="str">
        <f>_xll.JChemExcel.Functions.JCSYSStructure("397A22F4B48FA8BF1DEC0DA97AE1885F")</f>
        <v/>
      </c>
      <c r="B103" s="3" t="s">
        <v>736</v>
      </c>
      <c r="C103" s="3" t="s">
        <v>737</v>
      </c>
      <c r="D103" s="2" t="s">
        <v>739</v>
      </c>
      <c r="E103" s="2" t="s">
        <v>7330</v>
      </c>
      <c r="F103" s="3" t="s">
        <v>738</v>
      </c>
      <c r="G103" s="2" t="s">
        <v>740</v>
      </c>
      <c r="H103" s="8">
        <v>446.90236299999998</v>
      </c>
      <c r="I103" s="2" t="s">
        <v>22</v>
      </c>
      <c r="J103" s="2" t="s">
        <v>26</v>
      </c>
      <c r="K103" s="2">
        <v>2</v>
      </c>
      <c r="L103" s="2" t="s">
        <v>20</v>
      </c>
      <c r="M103" s="2">
        <v>2003</v>
      </c>
      <c r="N103" s="3" t="s">
        <v>563</v>
      </c>
      <c r="O103" s="3" t="s">
        <v>741</v>
      </c>
      <c r="P103" s="3" t="s">
        <v>742</v>
      </c>
      <c r="Q103" s="2">
        <v>2843</v>
      </c>
    </row>
    <row r="104" spans="1:17" ht="143.25" customHeight="1" x14ac:dyDescent="0.25">
      <c r="A104" s="5" t="str">
        <f>_xll.JChemExcel.Functions.JCSYSStructure("51C7F5B0F90E35D368F1944DDAB7F499")</f>
        <v/>
      </c>
      <c r="B104" s="3" t="s">
        <v>743</v>
      </c>
      <c r="C104" s="3" t="s">
        <v>744</v>
      </c>
      <c r="D104" s="2" t="s">
        <v>745</v>
      </c>
      <c r="E104" s="2">
        <v>270492</v>
      </c>
      <c r="F104" s="3" t="s">
        <v>7941</v>
      </c>
      <c r="G104" s="2" t="s">
        <v>746</v>
      </c>
      <c r="H104" s="8">
        <v>589.70839999999998</v>
      </c>
      <c r="I104" s="2" t="s">
        <v>22</v>
      </c>
      <c r="J104" s="2" t="s">
        <v>26</v>
      </c>
      <c r="K104" s="2">
        <v>2</v>
      </c>
      <c r="L104" s="2" t="s">
        <v>20</v>
      </c>
      <c r="M104" s="2">
        <v>2001</v>
      </c>
      <c r="N104" s="3" t="s">
        <v>563</v>
      </c>
      <c r="O104" s="3" t="s">
        <v>747</v>
      </c>
      <c r="P104" s="3" t="s">
        <v>53</v>
      </c>
      <c r="Q104" s="2">
        <v>2843</v>
      </c>
    </row>
    <row r="105" spans="1:17" ht="143.25" customHeight="1" x14ac:dyDescent="0.25">
      <c r="A105" s="5" t="str">
        <f>_xll.JChemExcel.Functions.JCSYSStructure("8C8DF6A4488199582A576C3BEA63C0A7")</f>
        <v/>
      </c>
      <c r="B105" s="3" t="s">
        <v>748</v>
      </c>
      <c r="C105" s="3" t="s">
        <v>749</v>
      </c>
      <c r="D105" s="2" t="s">
        <v>750</v>
      </c>
      <c r="E105" s="2">
        <v>380260</v>
      </c>
      <c r="F105" s="3" t="s">
        <v>7942</v>
      </c>
      <c r="G105" s="2" t="s">
        <v>751</v>
      </c>
      <c r="H105" s="8">
        <v>533.95482000000004</v>
      </c>
      <c r="I105" s="2" t="s">
        <v>22</v>
      </c>
      <c r="J105" s="2" t="s">
        <v>26</v>
      </c>
      <c r="K105" s="2">
        <v>2</v>
      </c>
      <c r="L105" s="2" t="s">
        <v>20</v>
      </c>
      <c r="M105" s="2">
        <v>1990</v>
      </c>
      <c r="N105" s="3" t="s">
        <v>752</v>
      </c>
      <c r="O105" s="3" t="s">
        <v>753</v>
      </c>
      <c r="P105" s="3" t="s">
        <v>53</v>
      </c>
      <c r="Q105" s="2">
        <v>2843</v>
      </c>
    </row>
    <row r="106" spans="1:17" ht="143.25" customHeight="1" x14ac:dyDescent="0.25">
      <c r="A106" s="5" t="str">
        <f>_xll.JChemExcel.Functions.JCSYSStructure("286B3520779783F2FCBAE53A6B7DC659")</f>
        <v/>
      </c>
      <c r="B106" s="3" t="s">
        <v>754</v>
      </c>
      <c r="C106" s="3" t="s">
        <v>755</v>
      </c>
      <c r="D106" s="2" t="s">
        <v>757</v>
      </c>
      <c r="E106" s="2" t="s">
        <v>7331</v>
      </c>
      <c r="F106" s="3" t="s">
        <v>756</v>
      </c>
      <c r="G106" s="2" t="s">
        <v>758</v>
      </c>
      <c r="H106" s="8">
        <v>608.20000000000005</v>
      </c>
      <c r="I106" s="2" t="s">
        <v>22</v>
      </c>
      <c r="J106" s="2" t="s">
        <v>26</v>
      </c>
      <c r="K106" s="2">
        <v>2</v>
      </c>
      <c r="L106" s="2" t="s">
        <v>20</v>
      </c>
      <c r="M106" s="2">
        <v>1998</v>
      </c>
      <c r="N106" s="3" t="s">
        <v>759</v>
      </c>
      <c r="O106" s="3" t="s">
        <v>760</v>
      </c>
      <c r="P106" s="3" t="s">
        <v>53</v>
      </c>
      <c r="Q106" s="2">
        <v>2843</v>
      </c>
    </row>
    <row r="107" spans="1:17" ht="143.25" customHeight="1" x14ac:dyDescent="0.25">
      <c r="A107" s="5" t="str">
        <f>_xll.JChemExcel.Functions.JCSYSStructure("6F92FA4DD1884C444ADCC4FC21BB9EBD")</f>
        <v/>
      </c>
      <c r="B107" s="3" t="s">
        <v>761</v>
      </c>
      <c r="C107" s="3" t="s">
        <v>762</v>
      </c>
      <c r="D107" s="2" t="s">
        <v>764</v>
      </c>
      <c r="E107" s="2" t="s">
        <v>7332</v>
      </c>
      <c r="F107" s="3" t="s">
        <v>763</v>
      </c>
      <c r="G107" s="2" t="s">
        <v>765</v>
      </c>
      <c r="H107" s="8">
        <v>296.40336000000002</v>
      </c>
      <c r="I107" s="2" t="s">
        <v>22</v>
      </c>
      <c r="J107" s="2" t="s">
        <v>26</v>
      </c>
      <c r="K107" s="2">
        <v>2</v>
      </c>
      <c r="L107" s="2" t="s">
        <v>20</v>
      </c>
      <c r="M107" s="2">
        <v>1999</v>
      </c>
      <c r="N107" s="3" t="s">
        <v>563</v>
      </c>
      <c r="O107" s="3" t="s">
        <v>766</v>
      </c>
      <c r="P107" s="3" t="s">
        <v>767</v>
      </c>
      <c r="Q107" s="2">
        <v>2843</v>
      </c>
    </row>
    <row r="108" spans="1:17" ht="143.25" customHeight="1" x14ac:dyDescent="0.25">
      <c r="A108" s="5" t="str">
        <f>_xll.JChemExcel.Functions.JCSYSStructure("9C2FBD5D05E0E767E1786F81D2587AAA")</f>
        <v/>
      </c>
      <c r="B108" s="3" t="s">
        <v>768</v>
      </c>
      <c r="C108" s="3" t="s">
        <v>769</v>
      </c>
      <c r="D108" s="2" t="s">
        <v>770</v>
      </c>
      <c r="E108" s="2" t="s">
        <v>7333</v>
      </c>
      <c r="F108" s="3" t="s">
        <v>7205</v>
      </c>
      <c r="G108" s="2" t="s">
        <v>771</v>
      </c>
      <c r="H108" s="8">
        <v>352.5</v>
      </c>
      <c r="I108" s="2" t="s">
        <v>22</v>
      </c>
      <c r="J108" s="2" t="s">
        <v>26</v>
      </c>
      <c r="K108" s="2">
        <v>2</v>
      </c>
      <c r="L108" s="2" t="s">
        <v>20</v>
      </c>
      <c r="M108" s="2">
        <v>1977</v>
      </c>
      <c r="N108" s="3" t="s">
        <v>772</v>
      </c>
      <c r="O108" s="3" t="s">
        <v>773</v>
      </c>
      <c r="P108" s="3" t="s">
        <v>774</v>
      </c>
      <c r="Q108" s="2">
        <v>2843</v>
      </c>
    </row>
    <row r="109" spans="1:17" ht="143.25" customHeight="1" x14ac:dyDescent="0.25">
      <c r="A109" s="5" t="str">
        <f>_xll.JChemExcel.Functions.JCSYSStructure("085354FF631CCF4E979304378DF23AAD")</f>
        <v/>
      </c>
      <c r="B109" s="3" t="s">
        <v>775</v>
      </c>
      <c r="C109" s="3" t="s">
        <v>776</v>
      </c>
      <c r="D109" s="2" t="s">
        <v>777</v>
      </c>
      <c r="E109" s="2">
        <v>270432</v>
      </c>
      <c r="F109" s="3" t="s">
        <v>7943</v>
      </c>
      <c r="G109" s="2" t="s">
        <v>778</v>
      </c>
      <c r="H109" s="8">
        <v>165.6</v>
      </c>
      <c r="I109" s="2" t="s">
        <v>22</v>
      </c>
      <c r="J109" s="2" t="s">
        <v>26</v>
      </c>
      <c r="K109" s="2">
        <v>2</v>
      </c>
      <c r="L109" s="2" t="s">
        <v>20</v>
      </c>
      <c r="M109" s="2">
        <v>1995</v>
      </c>
      <c r="N109" s="3" t="s">
        <v>779</v>
      </c>
      <c r="O109" s="3" t="s">
        <v>780</v>
      </c>
      <c r="P109" s="3" t="s">
        <v>53</v>
      </c>
      <c r="Q109" s="2">
        <v>2843</v>
      </c>
    </row>
    <row r="110" spans="1:17" ht="143.25" customHeight="1" x14ac:dyDescent="0.25">
      <c r="A110" s="5" t="str">
        <f>_xll.JChemExcel.Functions.JCSYSStructure("9A4B16345F7A32183E89E33527B967A7")</f>
        <v/>
      </c>
      <c r="B110" s="3" t="s">
        <v>781</v>
      </c>
      <c r="C110" s="3" t="s">
        <v>782</v>
      </c>
      <c r="D110" s="2" t="s">
        <v>784</v>
      </c>
      <c r="E110" s="2" t="s">
        <v>7334</v>
      </c>
      <c r="F110" s="3" t="s">
        <v>783</v>
      </c>
      <c r="G110" s="2" t="s">
        <v>785</v>
      </c>
      <c r="H110" s="8">
        <v>256.10000000000002</v>
      </c>
      <c r="I110" s="2" t="s">
        <v>22</v>
      </c>
      <c r="J110" s="2" t="s">
        <v>26</v>
      </c>
      <c r="K110" s="2">
        <v>2</v>
      </c>
      <c r="L110" s="2" t="s">
        <v>20</v>
      </c>
      <c r="M110" s="2" t="s">
        <v>124</v>
      </c>
      <c r="N110" s="3" t="s">
        <v>786</v>
      </c>
      <c r="O110" s="3" t="s">
        <v>787</v>
      </c>
      <c r="P110" s="3" t="s">
        <v>788</v>
      </c>
      <c r="Q110" s="2">
        <v>2843</v>
      </c>
    </row>
    <row r="111" spans="1:17" ht="143.25" customHeight="1" x14ac:dyDescent="0.25">
      <c r="A111" s="5" t="str">
        <f>_xll.JChemExcel.Functions.JCSYSStructure("0B0587E7E3E1C1FD4E9DAB1FDF3EFFAE")</f>
        <v/>
      </c>
      <c r="B111" s="3" t="s">
        <v>789</v>
      </c>
      <c r="C111" s="3" t="s">
        <v>790</v>
      </c>
      <c r="D111" s="2" t="s">
        <v>792</v>
      </c>
      <c r="E111" s="2" t="s">
        <v>7335</v>
      </c>
      <c r="F111" s="3" t="s">
        <v>791</v>
      </c>
      <c r="G111" s="2" t="s">
        <v>793</v>
      </c>
      <c r="H111" s="8">
        <v>441.56477999999998</v>
      </c>
      <c r="I111" s="2" t="s">
        <v>22</v>
      </c>
      <c r="J111" s="2" t="s">
        <v>26</v>
      </c>
      <c r="K111" s="2">
        <v>2</v>
      </c>
      <c r="L111" s="2" t="s">
        <v>20</v>
      </c>
      <c r="M111" s="2">
        <v>1999</v>
      </c>
      <c r="N111" s="3" t="s">
        <v>79</v>
      </c>
      <c r="O111" s="3" t="s">
        <v>794</v>
      </c>
      <c r="P111" s="3" t="s">
        <v>795</v>
      </c>
      <c r="Q111" s="2">
        <v>2843</v>
      </c>
    </row>
    <row r="112" spans="1:17" ht="143.25" customHeight="1" x14ac:dyDescent="0.25">
      <c r="A112" s="5" t="str">
        <f>_xll.JChemExcel.Functions.JCSYSStructure("6DCEB57C16A415F0091BCDABDB3A8A57")</f>
        <v/>
      </c>
      <c r="B112" s="3" t="s">
        <v>796</v>
      </c>
      <c r="C112" s="3" t="s">
        <v>797</v>
      </c>
      <c r="D112" s="2" t="s">
        <v>798</v>
      </c>
      <c r="E112" s="2" t="s">
        <v>8044</v>
      </c>
      <c r="F112" s="3" t="s">
        <v>7944</v>
      </c>
      <c r="G112" s="2" t="s">
        <v>8045</v>
      </c>
      <c r="H112" s="8">
        <v>429.9</v>
      </c>
      <c r="I112" s="2" t="s">
        <v>22</v>
      </c>
      <c r="J112" s="2" t="s">
        <v>26</v>
      </c>
      <c r="K112" s="2">
        <v>2</v>
      </c>
      <c r="L112" s="2" t="s">
        <v>20</v>
      </c>
      <c r="M112" s="2" t="s">
        <v>124</v>
      </c>
      <c r="N112" s="3" t="s">
        <v>799</v>
      </c>
      <c r="O112" s="3" t="s">
        <v>800</v>
      </c>
      <c r="P112" s="3" t="s">
        <v>801</v>
      </c>
      <c r="Q112" s="2">
        <v>2843</v>
      </c>
    </row>
    <row r="113" spans="1:17" ht="143.25" customHeight="1" x14ac:dyDescent="0.25">
      <c r="A113" s="5" t="str">
        <f>_xll.JChemExcel.Functions.JCSYSStructure("80BDE85C6A0EAF1F1F17F550D90B11A0")</f>
        <v/>
      </c>
      <c r="B113" s="3" t="s">
        <v>802</v>
      </c>
      <c r="C113" s="3" t="s">
        <v>803</v>
      </c>
      <c r="D113" s="2" t="s">
        <v>805</v>
      </c>
      <c r="E113" s="2" t="s">
        <v>7336</v>
      </c>
      <c r="F113" s="3" t="s">
        <v>804</v>
      </c>
      <c r="G113" s="2" t="s">
        <v>806</v>
      </c>
      <c r="H113" s="8">
        <v>234.7</v>
      </c>
      <c r="I113" s="2" t="s">
        <v>22</v>
      </c>
      <c r="J113" s="2" t="s">
        <v>26</v>
      </c>
      <c r="K113" s="2">
        <v>2</v>
      </c>
      <c r="L113" s="2" t="s">
        <v>20</v>
      </c>
      <c r="M113" s="2">
        <v>1993</v>
      </c>
      <c r="N113" s="3" t="s">
        <v>807</v>
      </c>
      <c r="O113" s="3" t="s">
        <v>808</v>
      </c>
      <c r="P113" s="3" t="s">
        <v>809</v>
      </c>
      <c r="Q113" s="2">
        <v>2843</v>
      </c>
    </row>
    <row r="114" spans="1:17" ht="143.25" customHeight="1" x14ac:dyDescent="0.25">
      <c r="A114" s="5" t="str">
        <f>_xll.JChemExcel.Functions.JCSYSStructure("4A4F430B00461F17801A209D7C84A25E")</f>
        <v/>
      </c>
      <c r="B114" s="3" t="s">
        <v>810</v>
      </c>
      <c r="C114" s="3" t="s">
        <v>811</v>
      </c>
      <c r="D114" s="2" t="s">
        <v>812</v>
      </c>
      <c r="E114" s="2">
        <v>550336</v>
      </c>
      <c r="F114" s="3" t="s">
        <v>7945</v>
      </c>
      <c r="G114" s="4" t="s">
        <v>7146</v>
      </c>
      <c r="H114" s="8">
        <v>368.3</v>
      </c>
      <c r="I114" s="2" t="s">
        <v>22</v>
      </c>
      <c r="J114" s="2" t="s">
        <v>26</v>
      </c>
      <c r="K114" s="2">
        <v>2</v>
      </c>
      <c r="L114" s="2" t="s">
        <v>20</v>
      </c>
      <c r="M114" s="2" t="s">
        <v>124</v>
      </c>
      <c r="N114" s="3" t="s">
        <v>807</v>
      </c>
      <c r="O114" s="3" t="s">
        <v>813</v>
      </c>
      <c r="P114" s="3" t="s">
        <v>814</v>
      </c>
      <c r="Q114" s="2">
        <v>2843</v>
      </c>
    </row>
    <row r="115" spans="1:17" ht="143.25" customHeight="1" x14ac:dyDescent="0.25">
      <c r="A115" s="5" t="str">
        <f>_xll.JChemExcel.Functions.JCSYSStructure("1119A079E958CFAEE13BBE149D0DE36C")</f>
        <v/>
      </c>
      <c r="B115" s="3" t="s">
        <v>815</v>
      </c>
      <c r="C115" s="3" t="s">
        <v>816</v>
      </c>
      <c r="D115" s="2" t="s">
        <v>817</v>
      </c>
      <c r="E115" s="2">
        <v>550212</v>
      </c>
      <c r="F115" s="3" t="s">
        <v>7946</v>
      </c>
      <c r="G115" s="2" t="s">
        <v>818</v>
      </c>
      <c r="H115" s="8">
        <v>302.11851999999999</v>
      </c>
      <c r="I115" s="2" t="s">
        <v>22</v>
      </c>
      <c r="J115" s="2" t="s">
        <v>26</v>
      </c>
      <c r="K115" s="2">
        <v>2</v>
      </c>
      <c r="L115" s="2" t="s">
        <v>20</v>
      </c>
      <c r="M115" s="2">
        <v>1981</v>
      </c>
      <c r="N115" s="3" t="s">
        <v>819</v>
      </c>
      <c r="O115" s="3" t="s">
        <v>156</v>
      </c>
      <c r="P115" s="3" t="s">
        <v>53</v>
      </c>
      <c r="Q115" s="2">
        <v>2843</v>
      </c>
    </row>
    <row r="116" spans="1:17" ht="143.25" customHeight="1" x14ac:dyDescent="0.25">
      <c r="A116" s="5" t="str">
        <f>_xll.JChemExcel.Functions.JCSYSStructure("01E4DC0659CCDF90C931A5A6F88D6F2C")</f>
        <v/>
      </c>
      <c r="B116" s="3" t="s">
        <v>820</v>
      </c>
      <c r="C116" s="3" t="s">
        <v>821</v>
      </c>
      <c r="D116" s="2" t="s">
        <v>823</v>
      </c>
      <c r="E116" s="2" t="s">
        <v>7337</v>
      </c>
      <c r="F116" s="3" t="s">
        <v>822</v>
      </c>
      <c r="G116" s="2" t="s">
        <v>824</v>
      </c>
      <c r="H116" s="8">
        <v>408.8759</v>
      </c>
      <c r="I116" s="2" t="s">
        <v>22</v>
      </c>
      <c r="J116" s="2" t="s">
        <v>26</v>
      </c>
      <c r="K116" s="2">
        <v>2</v>
      </c>
      <c r="L116" s="2" t="s">
        <v>20</v>
      </c>
      <c r="M116" s="2" t="s">
        <v>124</v>
      </c>
      <c r="N116" s="3" t="s">
        <v>825</v>
      </c>
      <c r="O116" s="3" t="s">
        <v>826</v>
      </c>
      <c r="P116" s="3" t="s">
        <v>827</v>
      </c>
      <c r="Q116" s="2">
        <v>2843</v>
      </c>
    </row>
    <row r="117" spans="1:17" ht="143.25" customHeight="1" x14ac:dyDescent="0.25">
      <c r="A117" s="5" t="str">
        <f>_xll.JChemExcel.Functions.JCSYSStructure("61B03348C86A396581473341E5748E91")</f>
        <v/>
      </c>
      <c r="B117" s="3" t="s">
        <v>828</v>
      </c>
      <c r="C117" s="3" t="s">
        <v>829</v>
      </c>
      <c r="D117" s="2" t="s">
        <v>830</v>
      </c>
      <c r="E117" s="2">
        <v>550214</v>
      </c>
      <c r="F117" s="3" t="s">
        <v>7947</v>
      </c>
      <c r="G117" s="2" t="s">
        <v>831</v>
      </c>
      <c r="H117" s="8">
        <v>451</v>
      </c>
      <c r="I117" s="2" t="s">
        <v>22</v>
      </c>
      <c r="J117" s="2" t="s">
        <v>26</v>
      </c>
      <c r="K117" s="2">
        <v>2</v>
      </c>
      <c r="L117" s="2" t="s">
        <v>20</v>
      </c>
      <c r="M117" s="2">
        <v>1982</v>
      </c>
      <c r="N117" s="3" t="s">
        <v>832</v>
      </c>
      <c r="O117" s="3" t="s">
        <v>833</v>
      </c>
      <c r="P117" s="3" t="s">
        <v>834</v>
      </c>
      <c r="Q117" s="2">
        <v>2843</v>
      </c>
    </row>
    <row r="118" spans="1:17" ht="143.25" customHeight="1" x14ac:dyDescent="0.25">
      <c r="A118" s="5" t="str">
        <f>_xll.JChemExcel.Functions.JCSYSStructure("BDE16999001646E1E60445ABB84E7CF9")</f>
        <v/>
      </c>
      <c r="B118" s="3" t="s">
        <v>835</v>
      </c>
      <c r="C118" s="3" t="s">
        <v>836</v>
      </c>
      <c r="D118" s="2" t="s">
        <v>838</v>
      </c>
      <c r="E118" s="2">
        <v>550091</v>
      </c>
      <c r="F118" s="3" t="s">
        <v>837</v>
      </c>
      <c r="G118" s="2" t="s">
        <v>839</v>
      </c>
      <c r="H118" s="8">
        <v>346.33461999999997</v>
      </c>
      <c r="I118" s="2" t="s">
        <v>22</v>
      </c>
      <c r="J118" s="2" t="s">
        <v>26</v>
      </c>
      <c r="K118" s="2">
        <v>2</v>
      </c>
      <c r="L118" s="2" t="s">
        <v>20</v>
      </c>
      <c r="M118" s="2">
        <v>1981</v>
      </c>
      <c r="N118" s="3" t="s">
        <v>840</v>
      </c>
      <c r="O118" s="3" t="s">
        <v>841</v>
      </c>
      <c r="P118" s="3" t="s">
        <v>842</v>
      </c>
      <c r="Q118" s="2">
        <v>2843</v>
      </c>
    </row>
    <row r="119" spans="1:17" ht="143.25" customHeight="1" x14ac:dyDescent="0.25">
      <c r="A119" s="5" t="str">
        <f>_xll.JChemExcel.Functions.JCSYSStructure("538752A182F290AA0E721231CA1B4315")</f>
        <v/>
      </c>
      <c r="B119" s="3" t="s">
        <v>843</v>
      </c>
      <c r="C119" s="3" t="s">
        <v>844</v>
      </c>
      <c r="D119" s="2" t="s">
        <v>846</v>
      </c>
      <c r="E119" s="2">
        <v>550277</v>
      </c>
      <c r="F119" s="3" t="s">
        <v>845</v>
      </c>
      <c r="G119" s="2" t="s">
        <v>847</v>
      </c>
      <c r="H119" s="8">
        <v>418.44033999999999</v>
      </c>
      <c r="I119" s="2" t="s">
        <v>22</v>
      </c>
      <c r="J119" s="2" t="s">
        <v>26</v>
      </c>
      <c r="K119" s="2">
        <v>2</v>
      </c>
      <c r="L119" s="2" t="s">
        <v>20</v>
      </c>
      <c r="M119" s="2">
        <v>1988</v>
      </c>
      <c r="N119" s="3" t="s">
        <v>594</v>
      </c>
      <c r="O119" s="3" t="s">
        <v>848</v>
      </c>
      <c r="P119" s="3" t="s">
        <v>849</v>
      </c>
      <c r="Q119" s="2">
        <v>2843</v>
      </c>
    </row>
    <row r="120" spans="1:17" ht="143.25" customHeight="1" x14ac:dyDescent="0.25">
      <c r="A120" s="5" t="str">
        <f>_xll.JChemExcel.Functions.JCSYSStructure("1D99B7136C46ABD66E2986EA5242AA5C")</f>
        <v/>
      </c>
      <c r="B120" s="3" t="s">
        <v>850</v>
      </c>
      <c r="C120" s="3" t="s">
        <v>851</v>
      </c>
      <c r="D120" s="2" t="s">
        <v>852</v>
      </c>
      <c r="E120" s="2">
        <v>550306</v>
      </c>
      <c r="F120" s="3" t="s">
        <v>7948</v>
      </c>
      <c r="G120" s="2" t="s">
        <v>853</v>
      </c>
      <c r="H120" s="8">
        <v>491.1</v>
      </c>
      <c r="I120" s="2" t="s">
        <v>22</v>
      </c>
      <c r="J120" s="2" t="s">
        <v>26</v>
      </c>
      <c r="K120" s="2">
        <v>2</v>
      </c>
      <c r="L120" s="2" t="s">
        <v>20</v>
      </c>
      <c r="M120" s="2">
        <v>1981</v>
      </c>
      <c r="N120" s="3" t="s">
        <v>854</v>
      </c>
      <c r="O120" s="3" t="s">
        <v>855</v>
      </c>
      <c r="P120" s="3" t="s">
        <v>53</v>
      </c>
      <c r="Q120" s="2">
        <v>2843</v>
      </c>
    </row>
    <row r="121" spans="1:17" ht="143.25" customHeight="1" x14ac:dyDescent="0.25">
      <c r="A121" s="5" t="str">
        <f>_xll.JChemExcel.Functions.JCSYSStructure("A98A59DB55370E92A7919FECA421057D")</f>
        <v/>
      </c>
      <c r="B121" s="3" t="s">
        <v>856</v>
      </c>
      <c r="C121" s="3" t="s">
        <v>857</v>
      </c>
      <c r="D121" s="2" t="s">
        <v>859</v>
      </c>
      <c r="E121" s="2" t="s">
        <v>7338</v>
      </c>
      <c r="F121" s="3" t="s">
        <v>858</v>
      </c>
      <c r="G121" s="2" t="s">
        <v>860</v>
      </c>
      <c r="H121" s="8">
        <v>171.23678000000001</v>
      </c>
      <c r="I121" s="2" t="s">
        <v>22</v>
      </c>
      <c r="J121" s="2" t="s">
        <v>26</v>
      </c>
      <c r="K121" s="2">
        <v>2</v>
      </c>
      <c r="L121" s="2" t="s">
        <v>20</v>
      </c>
      <c r="M121" s="2">
        <v>1993</v>
      </c>
      <c r="N121" s="3" t="s">
        <v>861</v>
      </c>
      <c r="O121" s="3" t="s">
        <v>862</v>
      </c>
      <c r="P121" s="3" t="s">
        <v>863</v>
      </c>
      <c r="Q121" s="2">
        <v>2843</v>
      </c>
    </row>
    <row r="122" spans="1:17" ht="143.25" customHeight="1" x14ac:dyDescent="0.25">
      <c r="A122" s="5" t="str">
        <f>_xll.JChemExcel.Functions.JCSYSStructure("00D5DE0E701F50FE063EC111D9DF2362")</f>
        <v/>
      </c>
      <c r="B122" s="3" t="s">
        <v>864</v>
      </c>
      <c r="C122" s="3" t="s">
        <v>865</v>
      </c>
      <c r="D122" s="2" t="s">
        <v>867</v>
      </c>
      <c r="E122" s="2" t="s">
        <v>7339</v>
      </c>
      <c r="F122" s="3" t="s">
        <v>866</v>
      </c>
      <c r="G122" s="2" t="s">
        <v>868</v>
      </c>
      <c r="H122" s="8">
        <v>384.25376</v>
      </c>
      <c r="I122" s="2" t="s">
        <v>22</v>
      </c>
      <c r="J122" s="2" t="s">
        <v>26</v>
      </c>
      <c r="K122" s="2">
        <v>2</v>
      </c>
      <c r="L122" s="2" t="s">
        <v>20</v>
      </c>
      <c r="M122" s="2">
        <v>1991</v>
      </c>
      <c r="N122" s="3" t="s">
        <v>183</v>
      </c>
      <c r="O122" s="3" t="s">
        <v>869</v>
      </c>
      <c r="P122" s="3" t="s">
        <v>870</v>
      </c>
      <c r="Q122" s="2">
        <v>2843</v>
      </c>
    </row>
    <row r="123" spans="1:17" ht="143.25" customHeight="1" x14ac:dyDescent="0.25">
      <c r="A123" s="5" t="str">
        <f>_xll.JChemExcel.Functions.JCSYSStructure("9B51F4695F6E3408898867B73949B55D")</f>
        <v/>
      </c>
      <c r="B123" s="3" t="s">
        <v>871</v>
      </c>
      <c r="C123" s="3" t="s">
        <v>872</v>
      </c>
      <c r="D123" s="2" t="s">
        <v>873</v>
      </c>
      <c r="E123" s="2">
        <v>430039</v>
      </c>
      <c r="F123" s="3" t="s">
        <v>7949</v>
      </c>
      <c r="G123" s="2" t="s">
        <v>874</v>
      </c>
      <c r="H123" s="8">
        <v>340.28732000000002</v>
      </c>
      <c r="I123" s="2" t="s">
        <v>22</v>
      </c>
      <c r="J123" s="2" t="s">
        <v>26</v>
      </c>
      <c r="K123" s="2">
        <v>2</v>
      </c>
      <c r="L123" s="2" t="s">
        <v>20</v>
      </c>
      <c r="M123" s="2">
        <v>1953</v>
      </c>
      <c r="N123" s="3" t="s">
        <v>875</v>
      </c>
      <c r="O123" s="3" t="s">
        <v>876</v>
      </c>
      <c r="P123" s="3" t="s">
        <v>877</v>
      </c>
      <c r="Q123" s="2">
        <v>2843</v>
      </c>
    </row>
    <row r="124" spans="1:17" ht="143.25" customHeight="1" x14ac:dyDescent="0.25">
      <c r="A124" s="5" t="str">
        <f>_xll.JChemExcel.Functions.JCSYSStructure("B689E324BBE123855C44377CE5ACA60B")</f>
        <v/>
      </c>
      <c r="B124" s="3" t="s">
        <v>878</v>
      </c>
      <c r="C124" s="3" t="s">
        <v>879</v>
      </c>
      <c r="D124" s="2" t="s">
        <v>880</v>
      </c>
      <c r="E124" s="2">
        <v>550310</v>
      </c>
      <c r="F124" s="3" t="s">
        <v>7950</v>
      </c>
      <c r="G124" s="2" t="s">
        <v>881</v>
      </c>
      <c r="H124" s="8">
        <v>480.41744999999997</v>
      </c>
      <c r="I124" s="2" t="s">
        <v>22</v>
      </c>
      <c r="J124" s="2" t="s">
        <v>26</v>
      </c>
      <c r="K124" s="2">
        <v>2</v>
      </c>
      <c r="L124" s="2" t="s">
        <v>20</v>
      </c>
      <c r="M124" s="2">
        <v>1959</v>
      </c>
      <c r="N124" s="3" t="s">
        <v>882</v>
      </c>
      <c r="O124" s="3" t="s">
        <v>883</v>
      </c>
      <c r="P124" s="3" t="s">
        <v>884</v>
      </c>
      <c r="Q124" s="2">
        <v>2843</v>
      </c>
    </row>
    <row r="125" spans="1:17" ht="143.25" customHeight="1" x14ac:dyDescent="0.25">
      <c r="A125" s="5" t="str">
        <f>_xll.JChemExcel.Functions.JCSYSStructure("73309DF9D39CE8D558FB3777A081F0F4")</f>
        <v/>
      </c>
      <c r="B125" s="3" t="s">
        <v>885</v>
      </c>
      <c r="C125" s="3" t="s">
        <v>886</v>
      </c>
      <c r="D125" s="2" t="s">
        <v>888</v>
      </c>
      <c r="E125" s="2" t="s">
        <v>7340</v>
      </c>
      <c r="F125" s="3" t="s">
        <v>887</v>
      </c>
      <c r="G125" s="2" t="s">
        <v>889</v>
      </c>
      <c r="H125" s="8">
        <v>432.59280000000001</v>
      </c>
      <c r="I125" s="2" t="s">
        <v>22</v>
      </c>
      <c r="J125" s="2" t="s">
        <v>26</v>
      </c>
      <c r="K125" s="2">
        <v>2</v>
      </c>
      <c r="L125" s="2" t="s">
        <v>20</v>
      </c>
      <c r="M125" s="2">
        <v>1996</v>
      </c>
      <c r="N125" s="3" t="s">
        <v>890</v>
      </c>
      <c r="O125" s="3" t="s">
        <v>891</v>
      </c>
      <c r="P125" s="3" t="s">
        <v>892</v>
      </c>
      <c r="Q125" s="2">
        <v>2843</v>
      </c>
    </row>
    <row r="126" spans="1:17" ht="143.25" customHeight="1" x14ac:dyDescent="0.25">
      <c r="A126" s="5" t="str">
        <f>_xll.JChemExcel.Functions.JCSYSStructure("17AECF5AAABA049BA77BD0667A31E36D")</f>
        <v/>
      </c>
      <c r="B126" s="3" t="s">
        <v>893</v>
      </c>
      <c r="C126" s="3" t="s">
        <v>894</v>
      </c>
      <c r="D126" s="2" t="s">
        <v>896</v>
      </c>
      <c r="E126" s="2" t="s">
        <v>7341</v>
      </c>
      <c r="F126" s="3" t="s">
        <v>895</v>
      </c>
      <c r="G126" s="2" t="s">
        <v>897</v>
      </c>
      <c r="H126" s="8">
        <v>389.44878</v>
      </c>
      <c r="I126" s="2" t="s">
        <v>22</v>
      </c>
      <c r="J126" s="2" t="s">
        <v>26</v>
      </c>
      <c r="K126" s="2">
        <v>2</v>
      </c>
      <c r="L126" s="2" t="s">
        <v>20</v>
      </c>
      <c r="M126" s="2">
        <v>2003</v>
      </c>
      <c r="N126" s="3" t="s">
        <v>898</v>
      </c>
      <c r="O126" s="3" t="s">
        <v>899</v>
      </c>
      <c r="P126" s="3" t="s">
        <v>900</v>
      </c>
      <c r="Q126" s="2">
        <v>2843</v>
      </c>
    </row>
    <row r="127" spans="1:17" ht="143.25" customHeight="1" x14ac:dyDescent="0.25">
      <c r="A127" s="5" t="str">
        <f>_xll.JChemExcel.Functions.JCSYSStructure("6B06D7D0BB7C1064B29DB15CDDAEF1FB")</f>
        <v/>
      </c>
      <c r="B127" s="3" t="s">
        <v>901</v>
      </c>
      <c r="C127" s="3" t="s">
        <v>902</v>
      </c>
      <c r="D127" s="2" t="s">
        <v>904</v>
      </c>
      <c r="E127" s="2" t="s">
        <v>7342</v>
      </c>
      <c r="F127" s="3" t="s">
        <v>903</v>
      </c>
      <c r="G127" s="2" t="s">
        <v>905</v>
      </c>
      <c r="H127" s="8">
        <v>750.70015999999998</v>
      </c>
      <c r="I127" s="2" t="s">
        <v>22</v>
      </c>
      <c r="J127" s="2" t="s">
        <v>26</v>
      </c>
      <c r="K127" s="2">
        <v>2</v>
      </c>
      <c r="L127" s="2" t="s">
        <v>20</v>
      </c>
      <c r="M127" s="2">
        <v>1982</v>
      </c>
      <c r="N127" s="3" t="s">
        <v>579</v>
      </c>
      <c r="O127" s="3" t="s">
        <v>906</v>
      </c>
      <c r="P127" s="3" t="s">
        <v>907</v>
      </c>
      <c r="Q127" s="2">
        <v>2843</v>
      </c>
    </row>
    <row r="128" spans="1:17" ht="143.25" customHeight="1" x14ac:dyDescent="0.25">
      <c r="A128" s="5" t="str">
        <f>_xll.JChemExcel.Functions.JCSYSStructure("00E9626658D1A9054172154866C2734F")</f>
        <v/>
      </c>
      <c r="B128" s="3" t="s">
        <v>908</v>
      </c>
      <c r="C128" s="3" t="s">
        <v>909</v>
      </c>
      <c r="D128" s="2" t="s">
        <v>911</v>
      </c>
      <c r="E128" s="2" t="s">
        <v>7343</v>
      </c>
      <c r="F128" s="3" t="s">
        <v>910</v>
      </c>
      <c r="G128" s="2" t="s">
        <v>912</v>
      </c>
      <c r="H128" s="8">
        <v>326.82326</v>
      </c>
      <c r="I128" s="2" t="s">
        <v>22</v>
      </c>
      <c r="J128" s="2" t="s">
        <v>26</v>
      </c>
      <c r="K128" s="2">
        <v>2</v>
      </c>
      <c r="L128" s="2" t="s">
        <v>20</v>
      </c>
      <c r="M128" s="2">
        <v>1989</v>
      </c>
      <c r="N128" s="3" t="s">
        <v>94</v>
      </c>
      <c r="O128" s="3" t="s">
        <v>913</v>
      </c>
      <c r="P128" s="3" t="s">
        <v>914</v>
      </c>
      <c r="Q128" s="2">
        <v>2843</v>
      </c>
    </row>
    <row r="129" spans="1:17" ht="143.25" customHeight="1" x14ac:dyDescent="0.25">
      <c r="A129" s="5" t="str">
        <f>_xll.JChemExcel.Functions.JCSYSStructure("86082EF7F6DC99DC8EB93C3327CEAF27")</f>
        <v/>
      </c>
      <c r="B129" s="3" t="s">
        <v>915</v>
      </c>
      <c r="C129" s="3" t="s">
        <v>916</v>
      </c>
      <c r="D129" s="2" t="s">
        <v>918</v>
      </c>
      <c r="E129" s="2" t="s">
        <v>7951</v>
      </c>
      <c r="F129" s="3" t="s">
        <v>917</v>
      </c>
      <c r="G129" s="2" t="s">
        <v>919</v>
      </c>
      <c r="H129" s="8">
        <v>326.42934000000002</v>
      </c>
      <c r="I129" s="2" t="s">
        <v>22</v>
      </c>
      <c r="J129" s="2" t="s">
        <v>26</v>
      </c>
      <c r="K129" s="2">
        <v>2</v>
      </c>
      <c r="L129" s="2" t="s">
        <v>20</v>
      </c>
      <c r="M129" s="2">
        <v>1996</v>
      </c>
      <c r="N129" s="3" t="s">
        <v>920</v>
      </c>
      <c r="O129" s="3" t="s">
        <v>921</v>
      </c>
      <c r="P129" s="3" t="s">
        <v>922</v>
      </c>
      <c r="Q129" s="2">
        <v>2843</v>
      </c>
    </row>
    <row r="130" spans="1:17" ht="143.25" customHeight="1" x14ac:dyDescent="0.25">
      <c r="A130" s="5" t="str">
        <f>_xll.JChemExcel.Functions.JCSYSStructure("B9CCA370CBBAF673BCF6F55F0D64AE08")</f>
        <v/>
      </c>
      <c r="B130" s="3" t="s">
        <v>923</v>
      </c>
      <c r="C130" s="3" t="s">
        <v>924</v>
      </c>
      <c r="D130" s="2" t="s">
        <v>925</v>
      </c>
      <c r="E130" s="2" t="s">
        <v>7344</v>
      </c>
      <c r="F130" s="3" t="s">
        <v>7952</v>
      </c>
      <c r="G130" s="2" t="s">
        <v>926</v>
      </c>
      <c r="H130" s="8">
        <v>416.63646</v>
      </c>
      <c r="I130" s="2" t="s">
        <v>22</v>
      </c>
      <c r="J130" s="2" t="s">
        <v>26</v>
      </c>
      <c r="K130" s="2">
        <v>2</v>
      </c>
      <c r="L130" s="2" t="s">
        <v>20</v>
      </c>
      <c r="M130" s="2">
        <v>1978</v>
      </c>
      <c r="N130" s="3" t="s">
        <v>927</v>
      </c>
      <c r="O130" s="3" t="s">
        <v>928</v>
      </c>
      <c r="P130" s="3" t="s">
        <v>929</v>
      </c>
      <c r="Q130" s="2">
        <v>2843</v>
      </c>
    </row>
    <row r="131" spans="1:17" ht="143.25" customHeight="1" x14ac:dyDescent="0.25">
      <c r="A131" s="5" t="str">
        <f>_xll.JChemExcel.Functions.JCSYSStructure("4489448E89EE1034EC9CB21D8B42AF6F")</f>
        <v/>
      </c>
      <c r="B131" s="3" t="s">
        <v>930</v>
      </c>
      <c r="C131" s="3" t="s">
        <v>931</v>
      </c>
      <c r="D131" s="2" t="s">
        <v>933</v>
      </c>
      <c r="E131" s="2" t="s">
        <v>7345</v>
      </c>
      <c r="F131" s="3" t="s">
        <v>932</v>
      </c>
      <c r="G131" s="2" t="s">
        <v>934</v>
      </c>
      <c r="H131" s="8">
        <v>531.43092000000001</v>
      </c>
      <c r="I131" s="2" t="s">
        <v>22</v>
      </c>
      <c r="J131" s="2" t="s">
        <v>26</v>
      </c>
      <c r="K131" s="2">
        <v>2</v>
      </c>
      <c r="L131" s="2" t="s">
        <v>20</v>
      </c>
      <c r="M131" s="2">
        <v>1981</v>
      </c>
      <c r="N131" s="3" t="s">
        <v>935</v>
      </c>
      <c r="O131" s="3" t="s">
        <v>936</v>
      </c>
      <c r="P131" s="3" t="s">
        <v>937</v>
      </c>
      <c r="Q131" s="2">
        <v>2843</v>
      </c>
    </row>
    <row r="132" spans="1:17" ht="143.25" customHeight="1" x14ac:dyDescent="0.25">
      <c r="A132" s="5" t="str">
        <f>_xll.JChemExcel.Functions.JCSYSStructure("1C1218C1719D7EC9387479833A10CA2F")</f>
        <v/>
      </c>
      <c r="B132" s="3" t="s">
        <v>938</v>
      </c>
      <c r="C132" s="3" t="s">
        <v>939</v>
      </c>
      <c r="D132" s="2" t="s">
        <v>941</v>
      </c>
      <c r="E132" s="2" t="s">
        <v>7346</v>
      </c>
      <c r="F132" s="3" t="s">
        <v>940</v>
      </c>
      <c r="G132" s="2" t="s">
        <v>942</v>
      </c>
      <c r="H132" s="8">
        <v>512.33019899999999</v>
      </c>
      <c r="I132" s="2" t="s">
        <v>22</v>
      </c>
      <c r="J132" s="2" t="s">
        <v>26</v>
      </c>
      <c r="K132" s="2">
        <v>2</v>
      </c>
      <c r="L132" s="2" t="s">
        <v>20</v>
      </c>
      <c r="M132" s="2">
        <v>1982</v>
      </c>
      <c r="N132" s="3" t="s">
        <v>943</v>
      </c>
      <c r="O132" s="3" t="s">
        <v>944</v>
      </c>
      <c r="P132" s="3" t="s">
        <v>945</v>
      </c>
      <c r="Q132" s="2">
        <v>2843</v>
      </c>
    </row>
    <row r="133" spans="1:17" ht="143.25" customHeight="1" x14ac:dyDescent="0.25">
      <c r="A133" s="5" t="str">
        <f>_xll.JChemExcel.Functions.JCSYSStructure("5792B27D671BBB32DC92A7EF21ED4E7C")</f>
        <v/>
      </c>
      <c r="B133" s="3" t="s">
        <v>7208</v>
      </c>
      <c r="C133" s="3" t="s">
        <v>946</v>
      </c>
      <c r="D133" s="2" t="s">
        <v>948</v>
      </c>
      <c r="E133" s="2" t="s">
        <v>7347</v>
      </c>
      <c r="F133" s="3" t="s">
        <v>947</v>
      </c>
      <c r="G133" s="2" t="s">
        <v>949</v>
      </c>
      <c r="H133" s="8">
        <v>305.39999999999998</v>
      </c>
      <c r="I133" s="2" t="s">
        <v>22</v>
      </c>
      <c r="J133" s="2" t="s">
        <v>26</v>
      </c>
      <c r="K133" s="2">
        <v>2</v>
      </c>
      <c r="L133" s="2" t="s">
        <v>20</v>
      </c>
      <c r="M133" s="2">
        <v>1999</v>
      </c>
      <c r="N133" s="3" t="s">
        <v>950</v>
      </c>
      <c r="O133" s="3" t="s">
        <v>951</v>
      </c>
      <c r="P133" s="3" t="s">
        <v>952</v>
      </c>
      <c r="Q133" s="2">
        <v>2843</v>
      </c>
    </row>
    <row r="134" spans="1:17" ht="143.25" customHeight="1" x14ac:dyDescent="0.25">
      <c r="A134" s="5" t="str">
        <f>_xll.JChemExcel.Functions.JCSYSStructure("CF723FDF9FDB9DA479E13E40E7094982")</f>
        <v/>
      </c>
      <c r="B134" s="3" t="s">
        <v>953</v>
      </c>
      <c r="C134" s="3" t="s">
        <v>954</v>
      </c>
      <c r="D134" s="2" t="s">
        <v>956</v>
      </c>
      <c r="E134" s="2" t="s">
        <v>7348</v>
      </c>
      <c r="F134" s="3" t="s">
        <v>955</v>
      </c>
      <c r="G134" s="2" t="s">
        <v>957</v>
      </c>
      <c r="H134" s="8">
        <v>392.46106300000002</v>
      </c>
      <c r="I134" s="2" t="s">
        <v>22</v>
      </c>
      <c r="J134" s="2" t="s">
        <v>26</v>
      </c>
      <c r="K134" s="2">
        <v>2</v>
      </c>
      <c r="L134" s="2" t="s">
        <v>20</v>
      </c>
      <c r="M134" s="2">
        <v>1958</v>
      </c>
      <c r="N134" s="3" t="s">
        <v>958</v>
      </c>
      <c r="O134" s="3" t="s">
        <v>959</v>
      </c>
      <c r="P134" s="3" t="s">
        <v>960</v>
      </c>
      <c r="Q134" s="2">
        <v>2843</v>
      </c>
    </row>
    <row r="135" spans="1:17" ht="143.25" customHeight="1" x14ac:dyDescent="0.25">
      <c r="A135" s="5" t="str">
        <f>_xll.JChemExcel.Functions.JCSYSStructure("36D00F6EC8626E86741280F5964CB18E")</f>
        <v/>
      </c>
      <c r="B135" s="3" t="s">
        <v>961</v>
      </c>
      <c r="C135" s="3" t="s">
        <v>962</v>
      </c>
      <c r="D135" s="2" t="s">
        <v>964</v>
      </c>
      <c r="E135" s="2" t="s">
        <v>7349</v>
      </c>
      <c r="F135" s="3" t="s">
        <v>963</v>
      </c>
      <c r="G135" s="2" t="s">
        <v>965</v>
      </c>
      <c r="H135" s="8">
        <v>504.62560000000002</v>
      </c>
      <c r="I135" s="2" t="s">
        <v>22</v>
      </c>
      <c r="J135" s="2" t="s">
        <v>26</v>
      </c>
      <c r="K135" s="2">
        <v>2</v>
      </c>
      <c r="L135" s="2" t="s">
        <v>20</v>
      </c>
      <c r="M135" s="2">
        <v>1961</v>
      </c>
      <c r="N135" s="3" t="s">
        <v>966</v>
      </c>
      <c r="O135" s="3" t="s">
        <v>967</v>
      </c>
      <c r="P135" s="3" t="s">
        <v>968</v>
      </c>
      <c r="Q135" s="2">
        <v>2843</v>
      </c>
    </row>
    <row r="136" spans="1:17" ht="143.25" customHeight="1" x14ac:dyDescent="0.25">
      <c r="A136" s="5" t="str">
        <f>_xll.JChemExcel.Functions.JCSYSStructure("C318C8586A75ACC54BF79A502D166540")</f>
        <v/>
      </c>
      <c r="B136" s="3" t="s">
        <v>969</v>
      </c>
      <c r="C136" s="3" t="s">
        <v>970</v>
      </c>
      <c r="D136" s="2" t="s">
        <v>972</v>
      </c>
      <c r="E136" s="2" t="s">
        <v>7350</v>
      </c>
      <c r="F136" s="3" t="s">
        <v>971</v>
      </c>
      <c r="G136" s="2" t="s">
        <v>973</v>
      </c>
      <c r="H136" s="8">
        <v>303.13798000000003</v>
      </c>
      <c r="I136" s="2" t="s">
        <v>22</v>
      </c>
      <c r="J136" s="2" t="s">
        <v>26</v>
      </c>
      <c r="K136" s="2">
        <v>2</v>
      </c>
      <c r="L136" s="2" t="s">
        <v>20</v>
      </c>
      <c r="M136" s="2">
        <v>1967</v>
      </c>
      <c r="N136" s="3" t="s">
        <v>819</v>
      </c>
      <c r="O136" s="3" t="s">
        <v>974</v>
      </c>
      <c r="P136" s="3" t="s">
        <v>975</v>
      </c>
      <c r="Q136" s="2">
        <v>2843</v>
      </c>
    </row>
    <row r="137" spans="1:17" ht="143.25" customHeight="1" x14ac:dyDescent="0.25">
      <c r="A137" s="5" t="str">
        <f>_xll.JChemExcel.Functions.JCSYSStructure("E074CC70EE1E9085A03C1F185A62C9BE")</f>
        <v/>
      </c>
      <c r="B137" s="3" t="s">
        <v>976</v>
      </c>
      <c r="C137" s="3" t="s">
        <v>977</v>
      </c>
      <c r="D137" s="2" t="s">
        <v>979</v>
      </c>
      <c r="E137" s="2">
        <v>270086</v>
      </c>
      <c r="F137" s="3" t="s">
        <v>978</v>
      </c>
      <c r="G137" s="2" t="s">
        <v>980</v>
      </c>
      <c r="H137" s="8">
        <v>357.78764000000001</v>
      </c>
      <c r="I137" s="2" t="s">
        <v>22</v>
      </c>
      <c r="J137" s="2" t="s">
        <v>26</v>
      </c>
      <c r="K137" s="2">
        <v>2</v>
      </c>
      <c r="L137" s="2" t="s">
        <v>20</v>
      </c>
      <c r="M137" s="2">
        <v>1965</v>
      </c>
      <c r="N137" s="3" t="s">
        <v>981</v>
      </c>
      <c r="O137" s="3" t="s">
        <v>982</v>
      </c>
      <c r="P137" s="3" t="s">
        <v>983</v>
      </c>
      <c r="Q137" s="2">
        <v>2843</v>
      </c>
    </row>
    <row r="138" spans="1:17" ht="143.25" customHeight="1" x14ac:dyDescent="0.25">
      <c r="A138" s="5" t="str">
        <f>_xll.JChemExcel.Functions.JCSYSStructure("146B32F706753CF303DE00D5225E673A")</f>
        <v/>
      </c>
      <c r="B138" s="3" t="s">
        <v>984</v>
      </c>
      <c r="C138" s="3" t="s">
        <v>985</v>
      </c>
      <c r="D138" s="2" t="s">
        <v>987</v>
      </c>
      <c r="E138" s="2">
        <v>270102</v>
      </c>
      <c r="F138" s="3" t="s">
        <v>986</v>
      </c>
      <c r="G138" s="2" t="s">
        <v>988</v>
      </c>
      <c r="H138" s="8">
        <v>230.25916000000001</v>
      </c>
      <c r="I138" s="2" t="s">
        <v>22</v>
      </c>
      <c r="J138" s="2" t="s">
        <v>26</v>
      </c>
      <c r="K138" s="2">
        <v>2</v>
      </c>
      <c r="L138" s="2" t="s">
        <v>20</v>
      </c>
      <c r="M138" s="2">
        <v>1976</v>
      </c>
      <c r="N138" s="3" t="s">
        <v>989</v>
      </c>
      <c r="O138" s="3" t="s">
        <v>990</v>
      </c>
      <c r="P138" s="3" t="s">
        <v>991</v>
      </c>
      <c r="Q138" s="2">
        <v>2843</v>
      </c>
    </row>
    <row r="139" spans="1:17" ht="143.25" customHeight="1" x14ac:dyDescent="0.25">
      <c r="A139" s="5" t="str">
        <f>_xll.JChemExcel.Functions.JCSYSStructure("0C13B6C9E226ACE6EBFCF9B0555B8E09")</f>
        <v/>
      </c>
      <c r="B139" s="3" t="s">
        <v>992</v>
      </c>
      <c r="C139" s="3" t="s">
        <v>993</v>
      </c>
      <c r="D139" s="2" t="s">
        <v>995</v>
      </c>
      <c r="E139" s="2" t="s">
        <v>7351</v>
      </c>
      <c r="F139" s="3" t="s">
        <v>994</v>
      </c>
      <c r="G139" s="2" t="s">
        <v>996</v>
      </c>
      <c r="H139" s="8">
        <v>206.28082000000001</v>
      </c>
      <c r="I139" s="2" t="s">
        <v>22</v>
      </c>
      <c r="J139" s="2" t="s">
        <v>26</v>
      </c>
      <c r="K139" s="2">
        <v>2</v>
      </c>
      <c r="L139" s="2" t="s">
        <v>20</v>
      </c>
      <c r="M139" s="2">
        <v>1974</v>
      </c>
      <c r="N139" s="3" t="s">
        <v>997</v>
      </c>
      <c r="O139" s="3" t="s">
        <v>998</v>
      </c>
      <c r="P139" s="3" t="s">
        <v>999</v>
      </c>
      <c r="Q139" s="2">
        <v>2843</v>
      </c>
    </row>
    <row r="140" spans="1:17" ht="143.25" customHeight="1" x14ac:dyDescent="0.25">
      <c r="A140" s="5" t="str">
        <f>_xll.JChemExcel.Functions.JCSYSStructure("3A9D7E427A4DA262F8E9CB7B4ACA3B4A")</f>
        <v/>
      </c>
      <c r="B140" s="3" t="s">
        <v>1000</v>
      </c>
      <c r="C140" s="3" t="s">
        <v>1001</v>
      </c>
      <c r="D140" s="2" t="s">
        <v>1003</v>
      </c>
      <c r="E140" s="2" t="s">
        <v>7352</v>
      </c>
      <c r="F140" s="3" t="s">
        <v>1002</v>
      </c>
      <c r="G140" s="2" t="s">
        <v>1004</v>
      </c>
      <c r="H140" s="8">
        <v>364.41609999999997</v>
      </c>
      <c r="I140" s="2" t="s">
        <v>22</v>
      </c>
      <c r="J140" s="2" t="s">
        <v>26</v>
      </c>
      <c r="K140" s="2">
        <v>2</v>
      </c>
      <c r="L140" s="2" t="s">
        <v>20</v>
      </c>
      <c r="M140" s="2">
        <v>1994</v>
      </c>
      <c r="N140" s="3" t="s">
        <v>819</v>
      </c>
      <c r="O140" s="3" t="s">
        <v>1005</v>
      </c>
      <c r="P140" s="3" t="s">
        <v>1006</v>
      </c>
      <c r="Q140" s="2">
        <v>2843</v>
      </c>
    </row>
    <row r="141" spans="1:17" ht="143.25" customHeight="1" x14ac:dyDescent="0.25">
      <c r="A141" s="5" t="str">
        <f>_xll.JChemExcel.Functions.JCSYSStructure("1A96F2397DCDF723489798A6FC3EBC9C")</f>
        <v/>
      </c>
      <c r="B141" s="3" t="s">
        <v>1007</v>
      </c>
      <c r="C141" s="3" t="s">
        <v>1008</v>
      </c>
      <c r="D141" s="2" t="s">
        <v>1009</v>
      </c>
      <c r="E141" s="2">
        <v>380035</v>
      </c>
      <c r="F141" s="3" t="s">
        <v>7953</v>
      </c>
      <c r="G141" s="2" t="s">
        <v>1010</v>
      </c>
      <c r="H141" s="8">
        <v>908.9</v>
      </c>
      <c r="I141" s="2" t="s">
        <v>22</v>
      </c>
      <c r="J141" s="2" t="s">
        <v>1013</v>
      </c>
      <c r="K141" s="2">
        <v>2</v>
      </c>
      <c r="L141" s="2" t="s">
        <v>20</v>
      </c>
      <c r="M141" s="2" t="s">
        <v>124</v>
      </c>
      <c r="N141" s="3" t="s">
        <v>23</v>
      </c>
      <c r="O141" s="3" t="s">
        <v>1011</v>
      </c>
      <c r="P141" s="3" t="s">
        <v>1012</v>
      </c>
      <c r="Q141" s="2">
        <v>2843</v>
      </c>
    </row>
    <row r="142" spans="1:17" ht="143.25" customHeight="1" x14ac:dyDescent="0.25">
      <c r="A142" s="5" t="str">
        <f>_xll.JChemExcel.Functions.JCSYSStructure("CF97BD28683CCB0F5962E2F779B00DFA")</f>
        <v/>
      </c>
      <c r="B142" s="3" t="s">
        <v>1014</v>
      </c>
      <c r="C142" s="3" t="s">
        <v>1015</v>
      </c>
      <c r="D142" s="2" t="s">
        <v>1017</v>
      </c>
      <c r="E142" s="2" t="s">
        <v>7353</v>
      </c>
      <c r="F142" s="3" t="s">
        <v>1016</v>
      </c>
      <c r="G142" s="2" t="s">
        <v>1018</v>
      </c>
      <c r="H142" s="8">
        <v>678.48389099999997</v>
      </c>
      <c r="I142" s="2" t="s">
        <v>22</v>
      </c>
      <c r="J142" s="2" t="s">
        <v>26</v>
      </c>
      <c r="K142" s="2">
        <v>2</v>
      </c>
      <c r="L142" s="2" t="s">
        <v>20</v>
      </c>
      <c r="M142" s="2">
        <v>1985</v>
      </c>
      <c r="N142" s="3" t="s">
        <v>1019</v>
      </c>
      <c r="O142" s="3" t="s">
        <v>1020</v>
      </c>
      <c r="P142" s="3" t="s">
        <v>1021</v>
      </c>
      <c r="Q142" s="2">
        <v>2843</v>
      </c>
    </row>
    <row r="143" spans="1:17" ht="143.25" customHeight="1" x14ac:dyDescent="0.25">
      <c r="A143" s="5" t="str">
        <f>_xll.JChemExcel.Functions.JCSYSStructure("76357C1304AE68BB81880979BBF17822")</f>
        <v/>
      </c>
      <c r="B143" s="3" t="s">
        <v>1022</v>
      </c>
      <c r="C143" s="3" t="s">
        <v>1023</v>
      </c>
      <c r="D143" s="2" t="s">
        <v>1025</v>
      </c>
      <c r="E143" s="2">
        <v>270212</v>
      </c>
      <c r="F143" s="3" t="s">
        <v>1024</v>
      </c>
      <c r="G143" s="2" t="s">
        <v>1026</v>
      </c>
      <c r="H143" s="8">
        <v>217.28530000000001</v>
      </c>
      <c r="I143" s="2" t="s">
        <v>22</v>
      </c>
      <c r="J143" s="2" t="s">
        <v>26</v>
      </c>
      <c r="K143" s="2">
        <v>2</v>
      </c>
      <c r="L143" s="2" t="s">
        <v>20</v>
      </c>
      <c r="M143" s="2">
        <v>1981</v>
      </c>
      <c r="N143" s="3" t="s">
        <v>183</v>
      </c>
      <c r="O143" s="3" t="s">
        <v>1027</v>
      </c>
      <c r="P143" s="3" t="s">
        <v>1028</v>
      </c>
      <c r="Q143" s="2">
        <v>2843</v>
      </c>
    </row>
    <row r="144" spans="1:17" ht="143.25" customHeight="1" x14ac:dyDescent="0.25">
      <c r="A144" s="5" t="str">
        <f>_xll.JChemExcel.Functions.JCSYSStructure("9578282E312712FE7C9543852F2DD763")</f>
        <v/>
      </c>
      <c r="B144" s="3" t="s">
        <v>1029</v>
      </c>
      <c r="C144" s="3" t="s">
        <v>1030</v>
      </c>
      <c r="D144" s="2" t="s">
        <v>1032</v>
      </c>
      <c r="E144" s="2" t="s">
        <v>7354</v>
      </c>
      <c r="F144" s="3" t="s">
        <v>1031</v>
      </c>
      <c r="G144" s="2" t="s">
        <v>1033</v>
      </c>
      <c r="H144" s="8">
        <v>364.45916</v>
      </c>
      <c r="I144" s="2" t="s">
        <v>22</v>
      </c>
      <c r="J144" s="2" t="s">
        <v>26</v>
      </c>
      <c r="K144" s="2">
        <v>2</v>
      </c>
      <c r="L144" s="2" t="s">
        <v>20</v>
      </c>
      <c r="M144" s="2">
        <v>1961</v>
      </c>
      <c r="N144" s="3" t="s">
        <v>1034</v>
      </c>
      <c r="O144" s="3" t="s">
        <v>1035</v>
      </c>
      <c r="P144" s="3" t="s">
        <v>53</v>
      </c>
      <c r="Q144" s="2">
        <v>2843</v>
      </c>
    </row>
    <row r="145" spans="1:17" ht="143.25" customHeight="1" x14ac:dyDescent="0.25">
      <c r="A145" s="5" t="str">
        <f>_xll.JChemExcel.Functions.JCSYSStructure("14C321B58433A3CD6E2CD9164BF3CD63")</f>
        <v/>
      </c>
      <c r="B145" s="3" t="s">
        <v>1036</v>
      </c>
      <c r="C145" s="3" t="s">
        <v>1037</v>
      </c>
      <c r="D145" s="2" t="s">
        <v>1039</v>
      </c>
      <c r="E145" s="2">
        <v>430040</v>
      </c>
      <c r="F145" s="3" t="s">
        <v>1038</v>
      </c>
      <c r="G145" s="2" t="s">
        <v>1040</v>
      </c>
      <c r="H145" s="8">
        <v>331.34642000000002</v>
      </c>
      <c r="I145" s="2" t="s">
        <v>22</v>
      </c>
      <c r="J145" s="2" t="s">
        <v>26</v>
      </c>
      <c r="K145" s="2">
        <v>2</v>
      </c>
      <c r="L145" s="2" t="s">
        <v>20</v>
      </c>
      <c r="M145" s="2">
        <v>1982</v>
      </c>
      <c r="N145" s="3" t="s">
        <v>1041</v>
      </c>
      <c r="O145" s="3" t="s">
        <v>1042</v>
      </c>
      <c r="P145" s="3" t="s">
        <v>1043</v>
      </c>
      <c r="Q145" s="2">
        <v>2843</v>
      </c>
    </row>
    <row r="146" spans="1:17" ht="143.25" customHeight="1" x14ac:dyDescent="0.25">
      <c r="A146" s="5" t="str">
        <f>_xll.JChemExcel.Functions.JCSYSStructure("A445C13B6AAF981AD00C416B18AE4BB2")</f>
        <v/>
      </c>
      <c r="B146" s="3" t="s">
        <v>1044</v>
      </c>
      <c r="C146" s="3" t="s">
        <v>1045</v>
      </c>
      <c r="D146" s="2" t="s">
        <v>1047</v>
      </c>
      <c r="E146" s="2" t="s">
        <v>7355</v>
      </c>
      <c r="F146" s="3" t="s">
        <v>1046</v>
      </c>
      <c r="G146" s="2" t="s">
        <v>1048</v>
      </c>
      <c r="H146" s="8">
        <v>437.89230300000003</v>
      </c>
      <c r="I146" s="2" t="s">
        <v>22</v>
      </c>
      <c r="J146" s="2" t="s">
        <v>26</v>
      </c>
      <c r="K146" s="2">
        <v>2</v>
      </c>
      <c r="L146" s="2" t="s">
        <v>20</v>
      </c>
      <c r="M146" s="2">
        <v>1999</v>
      </c>
      <c r="N146" s="3" t="s">
        <v>23</v>
      </c>
      <c r="O146" s="3" t="s">
        <v>1049</v>
      </c>
      <c r="P146" s="3" t="s">
        <v>53</v>
      </c>
      <c r="Q146" s="2">
        <v>2843</v>
      </c>
    </row>
    <row r="147" spans="1:17" ht="143.25" customHeight="1" x14ac:dyDescent="0.25">
      <c r="A147" s="5" t="str">
        <f>_xll.JChemExcel.Functions.JCSYSStructure("1ACF742827A4CCBD9E42252354E88F14")</f>
        <v/>
      </c>
      <c r="B147" s="3" t="s">
        <v>1050</v>
      </c>
      <c r="C147" s="3" t="s">
        <v>1051</v>
      </c>
      <c r="D147" s="2" t="s">
        <v>1053</v>
      </c>
      <c r="E147" s="2" t="s">
        <v>7356</v>
      </c>
      <c r="F147" s="3" t="s">
        <v>1052</v>
      </c>
      <c r="G147" s="2" t="s">
        <v>1054</v>
      </c>
      <c r="H147" s="8">
        <v>244.2</v>
      </c>
      <c r="I147" s="2" t="s">
        <v>22</v>
      </c>
      <c r="J147" s="2" t="s">
        <v>26</v>
      </c>
      <c r="K147" s="2">
        <v>2</v>
      </c>
      <c r="L147" s="2" t="s">
        <v>20</v>
      </c>
      <c r="M147" s="2">
        <v>1975</v>
      </c>
      <c r="N147" s="3" t="s">
        <v>1055</v>
      </c>
      <c r="O147" s="3" t="s">
        <v>1056</v>
      </c>
      <c r="P147" s="3" t="s">
        <v>53</v>
      </c>
      <c r="Q147" s="2">
        <v>2843</v>
      </c>
    </row>
    <row r="148" spans="1:17" ht="143.25" customHeight="1" x14ac:dyDescent="0.25">
      <c r="A148" s="5" t="str">
        <f>_xll.JChemExcel.Functions.JCSYSStructure("FCCCCAA118E54D2744D10A23A688D3E7")</f>
        <v/>
      </c>
      <c r="B148" s="3" t="s">
        <v>1057</v>
      </c>
      <c r="C148" s="3" t="s">
        <v>1058</v>
      </c>
      <c r="D148" s="2" t="s">
        <v>1060</v>
      </c>
      <c r="E148" s="2" t="s">
        <v>7357</v>
      </c>
      <c r="F148" s="3" t="s">
        <v>1059</v>
      </c>
      <c r="G148" s="2" t="s">
        <v>1061</v>
      </c>
      <c r="H148" s="8">
        <v>254.28056000000001</v>
      </c>
      <c r="I148" s="2" t="s">
        <v>22</v>
      </c>
      <c r="J148" s="2" t="s">
        <v>26</v>
      </c>
      <c r="K148" s="2">
        <v>2</v>
      </c>
      <c r="L148" s="2" t="s">
        <v>20</v>
      </c>
      <c r="M148" s="2">
        <v>1986</v>
      </c>
      <c r="N148" s="3" t="s">
        <v>997</v>
      </c>
      <c r="O148" s="3" t="s">
        <v>1062</v>
      </c>
      <c r="P148" s="3" t="s">
        <v>1063</v>
      </c>
      <c r="Q148" s="2">
        <v>2843</v>
      </c>
    </row>
    <row r="149" spans="1:17" ht="143.25" customHeight="1" x14ac:dyDescent="0.25">
      <c r="A149" s="5" t="str">
        <f>_xll.JChemExcel.Functions.JCSYSStructure("9A74E276750B89506D2903F0F7EFBFD5")</f>
        <v/>
      </c>
      <c r="B149" s="3" t="s">
        <v>1064</v>
      </c>
      <c r="C149" s="3" t="s">
        <v>1065</v>
      </c>
      <c r="D149" s="2" t="s">
        <v>1067</v>
      </c>
      <c r="E149" s="2" t="s">
        <v>7358</v>
      </c>
      <c r="F149" s="3" t="s">
        <v>1066</v>
      </c>
      <c r="G149" s="2" t="s">
        <v>1068</v>
      </c>
      <c r="H149" s="8">
        <v>351.40071999999998</v>
      </c>
      <c r="I149" s="2" t="s">
        <v>22</v>
      </c>
      <c r="J149" s="2" t="s">
        <v>26</v>
      </c>
      <c r="K149" s="2">
        <v>2</v>
      </c>
      <c r="L149" s="2" t="s">
        <v>20</v>
      </c>
      <c r="M149" s="2">
        <v>2000</v>
      </c>
      <c r="N149" s="3" t="s">
        <v>1069</v>
      </c>
      <c r="O149" s="3" t="s">
        <v>1070</v>
      </c>
      <c r="P149" s="3" t="s">
        <v>1071</v>
      </c>
      <c r="Q149" s="2">
        <v>2843</v>
      </c>
    </row>
    <row r="150" spans="1:17" ht="143.25" customHeight="1" x14ac:dyDescent="0.25">
      <c r="A150" s="5" t="str">
        <f>_xll.JChemExcel.Functions.JCSYSStructure("B6A94038B92C59C2200462A65472DE3B")</f>
        <v/>
      </c>
      <c r="B150" s="3" t="s">
        <v>1072</v>
      </c>
      <c r="C150" s="3" t="s">
        <v>1073</v>
      </c>
      <c r="D150" s="2" t="s">
        <v>1075</v>
      </c>
      <c r="E150" s="2" t="s">
        <v>7359</v>
      </c>
      <c r="F150" s="3" t="s">
        <v>1074</v>
      </c>
      <c r="G150" s="2" t="s">
        <v>1076</v>
      </c>
      <c r="H150" s="8">
        <v>327.9</v>
      </c>
      <c r="I150" s="2" t="s">
        <v>22</v>
      </c>
      <c r="J150" s="2" t="s">
        <v>26</v>
      </c>
      <c r="K150" s="2">
        <v>2</v>
      </c>
      <c r="L150" s="2" t="s">
        <v>20</v>
      </c>
      <c r="M150" s="2">
        <v>1992</v>
      </c>
      <c r="N150" s="3" t="s">
        <v>676</v>
      </c>
      <c r="O150" s="3" t="s">
        <v>1077</v>
      </c>
      <c r="P150" s="3" t="s">
        <v>53</v>
      </c>
      <c r="Q150" s="2">
        <v>2843</v>
      </c>
    </row>
    <row r="151" spans="1:17" ht="143.25" customHeight="1" x14ac:dyDescent="0.25">
      <c r="A151" s="5" t="str">
        <f>_xll.JChemExcel.Functions.JCSYSStructure("CDA35B4FBCD0FE8DE81D33BE010444A8")</f>
        <v/>
      </c>
      <c r="B151" s="3" t="s">
        <v>1078</v>
      </c>
      <c r="C151" s="3" t="s">
        <v>1079</v>
      </c>
      <c r="D151" s="2" t="s">
        <v>1081</v>
      </c>
      <c r="E151" s="2" t="s">
        <v>7360</v>
      </c>
      <c r="F151" s="3" t="s">
        <v>1080</v>
      </c>
      <c r="G151" s="2" t="s">
        <v>1082</v>
      </c>
      <c r="H151" s="8">
        <v>186.182909</v>
      </c>
      <c r="I151" s="2" t="s">
        <v>22</v>
      </c>
      <c r="J151" s="2" t="s">
        <v>26</v>
      </c>
      <c r="K151" s="2">
        <v>2</v>
      </c>
      <c r="L151" s="2" t="s">
        <v>20</v>
      </c>
      <c r="M151" s="2">
        <v>1996</v>
      </c>
      <c r="N151" s="3" t="s">
        <v>563</v>
      </c>
      <c r="O151" s="3" t="s">
        <v>1083</v>
      </c>
      <c r="P151" s="3" t="s">
        <v>1084</v>
      </c>
      <c r="Q151" s="2">
        <v>2843</v>
      </c>
    </row>
    <row r="152" spans="1:17" ht="143.25" customHeight="1" x14ac:dyDescent="0.25">
      <c r="A152" s="5" t="str">
        <f>_xll.JChemExcel.Functions.JCSYSStructure("B344766B8F24A460A2747DC909A43194")</f>
        <v/>
      </c>
      <c r="B152" s="3" t="s">
        <v>1085</v>
      </c>
      <c r="C152" s="3" t="s">
        <v>1086</v>
      </c>
      <c r="D152" s="2" t="s">
        <v>1088</v>
      </c>
      <c r="E152" s="2" t="s">
        <v>7361</v>
      </c>
      <c r="F152" s="3" t="s">
        <v>1087</v>
      </c>
      <c r="G152" s="2" t="s">
        <v>1089</v>
      </c>
      <c r="H152" s="8">
        <v>418.56621999999999</v>
      </c>
      <c r="I152" s="2" t="s">
        <v>22</v>
      </c>
      <c r="J152" s="2" t="s">
        <v>26</v>
      </c>
      <c r="K152" s="2">
        <v>2</v>
      </c>
      <c r="L152" s="2" t="s">
        <v>20</v>
      </c>
      <c r="M152" s="2">
        <v>1991</v>
      </c>
      <c r="N152" s="3" t="s">
        <v>1090</v>
      </c>
      <c r="O152" s="3" t="s">
        <v>1091</v>
      </c>
      <c r="P152" s="3" t="s">
        <v>1092</v>
      </c>
      <c r="Q152" s="2">
        <v>2843</v>
      </c>
    </row>
    <row r="153" spans="1:17" ht="143.25" customHeight="1" x14ac:dyDescent="0.25">
      <c r="A153" s="5" t="str">
        <f>_xll.JChemExcel.Functions.JCSYSStructure("B7C8CCD8D2AEFD6F9A0ED479039540E9")</f>
        <v/>
      </c>
      <c r="B153" s="3" t="s">
        <v>1093</v>
      </c>
      <c r="C153" s="3" t="s">
        <v>1094</v>
      </c>
      <c r="D153" s="2" t="s">
        <v>1096</v>
      </c>
      <c r="E153" s="2" t="s">
        <v>7362</v>
      </c>
      <c r="F153" s="3" t="s">
        <v>1095</v>
      </c>
      <c r="G153" s="2" t="s">
        <v>1097</v>
      </c>
      <c r="H153" s="8">
        <v>1329.5</v>
      </c>
      <c r="I153" s="2" t="s">
        <v>22</v>
      </c>
      <c r="J153" s="2" t="s">
        <v>26</v>
      </c>
      <c r="K153" s="2">
        <v>2</v>
      </c>
      <c r="L153" s="2" t="s">
        <v>20</v>
      </c>
      <c r="M153" s="2">
        <v>1989</v>
      </c>
      <c r="N153" s="3" t="s">
        <v>563</v>
      </c>
      <c r="O153" s="3" t="s">
        <v>1098</v>
      </c>
      <c r="P153" s="3" t="s">
        <v>1099</v>
      </c>
      <c r="Q153" s="2">
        <v>2843</v>
      </c>
    </row>
    <row r="154" spans="1:17" ht="143.25" customHeight="1" x14ac:dyDescent="0.25">
      <c r="A154" s="5" t="str">
        <f>_xll.JChemExcel.Functions.JCSYSStructure("BE18B73470908BCC2FCBC1A99B895AB8")</f>
        <v/>
      </c>
      <c r="B154" s="3" t="s">
        <v>1100</v>
      </c>
      <c r="C154" s="3" t="s">
        <v>1101</v>
      </c>
      <c r="D154" s="2" t="s">
        <v>1103</v>
      </c>
      <c r="E154" s="2" t="s">
        <v>7363</v>
      </c>
      <c r="F154" s="3" t="s">
        <v>1102</v>
      </c>
      <c r="G154" s="2" t="s">
        <v>1104</v>
      </c>
      <c r="H154" s="8">
        <v>510.04422</v>
      </c>
      <c r="I154" s="2" t="s">
        <v>22</v>
      </c>
      <c r="J154" s="2" t="s">
        <v>26</v>
      </c>
      <c r="K154" s="2">
        <v>2</v>
      </c>
      <c r="L154" s="2" t="s">
        <v>20</v>
      </c>
      <c r="M154" s="2">
        <v>1997</v>
      </c>
      <c r="N154" s="3" t="s">
        <v>1105</v>
      </c>
      <c r="O154" s="3" t="s">
        <v>1106</v>
      </c>
      <c r="P154" s="3" t="s">
        <v>1107</v>
      </c>
      <c r="Q154" s="2">
        <v>2843</v>
      </c>
    </row>
    <row r="155" spans="1:17" ht="143.25" customHeight="1" x14ac:dyDescent="0.25">
      <c r="A155" s="5" t="str">
        <f>_xll.JChemExcel.Functions.JCSYSStructure("5CE9732835F428EAA60B238DE498DBE6")</f>
        <v/>
      </c>
      <c r="B155" s="3" t="s">
        <v>1108</v>
      </c>
      <c r="C155" s="3" t="s">
        <v>1109</v>
      </c>
      <c r="D155" s="2" t="s">
        <v>1110</v>
      </c>
      <c r="E155" s="2">
        <v>380071</v>
      </c>
      <c r="F155" s="3" t="s">
        <v>7954</v>
      </c>
      <c r="G155" s="2" t="s">
        <v>1111</v>
      </c>
      <c r="H155" s="8">
        <v>822.94021999999995</v>
      </c>
      <c r="I155" s="2" t="s">
        <v>22</v>
      </c>
      <c r="J155" s="2" t="s">
        <v>26</v>
      </c>
      <c r="K155" s="2">
        <v>2</v>
      </c>
      <c r="L155" s="2" t="s">
        <v>20</v>
      </c>
      <c r="M155" s="2">
        <v>1971</v>
      </c>
      <c r="N155" s="3" t="s">
        <v>1112</v>
      </c>
      <c r="O155" s="3" t="s">
        <v>1113</v>
      </c>
      <c r="P155" s="3" t="s">
        <v>53</v>
      </c>
      <c r="Q155" s="2">
        <v>2843</v>
      </c>
    </row>
    <row r="156" spans="1:17" ht="143.25" customHeight="1" x14ac:dyDescent="0.25">
      <c r="A156" s="5" t="str">
        <f>_xll.JChemExcel.Functions.JCSYSStructure("467E7053FD642366CCD6CFAB18B2529B")</f>
        <v/>
      </c>
      <c r="B156" s="3" t="s">
        <v>1114</v>
      </c>
      <c r="C156" s="3" t="s">
        <v>1115</v>
      </c>
      <c r="D156" s="2" t="s">
        <v>1117</v>
      </c>
      <c r="E156" s="2" t="s">
        <v>7364</v>
      </c>
      <c r="F156" s="3" t="s">
        <v>1116</v>
      </c>
      <c r="G156" s="2" t="s">
        <v>1118</v>
      </c>
      <c r="H156" s="8">
        <v>588.55658000000005</v>
      </c>
      <c r="I156" s="2" t="s">
        <v>22</v>
      </c>
      <c r="J156" s="2" t="s">
        <v>26</v>
      </c>
      <c r="K156" s="2">
        <v>2</v>
      </c>
      <c r="L156" s="2" t="s">
        <v>20</v>
      </c>
      <c r="M156" s="2">
        <v>1983</v>
      </c>
      <c r="N156" s="3" t="s">
        <v>563</v>
      </c>
      <c r="O156" s="3" t="s">
        <v>1119</v>
      </c>
      <c r="P156" s="3" t="s">
        <v>1120</v>
      </c>
      <c r="Q156" s="2">
        <v>2843</v>
      </c>
    </row>
    <row r="157" spans="1:17" ht="143.25" customHeight="1" x14ac:dyDescent="0.25">
      <c r="A157" s="5" t="str">
        <f>_xll.JChemExcel.Functions.JCSYSStructure("3463EBBBF84B853F6F1137E2D6C98198")</f>
        <v/>
      </c>
      <c r="B157" s="3" t="s">
        <v>1121</v>
      </c>
      <c r="C157" s="3" t="s">
        <v>1122</v>
      </c>
      <c r="D157" s="2" t="s">
        <v>1124</v>
      </c>
      <c r="E157" s="2" t="s">
        <v>7365</v>
      </c>
      <c r="F157" s="3" t="s">
        <v>1123</v>
      </c>
      <c r="G157" s="2" t="s">
        <v>1125</v>
      </c>
      <c r="H157" s="8">
        <v>334.32722000000001</v>
      </c>
      <c r="I157" s="2" t="s">
        <v>22</v>
      </c>
      <c r="J157" s="2" t="s">
        <v>26</v>
      </c>
      <c r="K157" s="2">
        <v>2</v>
      </c>
      <c r="L157" s="2" t="s">
        <v>20</v>
      </c>
      <c r="M157" s="2">
        <v>1981</v>
      </c>
      <c r="N157" s="3" t="s">
        <v>1126</v>
      </c>
      <c r="O157" s="3" t="s">
        <v>1127</v>
      </c>
      <c r="P157" s="3" t="s">
        <v>1128</v>
      </c>
      <c r="Q157" s="2">
        <v>2843</v>
      </c>
    </row>
    <row r="158" spans="1:17" ht="143.25" customHeight="1" x14ac:dyDescent="0.25">
      <c r="A158" s="5" t="str">
        <f>_xll.JChemExcel.Functions.JCSYSStructure("120178466E3CA7A1177FE7C33DB6ED0D")</f>
        <v/>
      </c>
      <c r="B158" s="3" t="s">
        <v>1129</v>
      </c>
      <c r="C158" s="3" t="s">
        <v>1130</v>
      </c>
      <c r="D158" s="2" t="s">
        <v>1132</v>
      </c>
      <c r="E158" s="2" t="s">
        <v>7366</v>
      </c>
      <c r="F158" s="3" t="s">
        <v>1131</v>
      </c>
      <c r="G158" s="2" t="s">
        <v>1133</v>
      </c>
      <c r="H158" s="8">
        <v>552.66678000000002</v>
      </c>
      <c r="I158" s="2" t="s">
        <v>22</v>
      </c>
      <c r="J158" s="2" t="s">
        <v>26</v>
      </c>
      <c r="K158" s="2">
        <v>2</v>
      </c>
      <c r="L158" s="2" t="s">
        <v>20</v>
      </c>
      <c r="M158" s="2">
        <v>1997</v>
      </c>
      <c r="N158" s="3" t="s">
        <v>1134</v>
      </c>
      <c r="O158" s="3" t="s">
        <v>1135</v>
      </c>
      <c r="P158" s="3" t="s">
        <v>1136</v>
      </c>
      <c r="Q158" s="2">
        <v>2843</v>
      </c>
    </row>
    <row r="159" spans="1:17" ht="143.25" customHeight="1" x14ac:dyDescent="0.25">
      <c r="A159" s="5" t="str">
        <f>_xll.JChemExcel.Functions.JCSYSStructure("0815F65EF306CE22F0C9DBFEC5F07828")</f>
        <v/>
      </c>
      <c r="B159" s="3" t="s">
        <v>1137</v>
      </c>
      <c r="C159" s="3" t="s">
        <v>1138</v>
      </c>
      <c r="D159" s="2" t="s">
        <v>1139</v>
      </c>
      <c r="E159" s="2">
        <v>380043</v>
      </c>
      <c r="F159" s="3" t="s">
        <v>7955</v>
      </c>
      <c r="G159" s="2" t="s">
        <v>1140</v>
      </c>
      <c r="H159" s="8">
        <v>563.98400000000004</v>
      </c>
      <c r="I159" s="2" t="s">
        <v>22</v>
      </c>
      <c r="J159" s="2" t="s">
        <v>26</v>
      </c>
      <c r="K159" s="2">
        <v>2</v>
      </c>
      <c r="L159" s="2" t="s">
        <v>20</v>
      </c>
      <c r="M159" s="2">
        <v>1979</v>
      </c>
      <c r="N159" s="3" t="s">
        <v>563</v>
      </c>
      <c r="O159" s="3" t="s">
        <v>1141</v>
      </c>
      <c r="P159" s="3" t="s">
        <v>1142</v>
      </c>
      <c r="Q159" s="2">
        <v>2843</v>
      </c>
    </row>
    <row r="160" spans="1:17" ht="143.25" customHeight="1" x14ac:dyDescent="0.25">
      <c r="A160" s="5" t="str">
        <f>_xll.JChemExcel.Functions.JCSYSStructure("C94D1D9718D1EEB9F41D859E20265947")</f>
        <v/>
      </c>
      <c r="B160" s="3" t="s">
        <v>1143</v>
      </c>
      <c r="C160" s="3" t="s">
        <v>1144</v>
      </c>
      <c r="D160" s="2" t="s">
        <v>1145</v>
      </c>
      <c r="E160" s="2" t="s">
        <v>7367</v>
      </c>
      <c r="F160" s="3" t="s">
        <v>7956</v>
      </c>
      <c r="G160" s="2" t="s">
        <v>1146</v>
      </c>
      <c r="H160" s="8">
        <v>579.98299999999995</v>
      </c>
      <c r="I160" s="2" t="s">
        <v>22</v>
      </c>
      <c r="J160" s="2" t="s">
        <v>26</v>
      </c>
      <c r="K160" s="2">
        <v>2</v>
      </c>
      <c r="L160" s="2" t="s">
        <v>20</v>
      </c>
      <c r="M160" s="2">
        <v>1974</v>
      </c>
      <c r="N160" s="3" t="s">
        <v>563</v>
      </c>
      <c r="O160" s="3" t="s">
        <v>1147</v>
      </c>
      <c r="P160" s="3" t="s">
        <v>1148</v>
      </c>
      <c r="Q160" s="2">
        <v>2843</v>
      </c>
    </row>
    <row r="161" spans="1:17" ht="143.25" customHeight="1" x14ac:dyDescent="0.25">
      <c r="A161" s="5" t="str">
        <f>_xll.JChemExcel.Functions.JCSYSStructure("61F8D3C8CE5A5350FC9D29CF48762D2F")</f>
        <v/>
      </c>
      <c r="B161" s="3" t="s">
        <v>1149</v>
      </c>
      <c r="C161" s="3" t="s">
        <v>1150</v>
      </c>
      <c r="D161" s="2" t="s">
        <v>1152</v>
      </c>
      <c r="E161" s="2" t="s">
        <v>7368</v>
      </c>
      <c r="F161" s="3" t="s">
        <v>1151</v>
      </c>
      <c r="G161" s="2" t="s">
        <v>1153</v>
      </c>
      <c r="H161" s="8">
        <v>461.80968000000001</v>
      </c>
      <c r="I161" s="2" t="s">
        <v>22</v>
      </c>
      <c r="J161" s="2" t="s">
        <v>26</v>
      </c>
      <c r="K161" s="2">
        <v>2</v>
      </c>
      <c r="L161" s="2" t="s">
        <v>20</v>
      </c>
      <c r="M161" s="2">
        <v>1995</v>
      </c>
      <c r="N161" s="3" t="s">
        <v>1154</v>
      </c>
      <c r="O161" s="3" t="s">
        <v>1155</v>
      </c>
      <c r="P161" s="3" t="s">
        <v>1156</v>
      </c>
      <c r="Q161" s="2">
        <v>2843</v>
      </c>
    </row>
    <row r="162" spans="1:17" ht="143.25" customHeight="1" x14ac:dyDescent="0.25">
      <c r="A162" s="5" t="str">
        <f>_xll.JChemExcel.Functions.JCSYSStructure("9799E3EDB4E68AC5C13C998FCC5F7136")</f>
        <v/>
      </c>
      <c r="B162" s="3" t="s">
        <v>1157</v>
      </c>
      <c r="C162" s="3" t="s">
        <v>1158</v>
      </c>
      <c r="D162" s="2" t="s">
        <v>1160</v>
      </c>
      <c r="E162" s="2" t="s">
        <v>7369</v>
      </c>
      <c r="F162" s="3" t="s">
        <v>1159</v>
      </c>
      <c r="G162" s="2" t="s">
        <v>7957</v>
      </c>
      <c r="H162" s="8">
        <v>925.5</v>
      </c>
      <c r="I162" s="2" t="s">
        <v>22</v>
      </c>
      <c r="J162" s="2" t="s">
        <v>26</v>
      </c>
      <c r="K162" s="2">
        <v>3</v>
      </c>
      <c r="L162" s="2" t="s">
        <v>20</v>
      </c>
      <c r="M162" s="2">
        <v>2007</v>
      </c>
      <c r="N162" s="3" t="s">
        <v>563</v>
      </c>
      <c r="O162" s="3" t="s">
        <v>1161</v>
      </c>
      <c r="P162" s="3" t="s">
        <v>53</v>
      </c>
      <c r="Q162" s="2">
        <v>2843</v>
      </c>
    </row>
    <row r="163" spans="1:17" ht="143.25" customHeight="1" x14ac:dyDescent="0.25">
      <c r="A163" s="5" t="str">
        <f>_xll.JChemExcel.Functions.JCSYSStructure("89F8B042B5E9A10BCFDB0942987B93DF")</f>
        <v/>
      </c>
      <c r="B163" s="3" t="s">
        <v>1162</v>
      </c>
      <c r="C163" s="3" t="s">
        <v>1163</v>
      </c>
      <c r="D163" s="2" t="s">
        <v>1165</v>
      </c>
      <c r="E163" s="2" t="s">
        <v>7370</v>
      </c>
      <c r="F163" s="3" t="s">
        <v>1164</v>
      </c>
      <c r="G163" s="2" t="s">
        <v>1166</v>
      </c>
      <c r="H163" s="8">
        <v>392.9</v>
      </c>
      <c r="I163" s="2" t="s">
        <v>22</v>
      </c>
      <c r="J163" s="2" t="s">
        <v>26</v>
      </c>
      <c r="K163" s="2">
        <v>3</v>
      </c>
      <c r="L163" s="2" t="s">
        <v>20</v>
      </c>
      <c r="M163" s="2">
        <v>1999</v>
      </c>
      <c r="N163" s="3" t="s">
        <v>1167</v>
      </c>
      <c r="O163" s="3" t="s">
        <v>1168</v>
      </c>
      <c r="P163" s="3" t="s">
        <v>1169</v>
      </c>
      <c r="Q163" s="2">
        <v>2843</v>
      </c>
    </row>
    <row r="164" spans="1:17" ht="143.25" customHeight="1" x14ac:dyDescent="0.25">
      <c r="A164" s="5" t="str">
        <f>_xll.JChemExcel.Functions.JCSYSStructure("6AE602DE65CA663BBF442EC21B3F38AD")</f>
        <v/>
      </c>
      <c r="B164" s="3" t="s">
        <v>1170</v>
      </c>
      <c r="C164" s="3" t="s">
        <v>1171</v>
      </c>
      <c r="D164" s="2" t="s">
        <v>1173</v>
      </c>
      <c r="E164" s="2" t="s">
        <v>7371</v>
      </c>
      <c r="F164" s="3" t="s">
        <v>1172</v>
      </c>
      <c r="G164" s="2" t="s">
        <v>1174</v>
      </c>
      <c r="H164" s="8">
        <v>400.4</v>
      </c>
      <c r="I164" s="2" t="s">
        <v>22</v>
      </c>
      <c r="J164" s="2" t="s">
        <v>26</v>
      </c>
      <c r="K164" s="2">
        <v>3</v>
      </c>
      <c r="L164" s="2" t="s">
        <v>20</v>
      </c>
      <c r="M164" s="2">
        <v>2000</v>
      </c>
      <c r="N164" s="3" t="s">
        <v>1175</v>
      </c>
      <c r="O164" s="3" t="s">
        <v>1176</v>
      </c>
      <c r="P164" s="3" t="s">
        <v>53</v>
      </c>
      <c r="Q164" s="2">
        <v>2843</v>
      </c>
    </row>
    <row r="165" spans="1:17" ht="143.25" customHeight="1" x14ac:dyDescent="0.25">
      <c r="A165" s="5"/>
      <c r="D165" s="2" t="s">
        <v>1177</v>
      </c>
      <c r="F165" s="3" t="s">
        <v>2847</v>
      </c>
      <c r="G165" s="2"/>
      <c r="K165" s="2">
        <v>3</v>
      </c>
      <c r="L165" s="2" t="s">
        <v>20</v>
      </c>
    </row>
    <row r="166" spans="1:17" ht="143.25" customHeight="1" x14ac:dyDescent="0.25">
      <c r="A166" s="5" t="str">
        <f>_xll.JChemExcel.Functions.JCSYSStructure("34A77F65DED2A1C8F2563FC65AA59E1F")</f>
        <v/>
      </c>
      <c r="B166" s="3" t="s">
        <v>1178</v>
      </c>
      <c r="C166" s="3" t="s">
        <v>1179</v>
      </c>
      <c r="D166" s="2" t="s">
        <v>1181</v>
      </c>
      <c r="E166" s="2">
        <v>430105</v>
      </c>
      <c r="F166" s="3" t="s">
        <v>1180</v>
      </c>
      <c r="G166" s="2" t="s">
        <v>1182</v>
      </c>
      <c r="H166" s="8">
        <v>356.4</v>
      </c>
      <c r="I166" s="2" t="s">
        <v>22</v>
      </c>
      <c r="J166" s="2" t="s">
        <v>26</v>
      </c>
      <c r="K166" s="2">
        <v>3</v>
      </c>
      <c r="L166" s="2" t="s">
        <v>20</v>
      </c>
      <c r="M166" s="2">
        <v>1978</v>
      </c>
      <c r="N166" s="3" t="s">
        <v>1183</v>
      </c>
      <c r="O166" s="3" t="s">
        <v>1184</v>
      </c>
      <c r="P166" s="3" t="s">
        <v>1185</v>
      </c>
      <c r="Q166" s="2">
        <v>2843</v>
      </c>
    </row>
    <row r="167" spans="1:17" ht="143.25" customHeight="1" x14ac:dyDescent="0.25">
      <c r="A167" s="5" t="str">
        <f>_xll.JChemExcel.Functions.JCSYSStructure("92ED2D031D27A0F0E94C392C8FAE0ECC")</f>
        <v/>
      </c>
      <c r="B167" s="3" t="s">
        <v>1186</v>
      </c>
      <c r="C167" s="3" t="s">
        <v>1187</v>
      </c>
      <c r="D167" s="2" t="s">
        <v>1188</v>
      </c>
      <c r="E167" s="2">
        <v>550304</v>
      </c>
      <c r="F167" s="3" t="s">
        <v>7958</v>
      </c>
      <c r="G167" s="2" t="s">
        <v>1189</v>
      </c>
      <c r="H167" s="8">
        <v>166.2</v>
      </c>
      <c r="I167" s="2" t="s">
        <v>22</v>
      </c>
      <c r="J167" s="2" t="s">
        <v>26</v>
      </c>
      <c r="K167" s="2">
        <v>3</v>
      </c>
      <c r="L167" s="2" t="s">
        <v>20</v>
      </c>
      <c r="M167" s="2">
        <v>1996</v>
      </c>
      <c r="N167" s="3" t="s">
        <v>1190</v>
      </c>
      <c r="O167" s="3" t="s">
        <v>1191</v>
      </c>
      <c r="P167" s="3" t="s">
        <v>1192</v>
      </c>
      <c r="Q167" s="2">
        <v>2843</v>
      </c>
    </row>
    <row r="168" spans="1:17" ht="143.25" customHeight="1" x14ac:dyDescent="0.25">
      <c r="A168" s="5" t="str">
        <f>_xll.JChemExcel.Functions.JCSYSStructure("E66666806A257402F93B4C28BC7AB48C")</f>
        <v/>
      </c>
      <c r="B168" s="3" t="s">
        <v>1193</v>
      </c>
      <c r="C168" s="3" t="s">
        <v>1194</v>
      </c>
      <c r="D168" s="2" t="s">
        <v>1196</v>
      </c>
      <c r="E168" s="2" t="s">
        <v>7372</v>
      </c>
      <c r="F168" s="3" t="s">
        <v>1195</v>
      </c>
      <c r="G168" s="2" t="s">
        <v>1197</v>
      </c>
      <c r="H168" s="8">
        <v>412.6</v>
      </c>
      <c r="I168" s="2" t="s">
        <v>22</v>
      </c>
      <c r="J168" s="2" t="s">
        <v>26</v>
      </c>
      <c r="K168" s="2">
        <v>3</v>
      </c>
      <c r="L168" s="2" t="s">
        <v>20</v>
      </c>
      <c r="M168" s="2">
        <v>1993</v>
      </c>
      <c r="N168" s="3" t="s">
        <v>1198</v>
      </c>
      <c r="O168" s="3" t="s">
        <v>1199</v>
      </c>
      <c r="P168" s="3" t="s">
        <v>1200</v>
      </c>
      <c r="Q168" s="2">
        <v>2843</v>
      </c>
    </row>
    <row r="169" spans="1:17" ht="143.25" customHeight="1" x14ac:dyDescent="0.25">
      <c r="A169" s="5" t="str">
        <f>_xll.JChemExcel.Functions.JCSYSStructure("BA7DB5D61FBCB10CE7044ED22ECEE1EC")</f>
        <v/>
      </c>
      <c r="B169" s="3" t="s">
        <v>1201</v>
      </c>
      <c r="C169" s="3" t="s">
        <v>1202</v>
      </c>
      <c r="D169" s="2" t="s">
        <v>1204</v>
      </c>
      <c r="E169" s="2" t="s">
        <v>7373</v>
      </c>
      <c r="F169" s="3" t="s">
        <v>1203</v>
      </c>
      <c r="G169" s="2" t="s">
        <v>1205</v>
      </c>
      <c r="H169" s="8">
        <v>575.70000000000005</v>
      </c>
      <c r="I169" s="2" t="s">
        <v>22</v>
      </c>
      <c r="J169" s="2" t="s">
        <v>26</v>
      </c>
      <c r="K169" s="2">
        <v>3</v>
      </c>
      <c r="L169" s="2" t="s">
        <v>20</v>
      </c>
      <c r="M169" s="2">
        <v>1996</v>
      </c>
      <c r="N169" s="3" t="s">
        <v>1206</v>
      </c>
      <c r="O169" s="3" t="s">
        <v>1207</v>
      </c>
      <c r="P169" s="3" t="s">
        <v>1208</v>
      </c>
      <c r="Q169" s="2">
        <v>2843</v>
      </c>
    </row>
    <row r="170" spans="1:17" ht="143.25" customHeight="1" x14ac:dyDescent="0.25">
      <c r="A170" s="5" t="str">
        <f>_xll.JChemExcel.Functions.JCSYSStructure("84140EAAC3DD096991AEBD29C09F2BD8")</f>
        <v/>
      </c>
      <c r="B170" s="3" t="s">
        <v>1209</v>
      </c>
      <c r="C170" s="3" t="s">
        <v>1210</v>
      </c>
      <c r="D170" s="2" t="s">
        <v>1212</v>
      </c>
      <c r="E170" s="2" t="s">
        <v>7374</v>
      </c>
      <c r="F170" s="3" t="s">
        <v>1211</v>
      </c>
      <c r="G170" s="2" t="s">
        <v>1213</v>
      </c>
      <c r="H170" s="8">
        <v>236.3</v>
      </c>
      <c r="I170" s="2" t="s">
        <v>22</v>
      </c>
      <c r="J170" s="2" t="s">
        <v>26</v>
      </c>
      <c r="K170" s="2">
        <v>3</v>
      </c>
      <c r="L170" s="2" t="s">
        <v>20</v>
      </c>
      <c r="M170" s="2">
        <v>1996</v>
      </c>
      <c r="N170" s="3" t="s">
        <v>1206</v>
      </c>
      <c r="O170" s="3" t="s">
        <v>1214</v>
      </c>
      <c r="P170" s="3" t="s">
        <v>1215</v>
      </c>
      <c r="Q170" s="2">
        <v>2843</v>
      </c>
    </row>
    <row r="171" spans="1:17" ht="143.25" customHeight="1" x14ac:dyDescent="0.25">
      <c r="A171" s="5" t="str">
        <f>_xll.JChemExcel.Functions.JCSYSStructure("578A085E739A2623401EE93DB9AED730")</f>
        <v/>
      </c>
      <c r="B171" s="3" t="s">
        <v>1216</v>
      </c>
      <c r="C171" s="3" t="s">
        <v>1217</v>
      </c>
      <c r="D171" s="2" t="s">
        <v>1219</v>
      </c>
      <c r="E171" s="2" t="s">
        <v>7375</v>
      </c>
      <c r="F171" s="3" t="s">
        <v>1218</v>
      </c>
      <c r="G171" s="2" t="s">
        <v>1220</v>
      </c>
      <c r="H171" s="8">
        <v>384.2</v>
      </c>
      <c r="I171" s="2" t="s">
        <v>22</v>
      </c>
      <c r="J171" s="2" t="s">
        <v>26</v>
      </c>
      <c r="K171" s="2">
        <v>3</v>
      </c>
      <c r="L171" s="2" t="s">
        <v>20</v>
      </c>
      <c r="M171" s="2">
        <v>2003</v>
      </c>
      <c r="N171" s="3" t="s">
        <v>563</v>
      </c>
      <c r="O171" s="3" t="s">
        <v>1221</v>
      </c>
      <c r="P171" s="3" t="s">
        <v>1222</v>
      </c>
      <c r="Q171" s="2">
        <v>2843</v>
      </c>
    </row>
    <row r="172" spans="1:17" ht="143.25" customHeight="1" x14ac:dyDescent="0.25">
      <c r="A172" s="5" t="str">
        <f>_xll.JChemExcel.Functions.JCSYSStructure("F8D3B7FB2E2CA5003E3CFCD1FC44DCE7")</f>
        <v/>
      </c>
      <c r="B172" s="3" t="s">
        <v>1223</v>
      </c>
      <c r="C172" s="3" t="s">
        <v>1224</v>
      </c>
      <c r="D172" s="2" t="s">
        <v>1226</v>
      </c>
      <c r="E172" s="2">
        <v>550260</v>
      </c>
      <c r="F172" s="3" t="s">
        <v>1225</v>
      </c>
      <c r="G172" s="2" t="s">
        <v>1227</v>
      </c>
      <c r="H172" s="8">
        <v>230.7</v>
      </c>
      <c r="I172" s="2" t="s">
        <v>22</v>
      </c>
      <c r="J172" s="2" t="s">
        <v>26</v>
      </c>
      <c r="K172" s="2">
        <v>3</v>
      </c>
      <c r="L172" s="2" t="s">
        <v>20</v>
      </c>
      <c r="M172" s="2">
        <v>1973</v>
      </c>
      <c r="N172" s="3" t="s">
        <v>1228</v>
      </c>
      <c r="O172" s="3" t="s">
        <v>1229</v>
      </c>
      <c r="P172" s="3" t="s">
        <v>1230</v>
      </c>
      <c r="Q172" s="2">
        <v>2843</v>
      </c>
    </row>
    <row r="173" spans="1:17" ht="143.25" customHeight="1" x14ac:dyDescent="0.25">
      <c r="A173" s="5" t="str">
        <f>_xll.JChemExcel.Functions.JCSYSStructure("73870B37D10A580A9D796EE630F20853")</f>
        <v/>
      </c>
      <c r="B173" s="3" t="s">
        <v>1231</v>
      </c>
      <c r="C173" s="3" t="s">
        <v>1232</v>
      </c>
      <c r="D173" s="2" t="s">
        <v>1234</v>
      </c>
      <c r="E173" s="2" t="s">
        <v>7376</v>
      </c>
      <c r="F173" s="3" t="s">
        <v>1233</v>
      </c>
      <c r="G173" s="2" t="s">
        <v>1235</v>
      </c>
      <c r="H173" s="8">
        <v>494</v>
      </c>
      <c r="I173" s="2" t="s">
        <v>22</v>
      </c>
      <c r="J173" s="2" t="s">
        <v>26</v>
      </c>
      <c r="K173" s="2">
        <v>3</v>
      </c>
      <c r="L173" s="2" t="s">
        <v>20</v>
      </c>
      <c r="M173" s="2">
        <v>1984</v>
      </c>
      <c r="N173" s="3" t="s">
        <v>117</v>
      </c>
      <c r="O173" s="3" t="s">
        <v>1236</v>
      </c>
      <c r="P173" s="3" t="s">
        <v>1237</v>
      </c>
      <c r="Q173" s="2">
        <v>2843</v>
      </c>
    </row>
    <row r="174" spans="1:17" ht="143.25" customHeight="1" x14ac:dyDescent="0.25">
      <c r="A174" s="5" t="str">
        <f>_xll.JChemExcel.Functions.JCSYSStructure("D16300296BC12DF13A4E5A0E2A6DA577")</f>
        <v/>
      </c>
      <c r="B174" s="3" t="s">
        <v>1238</v>
      </c>
      <c r="C174" s="3" t="s">
        <v>1239</v>
      </c>
      <c r="D174" s="2" t="s">
        <v>1241</v>
      </c>
      <c r="E174" s="2" t="s">
        <v>7377</v>
      </c>
      <c r="F174" s="3" t="s">
        <v>1240</v>
      </c>
      <c r="G174" s="2" t="s">
        <v>1242</v>
      </c>
      <c r="H174" s="8">
        <v>209.2</v>
      </c>
      <c r="I174" s="2" t="s">
        <v>22</v>
      </c>
      <c r="J174" s="2" t="s">
        <v>26</v>
      </c>
      <c r="K174" s="2">
        <v>3</v>
      </c>
      <c r="L174" s="2" t="s">
        <v>20</v>
      </c>
      <c r="M174" s="2">
        <v>1979</v>
      </c>
      <c r="N174" s="3" t="s">
        <v>875</v>
      </c>
      <c r="O174" s="3" t="s">
        <v>1243</v>
      </c>
      <c r="P174" s="3" t="s">
        <v>1244</v>
      </c>
      <c r="Q174" s="2">
        <v>2843</v>
      </c>
    </row>
    <row r="175" spans="1:17" ht="143.25" customHeight="1" x14ac:dyDescent="0.25">
      <c r="A175" s="5" t="str">
        <f>_xll.JChemExcel.Functions.JCSYSStructure("51017C77B3E738C06873C17EDEC52230")</f>
        <v/>
      </c>
      <c r="B175" s="3" t="s">
        <v>1245</v>
      </c>
      <c r="C175" s="3" t="s">
        <v>1246</v>
      </c>
      <c r="D175" s="2" t="s">
        <v>1248</v>
      </c>
      <c r="E175" s="2">
        <v>550216</v>
      </c>
      <c r="F175" s="3" t="s">
        <v>1247</v>
      </c>
      <c r="G175" s="2" t="s">
        <v>1249</v>
      </c>
      <c r="H175" s="8">
        <v>311.39999999999998</v>
      </c>
      <c r="I175" s="2" t="s">
        <v>22</v>
      </c>
      <c r="J175" s="2" t="s">
        <v>26</v>
      </c>
      <c r="K175" s="2">
        <v>3</v>
      </c>
      <c r="L175" s="2" t="s">
        <v>20</v>
      </c>
      <c r="M175" s="2">
        <v>1966</v>
      </c>
      <c r="N175" s="3" t="s">
        <v>109</v>
      </c>
      <c r="O175" s="3" t="s">
        <v>1250</v>
      </c>
      <c r="P175" s="3" t="s">
        <v>1251</v>
      </c>
      <c r="Q175" s="2">
        <v>2843</v>
      </c>
    </row>
    <row r="176" spans="1:17" ht="143.25" customHeight="1" x14ac:dyDescent="0.25">
      <c r="A176" s="5" t="str">
        <f>_xll.JChemExcel.Functions.JCSYSStructure("E65A0441CEBEEE8FFFE13EE7907E0143")</f>
        <v/>
      </c>
      <c r="B176" s="3" t="s">
        <v>1252</v>
      </c>
      <c r="C176" s="3" t="s">
        <v>1253</v>
      </c>
      <c r="D176" s="2" t="s">
        <v>1255</v>
      </c>
      <c r="E176" s="2" t="s">
        <v>7378</v>
      </c>
      <c r="F176" s="3" t="s">
        <v>1254</v>
      </c>
      <c r="G176" s="2" t="s">
        <v>1256</v>
      </c>
      <c r="H176" s="8">
        <v>348.5</v>
      </c>
      <c r="I176" s="2" t="s">
        <v>22</v>
      </c>
      <c r="J176" s="2" t="s">
        <v>26</v>
      </c>
      <c r="K176" s="2">
        <v>3</v>
      </c>
      <c r="L176" s="2" t="s">
        <v>20</v>
      </c>
      <c r="M176" s="2">
        <v>1999</v>
      </c>
      <c r="N176" s="3" t="s">
        <v>563</v>
      </c>
      <c r="O176" s="3" t="s">
        <v>1257</v>
      </c>
      <c r="P176" s="3" t="s">
        <v>1258</v>
      </c>
      <c r="Q176" s="2">
        <v>2843</v>
      </c>
    </row>
    <row r="177" spans="1:17" ht="143.25" customHeight="1" x14ac:dyDescent="0.25">
      <c r="A177" s="5" t="str">
        <f>_xll.JChemExcel.Functions.JCSYSStructure("2CAE0190804C76AF253358AE600DF937")</f>
        <v/>
      </c>
      <c r="B177" s="3" t="s">
        <v>1259</v>
      </c>
      <c r="C177" s="3" t="s">
        <v>1260</v>
      </c>
      <c r="D177" s="2" t="s">
        <v>1262</v>
      </c>
      <c r="E177" s="2" t="s">
        <v>7379</v>
      </c>
      <c r="F177" s="3" t="s">
        <v>1261</v>
      </c>
      <c r="G177" s="2" t="s">
        <v>1263</v>
      </c>
      <c r="H177" s="8">
        <v>157.19999999999999</v>
      </c>
      <c r="I177" s="2" t="s">
        <v>22</v>
      </c>
      <c r="J177" s="2" t="s">
        <v>1013</v>
      </c>
      <c r="K177" s="2">
        <v>3</v>
      </c>
      <c r="L177" s="2" t="s">
        <v>20</v>
      </c>
      <c r="M177" s="2">
        <v>1986</v>
      </c>
      <c r="N177" s="3" t="s">
        <v>1264</v>
      </c>
      <c r="O177" s="3" t="s">
        <v>1265</v>
      </c>
      <c r="P177" s="3" t="s">
        <v>1266</v>
      </c>
      <c r="Q177" s="2">
        <v>2843</v>
      </c>
    </row>
    <row r="178" spans="1:17" ht="143.25" customHeight="1" x14ac:dyDescent="0.25">
      <c r="A178" s="5" t="str">
        <f>_xll.JChemExcel.Functions.JCSYSStructure("33D1328F285B81176A204FD1E4A8B8CB")</f>
        <v/>
      </c>
      <c r="B178" s="3" t="s">
        <v>1267</v>
      </c>
      <c r="C178" s="3" t="s">
        <v>1268</v>
      </c>
      <c r="D178" s="2" t="s">
        <v>1270</v>
      </c>
      <c r="E178" s="2" t="s">
        <v>7380</v>
      </c>
      <c r="F178" s="3" t="s">
        <v>1269</v>
      </c>
      <c r="G178" s="2" t="s">
        <v>1271</v>
      </c>
      <c r="H178" s="8">
        <v>381.4</v>
      </c>
      <c r="I178" s="2" t="s">
        <v>22</v>
      </c>
      <c r="J178" s="2" t="s">
        <v>26</v>
      </c>
      <c r="K178" s="2">
        <v>3</v>
      </c>
      <c r="L178" s="2" t="s">
        <v>20</v>
      </c>
      <c r="M178" s="2">
        <v>1998</v>
      </c>
      <c r="N178" s="3" t="s">
        <v>1272</v>
      </c>
      <c r="O178" s="3" t="s">
        <v>1273</v>
      </c>
      <c r="P178" s="3" t="s">
        <v>1274</v>
      </c>
      <c r="Q178" s="2">
        <v>2843</v>
      </c>
    </row>
    <row r="179" spans="1:17" ht="143.25" customHeight="1" x14ac:dyDescent="0.25">
      <c r="A179" s="5" t="str">
        <f>_xll.JChemExcel.Functions.JCSYSStructure("5BC8CB5C08CF6C9DDBAB970171DB869D")</f>
        <v/>
      </c>
      <c r="B179" s="3" t="s">
        <v>1275</v>
      </c>
      <c r="C179" s="3" t="s">
        <v>1276</v>
      </c>
      <c r="D179" s="2" t="s">
        <v>1278</v>
      </c>
      <c r="E179" s="2" t="s">
        <v>7381</v>
      </c>
      <c r="F179" s="3" t="s">
        <v>1277</v>
      </c>
      <c r="G179" s="2" t="s">
        <v>1279</v>
      </c>
      <c r="H179" s="8">
        <v>170.2</v>
      </c>
      <c r="I179" s="2" t="s">
        <v>22</v>
      </c>
      <c r="J179" s="2" t="s">
        <v>26</v>
      </c>
      <c r="K179" s="2">
        <v>3</v>
      </c>
      <c r="L179" s="2" t="s">
        <v>20</v>
      </c>
      <c r="M179" s="2">
        <v>1999</v>
      </c>
      <c r="N179" s="3" t="s">
        <v>1280</v>
      </c>
      <c r="O179" s="3" t="s">
        <v>1281</v>
      </c>
      <c r="P179" s="3" t="s">
        <v>1282</v>
      </c>
      <c r="Q179" s="2">
        <v>2843</v>
      </c>
    </row>
    <row r="180" spans="1:17" ht="143.25" customHeight="1" x14ac:dyDescent="0.25">
      <c r="A180" s="5" t="str">
        <f>_xll.JChemExcel.Functions.JCSYSStructure("92FBC352D27D424C7867AB1590596877")</f>
        <v/>
      </c>
      <c r="B180" s="3" t="s">
        <v>1283</v>
      </c>
      <c r="C180" s="3" t="s">
        <v>1284</v>
      </c>
      <c r="D180" s="2" t="s">
        <v>1286</v>
      </c>
      <c r="E180" s="2" t="s">
        <v>7382</v>
      </c>
      <c r="F180" s="3" t="s">
        <v>1285</v>
      </c>
      <c r="G180" s="2" t="s">
        <v>1287</v>
      </c>
      <c r="H180" s="8">
        <v>285.3</v>
      </c>
      <c r="I180" s="2" t="s">
        <v>22</v>
      </c>
      <c r="J180" s="2" t="s">
        <v>26</v>
      </c>
      <c r="K180" s="2">
        <v>3</v>
      </c>
      <c r="L180" s="2" t="s">
        <v>20</v>
      </c>
      <c r="M180" s="2">
        <v>1997</v>
      </c>
      <c r="N180" s="3" t="s">
        <v>563</v>
      </c>
      <c r="O180" s="3" t="s">
        <v>1288</v>
      </c>
      <c r="P180" s="3" t="s">
        <v>1289</v>
      </c>
      <c r="Q180" s="2">
        <v>2843</v>
      </c>
    </row>
    <row r="181" spans="1:17" ht="143.25" customHeight="1" x14ac:dyDescent="0.25">
      <c r="A181" s="5" t="str">
        <f>_xll.JChemExcel.Functions.JCSYSStructure("63DB2EC5299C8352049BE3EBC8B5BBE2")</f>
        <v/>
      </c>
      <c r="B181" s="3" t="s">
        <v>1290</v>
      </c>
      <c r="C181" s="3" t="s">
        <v>1291</v>
      </c>
      <c r="D181" s="2" t="s">
        <v>1293</v>
      </c>
      <c r="E181" s="2" t="s">
        <v>7383</v>
      </c>
      <c r="F181" s="3" t="s">
        <v>1292</v>
      </c>
      <c r="G181" s="2" t="s">
        <v>1294</v>
      </c>
      <c r="H181" s="8">
        <v>293.39999999999998</v>
      </c>
      <c r="I181" s="2" t="s">
        <v>22</v>
      </c>
      <c r="J181" s="2" t="s">
        <v>26</v>
      </c>
      <c r="K181" s="2">
        <v>3</v>
      </c>
      <c r="L181" s="2" t="s">
        <v>20</v>
      </c>
      <c r="M181" s="2">
        <v>1995</v>
      </c>
      <c r="N181" s="3" t="s">
        <v>563</v>
      </c>
      <c r="O181" s="3" t="s">
        <v>1295</v>
      </c>
      <c r="P181" s="3" t="s">
        <v>1296</v>
      </c>
      <c r="Q181" s="2">
        <v>2843</v>
      </c>
    </row>
    <row r="182" spans="1:17" ht="143.25" customHeight="1" x14ac:dyDescent="0.25">
      <c r="A182" s="5" t="str">
        <f>_xll.JChemExcel.Functions.JCSYSStructure("4716DA9D391EC967E1AF7A7F79888C3A")</f>
        <v/>
      </c>
      <c r="B182" s="3" t="s">
        <v>1297</v>
      </c>
      <c r="C182" s="3" t="s">
        <v>1298</v>
      </c>
      <c r="D182" s="2" t="s">
        <v>1300</v>
      </c>
      <c r="E182" s="2">
        <v>270476</v>
      </c>
      <c r="F182" s="3" t="s">
        <v>1299</v>
      </c>
      <c r="G182" s="2" t="s">
        <v>1301</v>
      </c>
      <c r="H182" s="8">
        <v>430.4</v>
      </c>
      <c r="I182" s="2" t="s">
        <v>22</v>
      </c>
      <c r="J182" s="2" t="s">
        <v>26</v>
      </c>
      <c r="K182" s="2">
        <v>3</v>
      </c>
      <c r="L182" s="2" t="s">
        <v>20</v>
      </c>
      <c r="M182" s="2">
        <v>1995</v>
      </c>
      <c r="N182" s="3" t="s">
        <v>563</v>
      </c>
      <c r="O182" s="3" t="s">
        <v>1302</v>
      </c>
      <c r="P182" s="3" t="s">
        <v>1303</v>
      </c>
      <c r="Q182" s="2">
        <v>2843</v>
      </c>
    </row>
    <row r="183" spans="1:17" ht="143.25" customHeight="1" x14ac:dyDescent="0.25">
      <c r="A183" s="5" t="str">
        <f>_xll.JChemExcel.Functions.JCSYSStructure("A71FE6CCCF5AC533DEA07DA2AE38AFA9")</f>
        <v/>
      </c>
      <c r="B183" s="3" t="s">
        <v>1304</v>
      </c>
      <c r="C183" s="3" t="s">
        <v>1305</v>
      </c>
      <c r="D183" s="2" t="s">
        <v>1307</v>
      </c>
      <c r="E183" s="2" t="s">
        <v>7384</v>
      </c>
      <c r="F183" s="3" t="s">
        <v>1306</v>
      </c>
      <c r="G183" s="2" t="s">
        <v>1308</v>
      </c>
      <c r="H183" s="8">
        <v>699.9</v>
      </c>
      <c r="I183" s="2" t="s">
        <v>22</v>
      </c>
      <c r="J183" s="2" t="s">
        <v>26</v>
      </c>
      <c r="K183" s="2">
        <v>3</v>
      </c>
      <c r="L183" s="2" t="s">
        <v>20</v>
      </c>
      <c r="M183" s="2">
        <v>1980</v>
      </c>
      <c r="N183" s="3" t="s">
        <v>23</v>
      </c>
      <c r="O183" s="3" t="s">
        <v>24</v>
      </c>
      <c r="P183" s="3" t="s">
        <v>25</v>
      </c>
      <c r="Q183" s="2">
        <v>2843</v>
      </c>
    </row>
    <row r="184" spans="1:17" ht="143.25" customHeight="1" x14ac:dyDescent="0.25">
      <c r="A184" s="5" t="str">
        <f>_xll.JChemExcel.Functions.JCSYSStructure("A64E432E618A1242E33253009D0A391F")</f>
        <v/>
      </c>
      <c r="B184" s="3" t="s">
        <v>1309</v>
      </c>
      <c r="C184" s="3" t="s">
        <v>1310</v>
      </c>
      <c r="D184" s="2" t="s">
        <v>1311</v>
      </c>
      <c r="E184" s="2">
        <v>270288</v>
      </c>
      <c r="F184" s="3" t="s">
        <v>7959</v>
      </c>
      <c r="G184" s="2" t="s">
        <v>1312</v>
      </c>
      <c r="H184" s="8">
        <v>264.3</v>
      </c>
      <c r="I184" s="2" t="s">
        <v>22</v>
      </c>
      <c r="J184" s="2" t="s">
        <v>26</v>
      </c>
      <c r="K184" s="2">
        <v>3</v>
      </c>
      <c r="L184" s="2" t="s">
        <v>20</v>
      </c>
      <c r="M184" s="2">
        <v>2006</v>
      </c>
      <c r="N184" s="3" t="s">
        <v>1313</v>
      </c>
      <c r="O184" s="3" t="s">
        <v>1314</v>
      </c>
      <c r="P184" s="3" t="s">
        <v>1315</v>
      </c>
      <c r="Q184" s="2">
        <v>2843</v>
      </c>
    </row>
    <row r="185" spans="1:17" ht="143.25" customHeight="1" x14ac:dyDescent="0.25">
      <c r="A185" s="5" t="str">
        <f>_xll.JChemExcel.Functions.JCSYSStructure("C97D1676A1C66C16B0CFA96D31A49F74")</f>
        <v/>
      </c>
      <c r="B185" s="3" t="s">
        <v>1316</v>
      </c>
      <c r="C185" s="3" t="s">
        <v>1317</v>
      </c>
      <c r="D185" s="2" t="s">
        <v>1319</v>
      </c>
      <c r="E185" s="2" t="s">
        <v>7385</v>
      </c>
      <c r="F185" s="3" t="s">
        <v>1318</v>
      </c>
      <c r="G185" s="2" t="s">
        <v>1320</v>
      </c>
      <c r="H185" s="8">
        <v>236.2</v>
      </c>
      <c r="I185" s="2" t="s">
        <v>22</v>
      </c>
      <c r="J185" s="2" t="s">
        <v>26</v>
      </c>
      <c r="K185" s="2">
        <v>3</v>
      </c>
      <c r="L185" s="2" t="s">
        <v>20</v>
      </c>
      <c r="M185" s="2">
        <v>1991</v>
      </c>
      <c r="N185" s="3" t="s">
        <v>1134</v>
      </c>
      <c r="O185" s="3" t="s">
        <v>1321</v>
      </c>
      <c r="P185" s="3" t="s">
        <v>1322</v>
      </c>
      <c r="Q185" s="2">
        <v>2843</v>
      </c>
    </row>
    <row r="186" spans="1:17" ht="143.25" customHeight="1" x14ac:dyDescent="0.25">
      <c r="A186" s="5" t="str">
        <f>_xll.JChemExcel.Functions.JCSYSStructure("AEEBA11B34FB14BEC2DFE37BAFDEF7F3")</f>
        <v/>
      </c>
      <c r="B186" s="3" t="s">
        <v>1323</v>
      </c>
      <c r="C186" s="3" t="s">
        <v>1324</v>
      </c>
      <c r="D186" s="2" t="s">
        <v>1326</v>
      </c>
      <c r="E186" s="2" t="s">
        <v>7386</v>
      </c>
      <c r="F186" s="3" t="s">
        <v>1325</v>
      </c>
      <c r="G186" s="2" t="s">
        <v>1327</v>
      </c>
      <c r="H186" s="8">
        <v>324.39999999999998</v>
      </c>
      <c r="I186" s="2" t="s">
        <v>22</v>
      </c>
      <c r="J186" s="2" t="s">
        <v>26</v>
      </c>
      <c r="K186" s="2">
        <v>3</v>
      </c>
      <c r="L186" s="2" t="s">
        <v>20</v>
      </c>
      <c r="M186" s="2" t="s">
        <v>124</v>
      </c>
      <c r="N186" s="3" t="s">
        <v>1328</v>
      </c>
      <c r="O186" s="3" t="s">
        <v>1329</v>
      </c>
      <c r="P186" s="3" t="s">
        <v>1330</v>
      </c>
      <c r="Q186" s="2">
        <v>2843</v>
      </c>
    </row>
    <row r="187" spans="1:17" ht="143.25" customHeight="1" x14ac:dyDescent="0.25">
      <c r="A187" s="5" t="str">
        <f>_xll.JChemExcel.Functions.JCSYSStructure("906915ED692FBFD7C0AEDC569A9F0A65")</f>
        <v/>
      </c>
      <c r="B187" s="3" t="s">
        <v>1331</v>
      </c>
      <c r="C187" s="3" t="s">
        <v>1332</v>
      </c>
      <c r="D187" s="2" t="s">
        <v>1334</v>
      </c>
      <c r="E187" s="2" t="s">
        <v>7387</v>
      </c>
      <c r="F187" s="3" t="s">
        <v>1333</v>
      </c>
      <c r="G187" s="2" t="s">
        <v>1335</v>
      </c>
      <c r="H187" s="8">
        <v>492.5</v>
      </c>
      <c r="I187" s="2" t="s">
        <v>22</v>
      </c>
      <c r="J187" s="2" t="s">
        <v>26</v>
      </c>
      <c r="K187" s="2">
        <v>3</v>
      </c>
      <c r="L187" s="2" t="s">
        <v>20</v>
      </c>
      <c r="M187" s="2">
        <v>1985</v>
      </c>
      <c r="N187" s="3" t="s">
        <v>183</v>
      </c>
      <c r="O187" s="3" t="s">
        <v>1336</v>
      </c>
      <c r="P187" s="3" t="s">
        <v>53</v>
      </c>
      <c r="Q187" s="2">
        <v>2843</v>
      </c>
    </row>
    <row r="188" spans="1:17" ht="143.25" customHeight="1" x14ac:dyDescent="0.25">
      <c r="A188" s="5" t="str">
        <f>_xll.JChemExcel.Functions.JCSYSStructure("BF3825F5598DE9CFFC185E757B8D071D")</f>
        <v/>
      </c>
      <c r="B188" s="3" t="s">
        <v>1337</v>
      </c>
      <c r="C188" s="3" t="s">
        <v>1338</v>
      </c>
      <c r="D188" s="2" t="s">
        <v>1339</v>
      </c>
      <c r="E188" s="2">
        <v>270466</v>
      </c>
      <c r="F188" s="3" t="s">
        <v>7960</v>
      </c>
      <c r="G188" s="2" t="s">
        <v>1340</v>
      </c>
      <c r="H188" s="8">
        <v>433.4</v>
      </c>
      <c r="I188" s="2" t="s">
        <v>22</v>
      </c>
      <c r="J188" s="2" t="s">
        <v>26</v>
      </c>
      <c r="K188" s="2">
        <v>3</v>
      </c>
      <c r="L188" s="2" t="s">
        <v>20</v>
      </c>
      <c r="M188" s="2">
        <v>1993</v>
      </c>
      <c r="N188" s="3" t="s">
        <v>610</v>
      </c>
      <c r="O188" s="3" t="s">
        <v>1341</v>
      </c>
      <c r="P188" s="3" t="s">
        <v>53</v>
      </c>
      <c r="Q188" s="2">
        <v>2843</v>
      </c>
    </row>
    <row r="189" spans="1:17" ht="143.25" customHeight="1" x14ac:dyDescent="0.25">
      <c r="A189" s="5" t="str">
        <f>_xll.JChemExcel.Functions.JCSYSStructure("92554DEAE8F6D6C237DB6FAD6B877926")</f>
        <v/>
      </c>
      <c r="B189" s="3" t="s">
        <v>1342</v>
      </c>
      <c r="C189" s="3" t="s">
        <v>1343</v>
      </c>
      <c r="D189" s="2" t="s">
        <v>1345</v>
      </c>
      <c r="E189" s="2" t="s">
        <v>7388</v>
      </c>
      <c r="F189" s="3" t="s">
        <v>1344</v>
      </c>
      <c r="G189" s="2" t="s">
        <v>1346</v>
      </c>
      <c r="H189" s="8">
        <v>585.6</v>
      </c>
      <c r="I189" s="2" t="s">
        <v>22</v>
      </c>
      <c r="J189" s="2" t="s">
        <v>1013</v>
      </c>
      <c r="K189" s="2">
        <v>3</v>
      </c>
      <c r="L189" s="2" t="s">
        <v>20</v>
      </c>
      <c r="M189" s="2">
        <v>1991</v>
      </c>
      <c r="N189" s="3" t="s">
        <v>183</v>
      </c>
      <c r="O189" s="3" t="s">
        <v>1347</v>
      </c>
      <c r="P189" s="3" t="s">
        <v>53</v>
      </c>
      <c r="Q189" s="2">
        <v>2843</v>
      </c>
    </row>
    <row r="190" spans="1:17" ht="143.25" customHeight="1" x14ac:dyDescent="0.25">
      <c r="A190" s="5" t="str">
        <f>_xll.JChemExcel.Functions.JCSYSStructure("0BBB408A776442D2EA35784C201A7DFB")</f>
        <v/>
      </c>
      <c r="B190" s="3" t="s">
        <v>1348</v>
      </c>
      <c r="C190" s="3" t="s">
        <v>1349</v>
      </c>
      <c r="D190" s="2" t="s">
        <v>1350</v>
      </c>
      <c r="E190" s="2">
        <v>480101</v>
      </c>
      <c r="F190" s="3" t="s">
        <v>7961</v>
      </c>
      <c r="G190" s="2" t="s">
        <v>1351</v>
      </c>
      <c r="H190" s="8">
        <v>299.7</v>
      </c>
      <c r="I190" s="2" t="s">
        <v>22</v>
      </c>
      <c r="J190" s="2" t="s">
        <v>26</v>
      </c>
      <c r="K190" s="2">
        <v>3</v>
      </c>
      <c r="L190" s="2" t="s">
        <v>20</v>
      </c>
      <c r="M190" s="2">
        <v>1996</v>
      </c>
      <c r="N190" s="3" t="s">
        <v>1352</v>
      </c>
      <c r="O190" s="3" t="s">
        <v>1353</v>
      </c>
      <c r="P190" s="3" t="s">
        <v>53</v>
      </c>
      <c r="Q190" s="2">
        <v>2843</v>
      </c>
    </row>
    <row r="191" spans="1:17" ht="143.25" customHeight="1" x14ac:dyDescent="0.25">
      <c r="A191" s="5" t="str">
        <f>_xll.JChemExcel.Functions.JCSYSStructure("A736570317EC92C5A3BBD9B772EA6FED")</f>
        <v/>
      </c>
      <c r="B191" s="3" t="s">
        <v>1354</v>
      </c>
      <c r="C191" s="3" t="s">
        <v>1355</v>
      </c>
      <c r="D191" s="2" t="s">
        <v>1357</v>
      </c>
      <c r="E191" s="2" t="s">
        <v>7389</v>
      </c>
      <c r="F191" s="3" t="s">
        <v>1356</v>
      </c>
      <c r="G191" s="2" t="s">
        <v>1358</v>
      </c>
      <c r="H191" s="8">
        <v>348.9</v>
      </c>
      <c r="I191" s="2" t="s">
        <v>22</v>
      </c>
      <c r="J191" s="2" t="s">
        <v>26</v>
      </c>
      <c r="K191" s="2">
        <v>3</v>
      </c>
      <c r="L191" s="2" t="s">
        <v>20</v>
      </c>
      <c r="M191" s="2">
        <v>1993</v>
      </c>
      <c r="N191" s="3" t="s">
        <v>1359</v>
      </c>
      <c r="O191" s="3" t="s">
        <v>1360</v>
      </c>
      <c r="P191" s="3" t="s">
        <v>53</v>
      </c>
      <c r="Q191" s="2">
        <v>2843</v>
      </c>
    </row>
    <row r="192" spans="1:17" ht="143.25" customHeight="1" x14ac:dyDescent="0.25">
      <c r="A192" s="5" t="str">
        <f>_xll.JChemExcel.Functions.JCSYSStructure("3F435E48693D5666635CDF9F66EF86EE")</f>
        <v/>
      </c>
      <c r="B192" s="3" t="s">
        <v>1361</v>
      </c>
      <c r="C192" s="3" t="s">
        <v>1362</v>
      </c>
      <c r="D192" s="2" t="s">
        <v>1364</v>
      </c>
      <c r="E192" s="2">
        <v>400042</v>
      </c>
      <c r="F192" s="3" t="s">
        <v>1363</v>
      </c>
      <c r="G192" s="2" t="s">
        <v>1365</v>
      </c>
      <c r="H192" s="8">
        <v>397.3</v>
      </c>
      <c r="I192" s="2" t="s">
        <v>22</v>
      </c>
      <c r="J192" s="2" t="s">
        <v>26</v>
      </c>
      <c r="K192" s="2">
        <v>3</v>
      </c>
      <c r="L192" s="2" t="s">
        <v>20</v>
      </c>
      <c r="M192" s="2">
        <v>2002</v>
      </c>
      <c r="N192" s="3" t="s">
        <v>563</v>
      </c>
      <c r="O192" s="3" t="s">
        <v>1366</v>
      </c>
      <c r="P192" s="3" t="s">
        <v>1367</v>
      </c>
      <c r="Q192" s="2">
        <v>2843</v>
      </c>
    </row>
    <row r="193" spans="1:17" ht="143.25" customHeight="1" x14ac:dyDescent="0.25">
      <c r="A193" s="5" t="str">
        <f>_xll.JChemExcel.Functions.JCSYSStructure("5503EF276969B1BA6BDBDB6243AC79AA")</f>
        <v/>
      </c>
      <c r="B193" s="3" t="s">
        <v>1368</v>
      </c>
      <c r="C193" s="3" t="s">
        <v>1369</v>
      </c>
      <c r="D193" s="2" t="s">
        <v>1371</v>
      </c>
      <c r="E193" s="2" t="s">
        <v>7390</v>
      </c>
      <c r="F193" s="3" t="s">
        <v>1370</v>
      </c>
      <c r="G193" s="2" t="s">
        <v>1372</v>
      </c>
      <c r="H193" s="8">
        <v>704.9</v>
      </c>
      <c r="I193" s="2" t="s">
        <v>22</v>
      </c>
      <c r="J193" s="2" t="s">
        <v>26</v>
      </c>
      <c r="K193" s="2">
        <v>3</v>
      </c>
      <c r="L193" s="2" t="s">
        <v>20</v>
      </c>
      <c r="M193" s="2">
        <v>2003</v>
      </c>
      <c r="N193" s="3" t="s">
        <v>1373</v>
      </c>
      <c r="O193" s="3" t="s">
        <v>1374</v>
      </c>
      <c r="P193" s="3" t="s">
        <v>1375</v>
      </c>
      <c r="Q193" s="2">
        <v>2843</v>
      </c>
    </row>
    <row r="194" spans="1:17" ht="143.25" customHeight="1" x14ac:dyDescent="0.25">
      <c r="A194" s="5" t="str">
        <f>_xll.JChemExcel.Functions.JCSYSStructure("6927AE19FEE3D0E019857382B74FC12D")</f>
        <v/>
      </c>
      <c r="B194" s="3" t="s">
        <v>1376</v>
      </c>
      <c r="C194" s="3" t="s">
        <v>1377</v>
      </c>
      <c r="D194" s="2" t="s">
        <v>1379</v>
      </c>
      <c r="E194" s="2" t="s">
        <v>7391</v>
      </c>
      <c r="F194" s="3" t="s">
        <v>1378</v>
      </c>
      <c r="G194" s="2" t="s">
        <v>1380</v>
      </c>
      <c r="H194" s="8">
        <v>433.5</v>
      </c>
      <c r="I194" s="2" t="s">
        <v>22</v>
      </c>
      <c r="J194" s="2" t="s">
        <v>26</v>
      </c>
      <c r="K194" s="2">
        <v>3</v>
      </c>
      <c r="L194" s="2" t="s">
        <v>20</v>
      </c>
      <c r="M194" s="2">
        <v>1995</v>
      </c>
      <c r="N194" s="3" t="s">
        <v>1381</v>
      </c>
      <c r="O194" s="3" t="s">
        <v>1382</v>
      </c>
      <c r="P194" s="3" t="s">
        <v>1383</v>
      </c>
      <c r="Q194" s="2">
        <v>2843</v>
      </c>
    </row>
    <row r="195" spans="1:17" ht="143.25" customHeight="1" x14ac:dyDescent="0.25">
      <c r="A195" s="5" t="str">
        <f>_xll.JChemExcel.Functions.JCSYSStructure("8F3DD0A65E0E497CA7B51EFD2469C841")</f>
        <v/>
      </c>
      <c r="B195" s="3" t="s">
        <v>1384</v>
      </c>
      <c r="C195" s="3" t="s">
        <v>1385</v>
      </c>
      <c r="D195" s="2" t="s">
        <v>1387</v>
      </c>
      <c r="E195" s="2" t="s">
        <v>7392</v>
      </c>
      <c r="F195" s="3" t="s">
        <v>1386</v>
      </c>
      <c r="G195" s="2" t="s">
        <v>1388</v>
      </c>
      <c r="H195" s="8">
        <v>303.7</v>
      </c>
      <c r="I195" s="2" t="s">
        <v>22</v>
      </c>
      <c r="J195" s="2" t="s">
        <v>26</v>
      </c>
      <c r="K195" s="2">
        <v>3</v>
      </c>
      <c r="L195" s="2" t="s">
        <v>20</v>
      </c>
      <c r="M195" s="2">
        <v>2004</v>
      </c>
      <c r="N195" s="3" t="s">
        <v>563</v>
      </c>
      <c r="O195" s="3" t="s">
        <v>1389</v>
      </c>
      <c r="P195" s="3" t="s">
        <v>1390</v>
      </c>
      <c r="Q195" s="2">
        <v>2843</v>
      </c>
    </row>
    <row r="196" spans="1:17" ht="143.25" customHeight="1" x14ac:dyDescent="0.25">
      <c r="A196" s="5" t="str">
        <f>_xll.JChemExcel.Functions.JCSYSStructure("0C0C3E11D13D57B595AFCA15C5355C50")</f>
        <v/>
      </c>
      <c r="B196" s="3" t="s">
        <v>1391</v>
      </c>
      <c r="C196" s="3" t="s">
        <v>1392</v>
      </c>
      <c r="D196" s="2" t="s">
        <v>1394</v>
      </c>
      <c r="E196" s="2" t="s">
        <v>7393</v>
      </c>
      <c r="F196" s="3" t="s">
        <v>1393</v>
      </c>
      <c r="G196" s="2" t="s">
        <v>1395</v>
      </c>
      <c r="H196" s="8">
        <v>451.6</v>
      </c>
      <c r="I196" s="2" t="s">
        <v>22</v>
      </c>
      <c r="J196" s="2" t="s">
        <v>26</v>
      </c>
      <c r="K196" s="2">
        <v>3</v>
      </c>
      <c r="L196" s="2" t="s">
        <v>20</v>
      </c>
      <c r="M196" s="2">
        <v>1996</v>
      </c>
      <c r="N196" s="3" t="s">
        <v>1396</v>
      </c>
      <c r="O196" s="3" t="s">
        <v>1397</v>
      </c>
      <c r="P196" s="3" t="s">
        <v>1398</v>
      </c>
      <c r="Q196" s="2">
        <v>2843</v>
      </c>
    </row>
    <row r="197" spans="1:17" ht="143.25" customHeight="1" x14ac:dyDescent="0.25">
      <c r="A197" s="5" t="str">
        <f>_xll.JChemExcel.Functions.JCSYSStructure("EC12F8F83B664F5F930BAFEFE4A2DD92")</f>
        <v/>
      </c>
      <c r="B197" s="3" t="s">
        <v>1399</v>
      </c>
      <c r="C197" s="3" t="s">
        <v>1400</v>
      </c>
      <c r="D197" s="2" t="s">
        <v>1402</v>
      </c>
      <c r="E197" s="2" t="s">
        <v>7394</v>
      </c>
      <c r="F197" s="3" t="s">
        <v>1401</v>
      </c>
      <c r="G197" s="2" t="s">
        <v>1403</v>
      </c>
      <c r="H197" s="8">
        <v>359.2</v>
      </c>
      <c r="I197" s="2" t="s">
        <v>22</v>
      </c>
      <c r="J197" s="2" t="s">
        <v>26</v>
      </c>
      <c r="K197" s="2">
        <v>3</v>
      </c>
      <c r="L197" s="2" t="s">
        <v>20</v>
      </c>
      <c r="M197" s="2">
        <v>2005</v>
      </c>
      <c r="N197" s="3" t="s">
        <v>1404</v>
      </c>
      <c r="O197" s="3" t="s">
        <v>1405</v>
      </c>
      <c r="P197" s="3" t="s">
        <v>1406</v>
      </c>
      <c r="Q197" s="2">
        <v>2843</v>
      </c>
    </row>
    <row r="198" spans="1:17" ht="143.25" customHeight="1" x14ac:dyDescent="0.25">
      <c r="A198" s="5" t="str">
        <f>_xll.JChemExcel.Functions.JCSYSStructure("AF7D46742808C8BBBEEA133C4CB98C69")</f>
        <v/>
      </c>
      <c r="B198" s="3" t="s">
        <v>7213</v>
      </c>
      <c r="C198" s="3" t="s">
        <v>7212</v>
      </c>
      <c r="D198" s="2" t="s">
        <v>1408</v>
      </c>
      <c r="E198" s="2" t="s">
        <v>7395</v>
      </c>
      <c r="F198" s="3" t="s">
        <v>1407</v>
      </c>
      <c r="G198" s="2" t="s">
        <v>7211</v>
      </c>
      <c r="H198" s="8">
        <v>317.3</v>
      </c>
      <c r="I198" s="2" t="s">
        <v>22</v>
      </c>
      <c r="J198" s="2" t="s">
        <v>26</v>
      </c>
      <c r="K198" s="2">
        <v>3</v>
      </c>
      <c r="L198" s="2" t="s">
        <v>20</v>
      </c>
      <c r="M198" s="2">
        <v>1985</v>
      </c>
      <c r="N198" s="3" t="s">
        <v>1409</v>
      </c>
      <c r="O198" s="3" t="s">
        <v>1410</v>
      </c>
      <c r="P198" s="3" t="s">
        <v>1411</v>
      </c>
      <c r="Q198" s="2">
        <v>2843</v>
      </c>
    </row>
    <row r="199" spans="1:17" ht="143.25" customHeight="1" x14ac:dyDescent="0.25">
      <c r="A199" s="5" t="str">
        <f>_xll.JChemExcel.Functions.JCSYSStructure("7B3219F3772B15397A4E34F33D0BA079")</f>
        <v/>
      </c>
      <c r="B199" s="3" t="s">
        <v>1412</v>
      </c>
      <c r="C199" s="3" t="s">
        <v>1413</v>
      </c>
      <c r="D199" s="2" t="s">
        <v>1415</v>
      </c>
      <c r="E199" s="2">
        <v>400038</v>
      </c>
      <c r="F199" s="3" t="s">
        <v>1414</v>
      </c>
      <c r="G199" s="2" t="s">
        <v>1416</v>
      </c>
      <c r="H199" s="8">
        <v>233.7</v>
      </c>
      <c r="I199" s="2" t="s">
        <v>22</v>
      </c>
      <c r="J199" s="2" t="s">
        <v>26</v>
      </c>
      <c r="K199" s="2">
        <v>3</v>
      </c>
      <c r="L199" s="2" t="s">
        <v>20</v>
      </c>
      <c r="M199" s="2">
        <v>1976</v>
      </c>
      <c r="N199" s="3" t="s">
        <v>563</v>
      </c>
      <c r="O199" s="3" t="s">
        <v>1417</v>
      </c>
      <c r="P199" s="3" t="s">
        <v>1418</v>
      </c>
      <c r="Q199" s="2">
        <v>2843</v>
      </c>
    </row>
    <row r="200" spans="1:17" ht="143.25" customHeight="1" x14ac:dyDescent="0.25">
      <c r="A200" s="5" t="str">
        <f>_xll.JChemExcel.Functions.JCSYSStructure("E20242E1387CCA0797AAB1DEC27850E2")</f>
        <v/>
      </c>
      <c r="B200" s="3" t="s">
        <v>1419</v>
      </c>
      <c r="C200" s="3" t="s">
        <v>1420</v>
      </c>
      <c r="D200" s="2" t="s">
        <v>1422</v>
      </c>
      <c r="E200" s="2" t="s">
        <v>7396</v>
      </c>
      <c r="F200" s="3" t="s">
        <v>1421</v>
      </c>
      <c r="G200" s="2" t="s">
        <v>1423</v>
      </c>
      <c r="H200" s="8">
        <v>412.5</v>
      </c>
      <c r="I200" s="2" t="s">
        <v>22</v>
      </c>
      <c r="J200" s="2" t="s">
        <v>26</v>
      </c>
      <c r="K200" s="2">
        <v>3</v>
      </c>
      <c r="L200" s="2" t="s">
        <v>20</v>
      </c>
      <c r="M200" s="2">
        <v>1996</v>
      </c>
      <c r="N200" s="3" t="s">
        <v>920</v>
      </c>
      <c r="O200" s="3" t="s">
        <v>1424</v>
      </c>
      <c r="P200" s="3" t="s">
        <v>1425</v>
      </c>
      <c r="Q200" s="2">
        <v>2843</v>
      </c>
    </row>
    <row r="201" spans="1:17" ht="143.25" customHeight="1" x14ac:dyDescent="0.25">
      <c r="A201" s="5" t="str">
        <f>_xll.JChemExcel.Functions.JCSYSStructure("B0462AE72A7CA25DC1C42A11EC60D522")</f>
        <v/>
      </c>
      <c r="B201" s="3" t="s">
        <v>1426</v>
      </c>
      <c r="C201" s="3" t="s">
        <v>1427</v>
      </c>
      <c r="D201" s="2" t="s">
        <v>1428</v>
      </c>
      <c r="E201" s="2" t="s">
        <v>7397</v>
      </c>
      <c r="F201" s="3" t="s">
        <v>8046</v>
      </c>
      <c r="G201" s="2" t="s">
        <v>8047</v>
      </c>
      <c r="H201" s="8">
        <v>437.5</v>
      </c>
      <c r="I201" s="2" t="s">
        <v>22</v>
      </c>
      <c r="J201" s="2" t="s">
        <v>26</v>
      </c>
      <c r="K201" s="2">
        <v>3</v>
      </c>
      <c r="L201" s="2" t="s">
        <v>20</v>
      </c>
      <c r="M201" s="2">
        <v>1996</v>
      </c>
      <c r="N201" s="3" t="s">
        <v>73</v>
      </c>
      <c r="O201" s="3" t="s">
        <v>1429</v>
      </c>
      <c r="P201" s="3" t="s">
        <v>1430</v>
      </c>
      <c r="Q201" s="2">
        <v>2843</v>
      </c>
    </row>
    <row r="202" spans="1:17" ht="143.25" customHeight="1" x14ac:dyDescent="0.25">
      <c r="A202" s="5" t="str">
        <f>_xll.JChemExcel.Functions.JCSYSStructure("38438ED18AE4FCFDF51BB76E35C4987C")</f>
        <v/>
      </c>
      <c r="B202" s="3" t="s">
        <v>1431</v>
      </c>
      <c r="C202" s="3" t="s">
        <v>1432</v>
      </c>
      <c r="D202" s="2" t="s">
        <v>1434</v>
      </c>
      <c r="E202" s="2" t="s">
        <v>7398</v>
      </c>
      <c r="F202" s="3" t="s">
        <v>1433</v>
      </c>
      <c r="G202" s="2" t="s">
        <v>8048</v>
      </c>
      <c r="H202" s="8">
        <v>410.4</v>
      </c>
      <c r="I202" s="2" t="s">
        <v>22</v>
      </c>
      <c r="J202" s="2" t="s">
        <v>26</v>
      </c>
      <c r="K202" s="2">
        <v>3</v>
      </c>
      <c r="L202" s="2" t="s">
        <v>20</v>
      </c>
      <c r="M202" s="2">
        <v>1999</v>
      </c>
      <c r="N202" s="3" t="s">
        <v>207</v>
      </c>
      <c r="O202" s="3" t="s">
        <v>1435</v>
      </c>
      <c r="P202" s="3" t="s">
        <v>53</v>
      </c>
      <c r="Q202" s="2">
        <v>2843</v>
      </c>
    </row>
    <row r="203" spans="1:17" ht="143.25" customHeight="1" x14ac:dyDescent="0.25">
      <c r="A203" s="5" t="str">
        <f>_xll.JChemExcel.Functions.JCSYSStructure("3F2C926D1E4FEBF64F431E17C07C1754")</f>
        <v/>
      </c>
      <c r="B203" s="3" t="s">
        <v>1436</v>
      </c>
      <c r="C203" s="3" t="s">
        <v>1437</v>
      </c>
      <c r="D203" s="2" t="s">
        <v>1439</v>
      </c>
      <c r="E203" s="2" t="s">
        <v>7399</v>
      </c>
      <c r="F203" s="3" t="s">
        <v>1438</v>
      </c>
      <c r="G203" s="2" t="s">
        <v>1440</v>
      </c>
      <c r="H203" s="8">
        <v>369.1</v>
      </c>
      <c r="I203" s="2" t="s">
        <v>22</v>
      </c>
      <c r="J203" s="2" t="s">
        <v>1013</v>
      </c>
      <c r="K203" s="2">
        <v>3</v>
      </c>
      <c r="L203" s="2" t="s">
        <v>20</v>
      </c>
      <c r="M203" s="2" t="s">
        <v>124</v>
      </c>
      <c r="N203" s="3" t="s">
        <v>1441</v>
      </c>
      <c r="O203" s="3" t="s">
        <v>1442</v>
      </c>
      <c r="P203" s="3" t="s">
        <v>1443</v>
      </c>
      <c r="Q203" s="2">
        <v>2843</v>
      </c>
    </row>
    <row r="204" spans="1:17" ht="143.25" customHeight="1" x14ac:dyDescent="0.25">
      <c r="A204" s="5" t="str">
        <f>_xll.JChemExcel.Functions.JCSYSStructure("0692EF107B37A21A26F83FBDC7E681E6")</f>
        <v/>
      </c>
      <c r="B204" s="3" t="s">
        <v>1444</v>
      </c>
      <c r="C204" s="3" t="s">
        <v>1445</v>
      </c>
      <c r="D204" s="2" t="s">
        <v>1447</v>
      </c>
      <c r="E204" s="2" t="s">
        <v>7400</v>
      </c>
      <c r="F204" s="3" t="s">
        <v>1446</v>
      </c>
      <c r="G204" s="2" t="s">
        <v>1448</v>
      </c>
      <c r="H204" s="8">
        <v>302.3</v>
      </c>
      <c r="I204" s="2" t="s">
        <v>22</v>
      </c>
      <c r="J204" s="2" t="s">
        <v>26</v>
      </c>
      <c r="K204" s="2">
        <v>3</v>
      </c>
      <c r="L204" s="2" t="s">
        <v>20</v>
      </c>
      <c r="M204" s="2">
        <v>2006</v>
      </c>
      <c r="N204" s="3" t="s">
        <v>1449</v>
      </c>
      <c r="O204" s="3" t="s">
        <v>1450</v>
      </c>
      <c r="P204" s="3" t="s">
        <v>1451</v>
      </c>
      <c r="Q204" s="2">
        <v>2843</v>
      </c>
    </row>
    <row r="205" spans="1:17" ht="143.25" customHeight="1" x14ac:dyDescent="0.25">
      <c r="A205" s="5" t="str">
        <f>_xll.JChemExcel.Functions.JCSYSStructure("9387E1198BC6868BD6185B96A0EC5B55")</f>
        <v/>
      </c>
      <c r="B205" s="3" t="s">
        <v>1452</v>
      </c>
      <c r="C205" s="3" t="s">
        <v>1453</v>
      </c>
      <c r="D205" s="2" t="s">
        <v>1455</v>
      </c>
      <c r="E205" s="2" t="s">
        <v>7401</v>
      </c>
      <c r="F205" s="3" t="s">
        <v>1454</v>
      </c>
      <c r="G205" s="2" t="s">
        <v>1456</v>
      </c>
      <c r="H205" s="8">
        <v>1371.5</v>
      </c>
      <c r="I205" s="2" t="s">
        <v>22</v>
      </c>
      <c r="J205" s="2" t="s">
        <v>26</v>
      </c>
      <c r="K205" s="2">
        <v>3</v>
      </c>
      <c r="L205" s="2" t="s">
        <v>20</v>
      </c>
      <c r="M205" s="2" t="s">
        <v>124</v>
      </c>
      <c r="N205" s="3" t="s">
        <v>1457</v>
      </c>
      <c r="O205" s="3" t="s">
        <v>1458</v>
      </c>
      <c r="P205" s="3" t="s">
        <v>1459</v>
      </c>
      <c r="Q205" s="2">
        <v>2843</v>
      </c>
    </row>
    <row r="206" spans="1:17" ht="143.25" customHeight="1" x14ac:dyDescent="0.25">
      <c r="A206" s="5" t="str">
        <f>_xll.JChemExcel.Functions.JCSYSStructure("7D8E71A819DA514C804E4F98F0D26023")</f>
        <v/>
      </c>
      <c r="B206" s="3" t="s">
        <v>1460</v>
      </c>
      <c r="C206" s="3" t="s">
        <v>1461</v>
      </c>
      <c r="D206" s="2" t="s">
        <v>1462</v>
      </c>
      <c r="E206" s="2" t="s">
        <v>7402</v>
      </c>
      <c r="F206" s="3" t="s">
        <v>8049</v>
      </c>
      <c r="G206" s="2" t="s">
        <v>1463</v>
      </c>
      <c r="H206" s="8">
        <v>283.10000000000002</v>
      </c>
      <c r="I206" s="2" t="s">
        <v>22</v>
      </c>
      <c r="J206" s="2" t="s">
        <v>1013</v>
      </c>
      <c r="K206" s="2">
        <v>3</v>
      </c>
      <c r="L206" s="2" t="s">
        <v>20</v>
      </c>
      <c r="M206" s="2" t="s">
        <v>124</v>
      </c>
      <c r="N206" s="3" t="s">
        <v>1464</v>
      </c>
      <c r="O206" s="3" t="s">
        <v>1465</v>
      </c>
      <c r="P206" s="3" t="s">
        <v>1466</v>
      </c>
      <c r="Q206" s="2">
        <v>2843</v>
      </c>
    </row>
    <row r="207" spans="1:17" ht="143.25" customHeight="1" x14ac:dyDescent="0.25">
      <c r="A207" s="5" t="str">
        <f>_xll.JChemExcel.Functions.JCSYSStructure("342051F2B32B24590B499A7A1ACB9A9F")</f>
        <v/>
      </c>
      <c r="B207" s="3" t="s">
        <v>1467</v>
      </c>
      <c r="C207" s="3" t="s">
        <v>1468</v>
      </c>
      <c r="D207" s="2" t="s">
        <v>1470</v>
      </c>
      <c r="E207" s="2" t="s">
        <v>7403</v>
      </c>
      <c r="F207" s="3" t="s">
        <v>1469</v>
      </c>
      <c r="G207" s="2" t="s">
        <v>1471</v>
      </c>
      <c r="H207" s="8">
        <v>609.70000000000005</v>
      </c>
      <c r="I207" s="2" t="s">
        <v>22</v>
      </c>
      <c r="J207" s="2" t="s">
        <v>26</v>
      </c>
      <c r="K207" s="2">
        <v>3</v>
      </c>
      <c r="L207" s="2" t="s">
        <v>20</v>
      </c>
      <c r="M207" s="2">
        <v>1994</v>
      </c>
      <c r="N207" s="3" t="s">
        <v>1472</v>
      </c>
      <c r="O207" s="3" t="s">
        <v>1473</v>
      </c>
      <c r="P207" s="3" t="s">
        <v>1474</v>
      </c>
      <c r="Q207" s="2">
        <v>2843</v>
      </c>
    </row>
    <row r="208" spans="1:17" ht="143.25" customHeight="1" x14ac:dyDescent="0.25">
      <c r="A208" s="5" t="str">
        <f>_xll.JChemExcel.Functions.JCSYSStructure("D902D144524C975D438D3495AD598026")</f>
        <v/>
      </c>
      <c r="B208" s="3" t="s">
        <v>1475</v>
      </c>
      <c r="C208" s="3" t="s">
        <v>1476</v>
      </c>
      <c r="D208" s="2" t="s">
        <v>1478</v>
      </c>
      <c r="E208" s="2" t="s">
        <v>7404</v>
      </c>
      <c r="F208" s="3" t="s">
        <v>1477</v>
      </c>
      <c r="G208" s="2" t="s">
        <v>1479</v>
      </c>
      <c r="H208" s="8">
        <v>778.9</v>
      </c>
      <c r="I208" s="2" t="s">
        <v>22</v>
      </c>
      <c r="J208" s="2" t="s">
        <v>26</v>
      </c>
      <c r="K208" s="2">
        <v>3</v>
      </c>
      <c r="L208" s="2" t="s">
        <v>20</v>
      </c>
      <c r="M208" s="2">
        <v>1994</v>
      </c>
      <c r="N208" s="3" t="s">
        <v>1480</v>
      </c>
      <c r="O208" s="3" t="s">
        <v>1481</v>
      </c>
      <c r="P208" s="3" t="s">
        <v>1482</v>
      </c>
      <c r="Q208" s="2">
        <v>2843</v>
      </c>
    </row>
    <row r="209" spans="1:17" ht="143.25" customHeight="1" x14ac:dyDescent="0.25">
      <c r="A209" s="5" t="str">
        <f>_xll.JChemExcel.Functions.JCSYSStructure("A7D9B05E7B91D2402E02224090F5BDBD")</f>
        <v/>
      </c>
      <c r="B209" s="3" t="s">
        <v>1483</v>
      </c>
      <c r="C209" s="3" t="s">
        <v>1484</v>
      </c>
      <c r="D209" s="2" t="s">
        <v>1486</v>
      </c>
      <c r="E209" s="2" t="s">
        <v>7405</v>
      </c>
      <c r="F209" s="3" t="s">
        <v>1485</v>
      </c>
      <c r="G209" s="2" t="s">
        <v>1487</v>
      </c>
      <c r="H209" s="8">
        <v>415.6</v>
      </c>
      <c r="I209" s="2" t="s">
        <v>22</v>
      </c>
      <c r="J209" s="2" t="s">
        <v>26</v>
      </c>
      <c r="K209" s="2">
        <v>3</v>
      </c>
      <c r="L209" s="2" t="s">
        <v>20</v>
      </c>
      <c r="M209" s="2" t="s">
        <v>1488</v>
      </c>
      <c r="N209" s="3" t="s">
        <v>1489</v>
      </c>
      <c r="O209" s="3" t="s">
        <v>1490</v>
      </c>
      <c r="P209" s="3" t="s">
        <v>1491</v>
      </c>
      <c r="Q209" s="2">
        <v>2843</v>
      </c>
    </row>
    <row r="210" spans="1:17" ht="143.25" customHeight="1" x14ac:dyDescent="0.25">
      <c r="A210" s="5" t="str">
        <f>_xll.JChemExcel.Functions.JCSYSStructure("39F9F94B0D6FEA914CEC449F8CE861EA")</f>
        <v/>
      </c>
      <c r="B210" s="3" t="s">
        <v>7218</v>
      </c>
      <c r="C210" s="3" t="s">
        <v>1492</v>
      </c>
      <c r="D210" s="2" t="s">
        <v>1494</v>
      </c>
      <c r="E210" s="2" t="s">
        <v>7406</v>
      </c>
      <c r="F210" s="3" t="s">
        <v>1493</v>
      </c>
      <c r="G210" s="2" t="s">
        <v>7965</v>
      </c>
      <c r="H210" s="8">
        <v>923.1</v>
      </c>
      <c r="I210" s="2" t="s">
        <v>22</v>
      </c>
      <c r="J210" s="2" t="s">
        <v>26</v>
      </c>
      <c r="K210" s="2">
        <v>3</v>
      </c>
      <c r="L210" s="2" t="s">
        <v>20</v>
      </c>
      <c r="M210" s="2">
        <v>1963</v>
      </c>
      <c r="N210" s="3" t="s">
        <v>563</v>
      </c>
      <c r="O210" s="3" t="s">
        <v>1495</v>
      </c>
      <c r="P210" s="3" t="s">
        <v>1496</v>
      </c>
      <c r="Q210" s="2">
        <v>2843</v>
      </c>
    </row>
    <row r="211" spans="1:17" ht="143.25" customHeight="1" x14ac:dyDescent="0.25">
      <c r="A211" s="5" t="str">
        <f>_xll.JChemExcel.Functions.JCSYSStructure("D75CDB436D7313B2F89E27B9B2B9E6B5")</f>
        <v/>
      </c>
      <c r="B211" s="3" t="s">
        <v>1497</v>
      </c>
      <c r="C211" s="3" t="s">
        <v>1498</v>
      </c>
      <c r="D211" s="2" t="s">
        <v>1500</v>
      </c>
      <c r="E211" s="2">
        <v>430115</v>
      </c>
      <c r="F211" s="3" t="s">
        <v>1499</v>
      </c>
      <c r="G211" s="2" t="s">
        <v>1501</v>
      </c>
      <c r="H211" s="8">
        <v>180.2</v>
      </c>
      <c r="I211" s="2" t="s">
        <v>22</v>
      </c>
      <c r="J211" s="2" t="s">
        <v>26</v>
      </c>
      <c r="K211" s="2">
        <v>3</v>
      </c>
      <c r="L211" s="2" t="s">
        <v>20</v>
      </c>
      <c r="M211" s="2" t="s">
        <v>124</v>
      </c>
      <c r="N211" s="3" t="s">
        <v>950</v>
      </c>
      <c r="O211" s="3" t="s">
        <v>1502</v>
      </c>
      <c r="P211" s="3" t="s">
        <v>1503</v>
      </c>
      <c r="Q211" s="2">
        <v>2843</v>
      </c>
    </row>
    <row r="212" spans="1:17" ht="143.25" customHeight="1" x14ac:dyDescent="0.25">
      <c r="A212" s="5" t="str">
        <f>_xll.JChemExcel.Functions.JCSYSStructure("B7B0B82BEEA10FE9C2ACA50270FB7750")</f>
        <v/>
      </c>
      <c r="B212" s="3" t="s">
        <v>1504</v>
      </c>
      <c r="C212" s="3" t="s">
        <v>1505</v>
      </c>
      <c r="D212" s="2" t="s">
        <v>1506</v>
      </c>
      <c r="E212" s="2" t="s">
        <v>7407</v>
      </c>
      <c r="F212" s="3" t="s">
        <v>7962</v>
      </c>
      <c r="G212" s="2" t="s">
        <v>1507</v>
      </c>
      <c r="H212" s="8">
        <v>225.2</v>
      </c>
      <c r="I212" s="2" t="s">
        <v>22</v>
      </c>
      <c r="J212" s="2" t="s">
        <v>26</v>
      </c>
      <c r="K212" s="2">
        <v>3</v>
      </c>
      <c r="L212" s="2" t="s">
        <v>20</v>
      </c>
      <c r="M212" s="2">
        <v>1982</v>
      </c>
      <c r="N212" s="3" t="s">
        <v>207</v>
      </c>
      <c r="O212" s="3" t="s">
        <v>1508</v>
      </c>
      <c r="P212" s="3" t="s">
        <v>1509</v>
      </c>
      <c r="Q212" s="2">
        <v>2843</v>
      </c>
    </row>
    <row r="213" spans="1:17" ht="143.25" customHeight="1" x14ac:dyDescent="0.25">
      <c r="A213" s="5" t="str">
        <f>_xll.JChemExcel.Functions.JCSYSStructure("0D2F4BCF07164988673934A6A2C259D1")</f>
        <v/>
      </c>
      <c r="B213" s="3" t="s">
        <v>1510</v>
      </c>
      <c r="C213" s="3" t="s">
        <v>1511</v>
      </c>
      <c r="D213" s="2" t="s">
        <v>1512</v>
      </c>
      <c r="E213" s="2" t="s">
        <v>7408</v>
      </c>
      <c r="F213" s="3" t="s">
        <v>7963</v>
      </c>
      <c r="G213" s="2" t="s">
        <v>1513</v>
      </c>
      <c r="H213" s="8">
        <v>267.2</v>
      </c>
      <c r="I213" s="2" t="s">
        <v>22</v>
      </c>
      <c r="J213" s="2" t="s">
        <v>26</v>
      </c>
      <c r="K213" s="2">
        <v>3</v>
      </c>
      <c r="L213" s="2" t="s">
        <v>20</v>
      </c>
      <c r="M213" s="2">
        <v>1987</v>
      </c>
      <c r="N213" s="3" t="s">
        <v>1514</v>
      </c>
      <c r="O213" s="3" t="s">
        <v>1515</v>
      </c>
      <c r="P213" s="3" t="s">
        <v>1516</v>
      </c>
      <c r="Q213" s="2">
        <v>2843</v>
      </c>
    </row>
    <row r="214" spans="1:17" ht="143.25" customHeight="1" x14ac:dyDescent="0.25">
      <c r="A214" s="5" t="str">
        <f>_xll.JChemExcel.Functions.JCSYSStructure("FABC81B5453923115572BF1C46D23F22")</f>
        <v/>
      </c>
      <c r="B214" s="3" t="s">
        <v>1517</v>
      </c>
      <c r="C214" s="3" t="s">
        <v>1518</v>
      </c>
      <c r="D214" s="2" t="s">
        <v>1520</v>
      </c>
      <c r="E214" s="2" t="s">
        <v>7409</v>
      </c>
      <c r="F214" s="3" t="s">
        <v>1519</v>
      </c>
      <c r="G214" s="2" t="s">
        <v>1521</v>
      </c>
      <c r="H214" s="8">
        <v>136.1</v>
      </c>
      <c r="I214" s="2" t="s">
        <v>22</v>
      </c>
      <c r="J214" s="2" t="s">
        <v>26</v>
      </c>
      <c r="K214" s="2">
        <v>3</v>
      </c>
      <c r="L214" s="2" t="s">
        <v>20</v>
      </c>
      <c r="M214" s="2">
        <v>1966</v>
      </c>
      <c r="N214" s="3" t="s">
        <v>1522</v>
      </c>
      <c r="O214" s="3" t="s">
        <v>1523</v>
      </c>
      <c r="P214" s="3" t="s">
        <v>1524</v>
      </c>
      <c r="Q214" s="2">
        <v>2843</v>
      </c>
    </row>
    <row r="215" spans="1:17" ht="143.25" customHeight="1" x14ac:dyDescent="0.25">
      <c r="A215" s="5" t="str">
        <f>_xll.JChemExcel.Functions.JCSYSStructure("EF992B7F682122797888758B257D2CD8")</f>
        <v/>
      </c>
      <c r="B215" s="3" t="s">
        <v>1525</v>
      </c>
      <c r="C215" s="3" t="s">
        <v>1526</v>
      </c>
      <c r="D215" s="2" t="s">
        <v>1528</v>
      </c>
      <c r="E215" s="2" t="s">
        <v>7410</v>
      </c>
      <c r="F215" s="3" t="s">
        <v>1527</v>
      </c>
      <c r="G215" s="2" t="s">
        <v>1529</v>
      </c>
      <c r="H215" s="8">
        <v>210.3</v>
      </c>
      <c r="I215" s="2" t="s">
        <v>22</v>
      </c>
      <c r="J215" s="2" t="s">
        <v>26</v>
      </c>
      <c r="K215" s="2">
        <v>3</v>
      </c>
      <c r="L215" s="2" t="s">
        <v>20</v>
      </c>
      <c r="M215" s="2">
        <v>1990</v>
      </c>
      <c r="N215" s="3" t="s">
        <v>563</v>
      </c>
      <c r="O215" s="3" t="s">
        <v>1530</v>
      </c>
      <c r="P215" s="3" t="s">
        <v>1531</v>
      </c>
      <c r="Q215" s="2">
        <v>2843</v>
      </c>
    </row>
    <row r="216" spans="1:17" ht="143.25" customHeight="1" x14ac:dyDescent="0.25">
      <c r="A216" s="5" t="str">
        <f>_xll.JChemExcel.Functions.JCSYSStructure("5FD50E5AF8A4D52B179CA278140EC32D")</f>
        <v/>
      </c>
      <c r="B216" s="3" t="s">
        <v>1532</v>
      </c>
      <c r="C216" s="3" t="s">
        <v>1533</v>
      </c>
      <c r="D216" s="2" t="s">
        <v>1535</v>
      </c>
      <c r="E216" s="2" t="s">
        <v>7411</v>
      </c>
      <c r="F216" s="3" t="s">
        <v>1534</v>
      </c>
      <c r="G216" s="2" t="s">
        <v>1536</v>
      </c>
      <c r="H216" s="8">
        <v>325.10000000000002</v>
      </c>
      <c r="I216" s="2" t="s">
        <v>22</v>
      </c>
      <c r="J216" s="2" t="s">
        <v>1013</v>
      </c>
      <c r="K216" s="2">
        <v>3</v>
      </c>
      <c r="L216" s="2" t="s">
        <v>20</v>
      </c>
      <c r="M216" s="2">
        <v>1995</v>
      </c>
      <c r="N216" s="3" t="s">
        <v>1537</v>
      </c>
      <c r="O216" s="3" t="s">
        <v>1538</v>
      </c>
      <c r="P216" s="3" t="s">
        <v>1539</v>
      </c>
      <c r="Q216" s="2">
        <v>2843</v>
      </c>
    </row>
    <row r="217" spans="1:17" ht="143.25" customHeight="1" x14ac:dyDescent="0.25">
      <c r="A217" s="5" t="str">
        <f>_xll.JChemExcel.Functions.JCSYSStructure("2C451F29F3C4121F1888B8870449F0CA")</f>
        <v/>
      </c>
      <c r="B217" s="3" t="s">
        <v>1540</v>
      </c>
      <c r="C217" s="3" t="s">
        <v>1541</v>
      </c>
      <c r="D217" s="2" t="s">
        <v>1543</v>
      </c>
      <c r="E217" s="2" t="s">
        <v>7412</v>
      </c>
      <c r="F217" s="3" t="s">
        <v>1542</v>
      </c>
      <c r="G217" s="2" t="s">
        <v>1544</v>
      </c>
      <c r="H217" s="8">
        <v>265.3</v>
      </c>
      <c r="I217" s="2" t="s">
        <v>22</v>
      </c>
      <c r="J217" s="2" t="s">
        <v>26</v>
      </c>
      <c r="K217" s="2">
        <v>3</v>
      </c>
      <c r="L217" s="2" t="s">
        <v>20</v>
      </c>
      <c r="M217" s="2">
        <v>1996</v>
      </c>
      <c r="N217" s="3" t="s">
        <v>1545</v>
      </c>
      <c r="O217" s="3" t="s">
        <v>1546</v>
      </c>
      <c r="P217" s="3" t="s">
        <v>1547</v>
      </c>
      <c r="Q217" s="2">
        <v>2843</v>
      </c>
    </row>
    <row r="218" spans="1:17" ht="143.25" customHeight="1" x14ac:dyDescent="0.25">
      <c r="A218" s="5" t="str">
        <f>_xll.JChemExcel.Functions.JCSYSStructure("19AF2A29FDC65614151313155E3ECA5F")</f>
        <v/>
      </c>
      <c r="B218" s="3" t="s">
        <v>1548</v>
      </c>
      <c r="C218" s="3" t="s">
        <v>1549</v>
      </c>
      <c r="D218" s="2" t="s">
        <v>1551</v>
      </c>
      <c r="E218" s="2" t="s">
        <v>7413</v>
      </c>
      <c r="F218" s="3" t="s">
        <v>1550</v>
      </c>
      <c r="G218" s="2" t="s">
        <v>1552</v>
      </c>
      <c r="H218" s="8">
        <v>413.5</v>
      </c>
      <c r="I218" s="2" t="s">
        <v>22</v>
      </c>
      <c r="J218" s="2" t="s">
        <v>26</v>
      </c>
      <c r="K218" s="2">
        <v>3</v>
      </c>
      <c r="L218" s="2" t="s">
        <v>20</v>
      </c>
      <c r="M218" s="2">
        <v>1992</v>
      </c>
      <c r="N218" s="3" t="s">
        <v>1553</v>
      </c>
      <c r="O218" s="3" t="s">
        <v>1554</v>
      </c>
      <c r="P218" s="3" t="s">
        <v>1555</v>
      </c>
      <c r="Q218" s="2">
        <v>2843</v>
      </c>
    </row>
    <row r="219" spans="1:17" ht="143.25" customHeight="1" x14ac:dyDescent="0.25">
      <c r="A219" s="5" t="str">
        <f>_xll.JChemExcel.Functions.JCSYSStructure("C620A2961B269D08E4A200A933443DEF")</f>
        <v/>
      </c>
      <c r="B219" s="3" t="s">
        <v>1556</v>
      </c>
      <c r="C219" s="3" t="s">
        <v>1557</v>
      </c>
      <c r="D219" s="2" t="s">
        <v>1559</v>
      </c>
      <c r="E219" s="2" t="s">
        <v>7414</v>
      </c>
      <c r="F219" s="3" t="s">
        <v>1558</v>
      </c>
      <c r="G219" s="2" t="s">
        <v>1560</v>
      </c>
      <c r="H219" s="8">
        <v>214.2</v>
      </c>
      <c r="I219" s="2" t="s">
        <v>22</v>
      </c>
      <c r="J219" s="2" t="s">
        <v>1013</v>
      </c>
      <c r="K219" s="2">
        <v>3</v>
      </c>
      <c r="L219" s="2" t="s">
        <v>20</v>
      </c>
      <c r="M219" s="2">
        <v>1995</v>
      </c>
      <c r="N219" s="3" t="s">
        <v>563</v>
      </c>
      <c r="O219" s="3" t="s">
        <v>1561</v>
      </c>
      <c r="P219" s="3" t="s">
        <v>1562</v>
      </c>
      <c r="Q219" s="2">
        <v>2843</v>
      </c>
    </row>
    <row r="220" spans="1:17" ht="143.25" customHeight="1" x14ac:dyDescent="0.25">
      <c r="A220" s="5" t="str">
        <f>_xll.JChemExcel.Functions.JCSYSStructure("6FCCCFABC524459743DDC072A70AD99C")</f>
        <v/>
      </c>
      <c r="B220" s="3" t="s">
        <v>1563</v>
      </c>
      <c r="C220" s="3" t="s">
        <v>1564</v>
      </c>
      <c r="D220" s="2" t="s">
        <v>1566</v>
      </c>
      <c r="E220" s="2" t="s">
        <v>7415</v>
      </c>
      <c r="F220" s="3" t="s">
        <v>1565</v>
      </c>
      <c r="G220" s="2" t="s">
        <v>1567</v>
      </c>
      <c r="H220" s="8">
        <v>153.1</v>
      </c>
      <c r="I220" s="2" t="s">
        <v>22</v>
      </c>
      <c r="J220" s="2" t="s">
        <v>26</v>
      </c>
      <c r="K220" s="2">
        <v>3</v>
      </c>
      <c r="L220" s="2" t="s">
        <v>20</v>
      </c>
      <c r="M220" s="2">
        <v>1994</v>
      </c>
      <c r="N220" s="3" t="s">
        <v>1568</v>
      </c>
      <c r="O220" s="3" t="s">
        <v>1569</v>
      </c>
      <c r="P220" s="3" t="s">
        <v>1570</v>
      </c>
      <c r="Q220" s="2">
        <v>2843</v>
      </c>
    </row>
    <row r="221" spans="1:17" ht="143.25" customHeight="1" x14ac:dyDescent="0.25">
      <c r="A221" s="5" t="str">
        <f>_xll.JChemExcel.Functions.JCSYSStructure("94551526FFF7035C6133E3A4F8FB3513")</f>
        <v/>
      </c>
      <c r="B221" s="3" t="s">
        <v>1571</v>
      </c>
      <c r="C221" s="3" t="s">
        <v>1572</v>
      </c>
      <c r="D221" s="2" t="s">
        <v>1573</v>
      </c>
      <c r="E221" s="2">
        <v>430110</v>
      </c>
      <c r="F221" s="3" t="s">
        <v>7964</v>
      </c>
      <c r="G221" s="2" t="s">
        <v>1574</v>
      </c>
      <c r="H221" s="8">
        <v>153.1</v>
      </c>
      <c r="I221" s="2" t="s">
        <v>22</v>
      </c>
      <c r="J221" s="2" t="s">
        <v>26</v>
      </c>
      <c r="K221" s="2">
        <v>3</v>
      </c>
      <c r="L221" s="2" t="s">
        <v>20</v>
      </c>
      <c r="M221" s="2">
        <v>1987</v>
      </c>
      <c r="N221" s="3" t="s">
        <v>1575</v>
      </c>
      <c r="O221" s="3" t="s">
        <v>1576</v>
      </c>
      <c r="P221" s="3" t="s">
        <v>1577</v>
      </c>
      <c r="Q221" s="2">
        <v>2843</v>
      </c>
    </row>
    <row r="222" spans="1:17" ht="143.25" customHeight="1" x14ac:dyDescent="0.25">
      <c r="A222" s="5" t="str">
        <f>_xll.JChemExcel.Functions.JCSYSStructure("41B4F79B1AA50B4E5121BFC7F1354671")</f>
        <v/>
      </c>
      <c r="B222" s="3" t="s">
        <v>1578</v>
      </c>
      <c r="C222" s="3" t="s">
        <v>1579</v>
      </c>
      <c r="D222" s="2" t="s">
        <v>1581</v>
      </c>
      <c r="E222" s="2" t="s">
        <v>7416</v>
      </c>
      <c r="F222" s="3" t="s">
        <v>1580</v>
      </c>
      <c r="G222" s="2" t="s">
        <v>1582</v>
      </c>
      <c r="H222" s="8">
        <v>403.5</v>
      </c>
      <c r="I222" s="2" t="s">
        <v>22</v>
      </c>
      <c r="J222" s="2" t="s">
        <v>26</v>
      </c>
      <c r="K222" s="2">
        <v>3</v>
      </c>
      <c r="L222" s="2" t="s">
        <v>20</v>
      </c>
      <c r="M222" s="2">
        <v>1998</v>
      </c>
      <c r="N222" s="3" t="s">
        <v>1583</v>
      </c>
      <c r="O222" s="3" t="s">
        <v>1584</v>
      </c>
      <c r="P222" s="3" t="s">
        <v>1585</v>
      </c>
      <c r="Q222" s="2">
        <v>2843</v>
      </c>
    </row>
    <row r="223" spans="1:17" ht="143.25" customHeight="1" x14ac:dyDescent="0.25">
      <c r="A223" s="5" t="str">
        <f>_xll.JChemExcel.Functions.JCSYSStructure("25208EF8B2F92751007E843115C29A6A")</f>
        <v/>
      </c>
      <c r="B223" s="3" t="s">
        <v>1586</v>
      </c>
      <c r="C223" s="3" t="s">
        <v>1587</v>
      </c>
      <c r="D223" s="2" t="s">
        <v>1588</v>
      </c>
      <c r="E223" s="2" t="s">
        <v>7417</v>
      </c>
      <c r="F223" s="3" t="s">
        <v>7966</v>
      </c>
      <c r="G223" s="2" t="s">
        <v>1589</v>
      </c>
      <c r="H223" s="8">
        <v>266.3</v>
      </c>
      <c r="I223" s="2" t="s">
        <v>22</v>
      </c>
      <c r="J223" s="2" t="s">
        <v>26</v>
      </c>
      <c r="K223" s="2">
        <v>3</v>
      </c>
      <c r="L223" s="2" t="s">
        <v>20</v>
      </c>
      <c r="M223" s="2">
        <v>1981</v>
      </c>
      <c r="N223" s="3" t="s">
        <v>183</v>
      </c>
      <c r="O223" s="3" t="s">
        <v>1590</v>
      </c>
      <c r="P223" s="3" t="s">
        <v>1591</v>
      </c>
      <c r="Q223" s="2">
        <v>2843</v>
      </c>
    </row>
    <row r="224" spans="1:17" ht="143.25" customHeight="1" x14ac:dyDescent="0.25">
      <c r="A224" s="5" t="str">
        <f>_xll.JChemExcel.Functions.JCSYSStructure("72792396D3A9BB0755CD22FDE3677631")</f>
        <v/>
      </c>
      <c r="B224" s="3" t="s">
        <v>1592</v>
      </c>
      <c r="C224" s="3" t="s">
        <v>1593</v>
      </c>
      <c r="D224" s="2" t="s">
        <v>1595</v>
      </c>
      <c r="E224" s="2" t="s">
        <v>7418</v>
      </c>
      <c r="F224" s="3" t="s">
        <v>1594</v>
      </c>
      <c r="G224" s="2" t="s">
        <v>1596</v>
      </c>
      <c r="H224" s="8">
        <v>1243.5</v>
      </c>
      <c r="I224" s="2" t="s">
        <v>22</v>
      </c>
      <c r="J224" s="2" t="s">
        <v>26</v>
      </c>
      <c r="K224" s="2">
        <v>3</v>
      </c>
      <c r="L224" s="2" t="s">
        <v>20</v>
      </c>
      <c r="M224" s="2">
        <v>1983</v>
      </c>
      <c r="N224" s="3" t="s">
        <v>1597</v>
      </c>
      <c r="O224" s="3" t="s">
        <v>1598</v>
      </c>
      <c r="P224" s="3" t="s">
        <v>1599</v>
      </c>
      <c r="Q224" s="2">
        <v>2843</v>
      </c>
    </row>
    <row r="225" spans="1:17" ht="143.25" customHeight="1" x14ac:dyDescent="0.25">
      <c r="A225" s="5" t="str">
        <f>_xll.JChemExcel.Functions.JCSYSStructure("04E78F2D5652306B12BDC915D4659C49")</f>
        <v/>
      </c>
      <c r="B225" s="3" t="s">
        <v>1600</v>
      </c>
      <c r="C225" s="3" t="s">
        <v>1601</v>
      </c>
      <c r="D225" s="2" t="s">
        <v>1602</v>
      </c>
      <c r="E225" s="2">
        <v>350257</v>
      </c>
      <c r="F225" s="3" t="s">
        <v>7967</v>
      </c>
      <c r="G225" s="2" t="s">
        <v>1603</v>
      </c>
      <c r="H225" s="8">
        <v>909.1</v>
      </c>
      <c r="I225" s="2" t="s">
        <v>22</v>
      </c>
      <c r="J225" s="2" t="s">
        <v>26</v>
      </c>
      <c r="K225" s="2">
        <v>3</v>
      </c>
      <c r="L225" s="2" t="s">
        <v>20</v>
      </c>
      <c r="M225" s="2">
        <v>1965</v>
      </c>
      <c r="N225" s="3" t="s">
        <v>563</v>
      </c>
      <c r="O225" s="3" t="s">
        <v>1604</v>
      </c>
      <c r="P225" s="3" t="s">
        <v>1605</v>
      </c>
      <c r="Q225" s="2">
        <v>2843</v>
      </c>
    </row>
    <row r="226" spans="1:17" ht="143.25" customHeight="1" x14ac:dyDescent="0.25">
      <c r="A226" s="5" t="str">
        <f>_xll.JChemExcel.Functions.JCSYSStructure("0B0C14A9619CCECFF5E61E8AF3EF11D8")</f>
        <v/>
      </c>
      <c r="B226" s="3" t="s">
        <v>1606</v>
      </c>
      <c r="C226" s="3" t="s">
        <v>1607</v>
      </c>
      <c r="D226" s="2" t="s">
        <v>1609</v>
      </c>
      <c r="E226" s="2" t="s">
        <v>7419</v>
      </c>
      <c r="F226" s="3" t="s">
        <v>1608</v>
      </c>
      <c r="G226" s="2" t="s">
        <v>1610</v>
      </c>
      <c r="H226" s="8">
        <v>749</v>
      </c>
      <c r="I226" s="2" t="s">
        <v>22</v>
      </c>
      <c r="J226" s="2" t="s">
        <v>26</v>
      </c>
      <c r="K226" s="2">
        <v>3</v>
      </c>
      <c r="L226" s="2" t="s">
        <v>20</v>
      </c>
      <c r="M226" s="2">
        <v>1991</v>
      </c>
      <c r="N226" s="3" t="s">
        <v>23</v>
      </c>
      <c r="O226" s="3" t="s">
        <v>1611</v>
      </c>
      <c r="P226" s="3" t="s">
        <v>1612</v>
      </c>
      <c r="Q226" s="2">
        <v>2843</v>
      </c>
    </row>
    <row r="227" spans="1:17" ht="143.25" customHeight="1" x14ac:dyDescent="0.25">
      <c r="A227" s="5" t="str">
        <f>_xll.JChemExcel.Functions.JCSYSStructure("63A79D1A0DAC4BD4F82D3CBE0DAF516D")</f>
        <v/>
      </c>
      <c r="B227" s="3" t="s">
        <v>1613</v>
      </c>
      <c r="C227" s="3" t="s">
        <v>1614</v>
      </c>
      <c r="D227" s="2" t="s">
        <v>1616</v>
      </c>
      <c r="E227" s="2" t="s">
        <v>7420</v>
      </c>
      <c r="F227" s="3" t="s">
        <v>1615</v>
      </c>
      <c r="G227" s="2" t="s">
        <v>1617</v>
      </c>
      <c r="H227" s="8">
        <v>435.4</v>
      </c>
      <c r="I227" s="2" t="s">
        <v>22</v>
      </c>
      <c r="J227" s="2" t="s">
        <v>26</v>
      </c>
      <c r="K227" s="2">
        <v>3</v>
      </c>
      <c r="L227" s="2" t="s">
        <v>20</v>
      </c>
      <c r="M227" s="2">
        <v>1986</v>
      </c>
      <c r="N227" s="3" t="s">
        <v>23</v>
      </c>
      <c r="O227" s="3" t="s">
        <v>1618</v>
      </c>
      <c r="P227" s="3" t="s">
        <v>1619</v>
      </c>
      <c r="Q227" s="2">
        <v>2843</v>
      </c>
    </row>
    <row r="228" spans="1:17" ht="143.25" customHeight="1" x14ac:dyDescent="0.25">
      <c r="A228" s="5" t="str">
        <f>_xll.JChemExcel.Functions.JCSYSStructure("710EDEFB42F70B03CA70AC234458F223")</f>
        <v/>
      </c>
      <c r="B228" s="3" t="s">
        <v>1620</v>
      </c>
      <c r="C228" s="3" t="s">
        <v>1621</v>
      </c>
      <c r="D228" s="2" t="s">
        <v>1623</v>
      </c>
      <c r="E228" s="2" t="s">
        <v>7421</v>
      </c>
      <c r="F228" s="3" t="s">
        <v>1622</v>
      </c>
      <c r="G228" s="2" t="s">
        <v>1624</v>
      </c>
      <c r="H228" s="8">
        <v>392.5</v>
      </c>
      <c r="I228" s="2" t="s">
        <v>22</v>
      </c>
      <c r="J228" s="2" t="s">
        <v>26</v>
      </c>
      <c r="K228" s="2">
        <v>3</v>
      </c>
      <c r="L228" s="2" t="s">
        <v>20</v>
      </c>
      <c r="M228" s="2">
        <v>1961</v>
      </c>
      <c r="N228" s="3" t="s">
        <v>1625</v>
      </c>
      <c r="O228" s="3" t="s">
        <v>1626</v>
      </c>
      <c r="P228" s="3" t="s">
        <v>1627</v>
      </c>
      <c r="Q228" s="2">
        <v>2843</v>
      </c>
    </row>
    <row r="229" spans="1:17" ht="143.25" customHeight="1" x14ac:dyDescent="0.25">
      <c r="A229" s="5" t="str">
        <f>_xll.JChemExcel.Functions.JCSYSStructure("A0F3A17F646C054E65BF1FAB7F902242")</f>
        <v/>
      </c>
      <c r="B229" s="3" t="s">
        <v>1628</v>
      </c>
      <c r="C229" s="3" t="s">
        <v>1629</v>
      </c>
      <c r="D229" s="2" t="s">
        <v>1631</v>
      </c>
      <c r="E229" s="2" t="s">
        <v>7422</v>
      </c>
      <c r="F229" s="3" t="s">
        <v>1630</v>
      </c>
      <c r="G229" s="2" t="s">
        <v>1632</v>
      </c>
      <c r="H229" s="8">
        <v>361.4</v>
      </c>
      <c r="I229" s="2" t="s">
        <v>22</v>
      </c>
      <c r="J229" s="2" t="s">
        <v>26</v>
      </c>
      <c r="K229" s="2">
        <v>3</v>
      </c>
      <c r="L229" s="2" t="s">
        <v>20</v>
      </c>
      <c r="M229" s="2" t="s">
        <v>124</v>
      </c>
      <c r="N229" s="3" t="s">
        <v>1633</v>
      </c>
      <c r="O229" s="3" t="s">
        <v>1634</v>
      </c>
      <c r="P229" s="3" t="s">
        <v>1635</v>
      </c>
      <c r="Q229" s="2">
        <v>2843</v>
      </c>
    </row>
    <row r="230" spans="1:17" ht="143.25" customHeight="1" x14ac:dyDescent="0.25">
      <c r="A230" s="5" t="str">
        <f>_xll.JChemExcel.Functions.JCSYSStructure("CB351D650D743A21FFBA4ABEB87A71FE")</f>
        <v/>
      </c>
      <c r="B230" s="3" t="s">
        <v>1636</v>
      </c>
      <c r="C230" s="3" t="s">
        <v>1637</v>
      </c>
      <c r="D230" s="2" t="s">
        <v>1639</v>
      </c>
      <c r="E230" s="2" t="s">
        <v>7423</v>
      </c>
      <c r="F230" s="3" t="s">
        <v>1638</v>
      </c>
      <c r="G230" s="2" t="s">
        <v>1640</v>
      </c>
      <c r="H230" s="8">
        <v>422</v>
      </c>
      <c r="I230" s="2" t="s">
        <v>22</v>
      </c>
      <c r="J230" s="2" t="s">
        <v>26</v>
      </c>
      <c r="K230" s="2">
        <v>3</v>
      </c>
      <c r="L230" s="2" t="s">
        <v>20</v>
      </c>
      <c r="M230" s="2">
        <v>1986</v>
      </c>
      <c r="N230" s="3" t="s">
        <v>1641</v>
      </c>
      <c r="O230" s="3" t="s">
        <v>1642</v>
      </c>
      <c r="P230" s="3" t="s">
        <v>1643</v>
      </c>
      <c r="Q230" s="2">
        <v>2843</v>
      </c>
    </row>
    <row r="231" spans="1:17" ht="143.25" customHeight="1" x14ac:dyDescent="0.25">
      <c r="A231" s="5" t="str">
        <f>_xll.JChemExcel.Functions.JCSYSStructure("F8795DB24E1C2F183F37D242513E1FE6")</f>
        <v/>
      </c>
      <c r="B231" s="3" t="s">
        <v>1644</v>
      </c>
      <c r="C231" s="3" t="s">
        <v>1645</v>
      </c>
      <c r="D231" s="2" t="s">
        <v>1647</v>
      </c>
      <c r="E231" s="2">
        <v>400041</v>
      </c>
      <c r="F231" s="3" t="s">
        <v>1646</v>
      </c>
      <c r="G231" s="2" t="s">
        <v>1648</v>
      </c>
      <c r="H231" s="8">
        <v>373.2</v>
      </c>
      <c r="I231" s="2" t="s">
        <v>22</v>
      </c>
      <c r="J231" s="2" t="s">
        <v>26</v>
      </c>
      <c r="K231" s="2">
        <v>3</v>
      </c>
      <c r="L231" s="2" t="s">
        <v>20</v>
      </c>
      <c r="M231" s="2">
        <v>1989</v>
      </c>
      <c r="N231" s="3" t="s">
        <v>563</v>
      </c>
      <c r="O231" s="3" t="s">
        <v>1649</v>
      </c>
      <c r="P231" s="3" t="s">
        <v>1650</v>
      </c>
      <c r="Q231" s="2">
        <v>2843</v>
      </c>
    </row>
    <row r="232" spans="1:17" ht="143.25" customHeight="1" x14ac:dyDescent="0.25">
      <c r="A232" s="5" t="str">
        <f>_xll.JChemExcel.Functions.JCSYSStructure("01D9A69D7CB2EF6D520027AA0F121526")</f>
        <v/>
      </c>
      <c r="B232" s="3" t="s">
        <v>1651</v>
      </c>
      <c r="C232" s="3" t="s">
        <v>1652</v>
      </c>
      <c r="D232" s="2" t="s">
        <v>1654</v>
      </c>
      <c r="E232" s="2">
        <v>550084</v>
      </c>
      <c r="F232" s="3" t="s">
        <v>1653</v>
      </c>
      <c r="G232" s="2" t="s">
        <v>1655</v>
      </c>
      <c r="H232" s="8">
        <v>236.3</v>
      </c>
      <c r="I232" s="2" t="s">
        <v>22</v>
      </c>
      <c r="J232" s="2" t="s">
        <v>26</v>
      </c>
      <c r="K232" s="2">
        <v>3</v>
      </c>
      <c r="L232" s="2" t="s">
        <v>20</v>
      </c>
      <c r="M232" s="2">
        <v>1968</v>
      </c>
      <c r="N232" s="3" t="s">
        <v>1656</v>
      </c>
      <c r="O232" s="3" t="s">
        <v>1657</v>
      </c>
      <c r="P232" s="3" t="s">
        <v>1658</v>
      </c>
      <c r="Q232" s="2">
        <v>2843</v>
      </c>
    </row>
    <row r="233" spans="1:17" ht="143.25" customHeight="1" x14ac:dyDescent="0.25">
      <c r="A233" s="5" t="str">
        <f>_xll.JChemExcel.Functions.JCSYSStructure("1D7E863D9AF015FCE0028A071823DFA1")</f>
        <v/>
      </c>
      <c r="B233" s="3" t="s">
        <v>1659</v>
      </c>
      <c r="C233" s="3" t="s">
        <v>1660</v>
      </c>
      <c r="D233" s="2" t="s">
        <v>1662</v>
      </c>
      <c r="E233" s="2" t="s">
        <v>7424</v>
      </c>
      <c r="F233" s="3" t="s">
        <v>1661</v>
      </c>
      <c r="G233" s="2" t="s">
        <v>1663</v>
      </c>
      <c r="H233" s="8">
        <v>455.5</v>
      </c>
      <c r="I233" s="2" t="s">
        <v>22</v>
      </c>
      <c r="J233" s="2" t="s">
        <v>26</v>
      </c>
      <c r="K233" s="2">
        <v>3</v>
      </c>
      <c r="L233" s="2" t="s">
        <v>20</v>
      </c>
      <c r="M233" s="2" t="s">
        <v>124</v>
      </c>
      <c r="N233" s="3" t="s">
        <v>1583</v>
      </c>
      <c r="O233" s="3" t="s">
        <v>1664</v>
      </c>
      <c r="P233" s="3" t="s">
        <v>1665</v>
      </c>
      <c r="Q233" s="2">
        <v>2843</v>
      </c>
    </row>
    <row r="234" spans="1:17" ht="143.25" customHeight="1" x14ac:dyDescent="0.25">
      <c r="A234" s="5" t="str">
        <f>_xll.JChemExcel.Functions.JCSYSStructure("DEBA6707CD02EE80EA112FA5758BEE91")</f>
        <v/>
      </c>
      <c r="B234" s="3" t="s">
        <v>1666</v>
      </c>
      <c r="C234" s="3" t="s">
        <v>1667</v>
      </c>
      <c r="D234" s="2" t="s">
        <v>1668</v>
      </c>
      <c r="E234" s="2" t="s">
        <v>7425</v>
      </c>
      <c r="F234" s="3" t="s">
        <v>7216</v>
      </c>
      <c r="G234" s="2" t="s">
        <v>7217</v>
      </c>
      <c r="H234" s="8">
        <v>636.6</v>
      </c>
      <c r="I234" s="2" t="s">
        <v>22</v>
      </c>
      <c r="J234" s="2" t="s">
        <v>1013</v>
      </c>
      <c r="K234" s="2">
        <v>3</v>
      </c>
      <c r="L234" s="2" t="s">
        <v>20</v>
      </c>
      <c r="M234" s="2">
        <v>1985</v>
      </c>
      <c r="N234" s="3" t="s">
        <v>23</v>
      </c>
      <c r="O234" s="3" t="s">
        <v>1669</v>
      </c>
      <c r="P234" s="3" t="s">
        <v>1670</v>
      </c>
      <c r="Q234" s="2">
        <v>2843</v>
      </c>
    </row>
    <row r="235" spans="1:17" ht="143.25" customHeight="1" x14ac:dyDescent="0.25">
      <c r="A235" s="5" t="str">
        <f>_xll.JChemExcel.Functions.JCSYSStructure("7777E1E068BD604157464D5A029B01E2")</f>
        <v/>
      </c>
      <c r="B235" s="3" t="s">
        <v>1671</v>
      </c>
      <c r="C235" s="3" t="s">
        <v>1672</v>
      </c>
      <c r="D235" s="2" t="s">
        <v>1674</v>
      </c>
      <c r="E235" s="2" t="s">
        <v>7426</v>
      </c>
      <c r="F235" s="3" t="s">
        <v>1673</v>
      </c>
      <c r="G235" s="2" t="s">
        <v>1675</v>
      </c>
      <c r="H235" s="8">
        <v>323.10000000000002</v>
      </c>
      <c r="I235" s="2" t="s">
        <v>22</v>
      </c>
      <c r="J235" s="2" t="s">
        <v>26</v>
      </c>
      <c r="K235" s="2">
        <v>3</v>
      </c>
      <c r="L235" s="2" t="s">
        <v>20</v>
      </c>
      <c r="M235" s="2">
        <v>1949</v>
      </c>
      <c r="N235" s="3" t="s">
        <v>1676</v>
      </c>
      <c r="O235" s="3" t="s">
        <v>1677</v>
      </c>
      <c r="P235" s="3" t="s">
        <v>1678</v>
      </c>
      <c r="Q235" s="2">
        <v>2843</v>
      </c>
    </row>
    <row r="236" spans="1:17" ht="143.25" customHeight="1" x14ac:dyDescent="0.25">
      <c r="A236" s="5" t="str">
        <f>_xll.JChemExcel.Functions.JCSYSStructure("0BD95950F7FE51C0138258224C4E88EA")</f>
        <v/>
      </c>
      <c r="B236" s="3" t="s">
        <v>1679</v>
      </c>
      <c r="C236" s="3" t="s">
        <v>1680</v>
      </c>
      <c r="D236" s="2" t="s">
        <v>1682</v>
      </c>
      <c r="E236" s="2">
        <v>400049</v>
      </c>
      <c r="F236" s="3" t="s">
        <v>1681</v>
      </c>
      <c r="G236" s="2" t="s">
        <v>1683</v>
      </c>
      <c r="H236" s="8">
        <v>304.2</v>
      </c>
      <c r="I236" s="2" t="s">
        <v>22</v>
      </c>
      <c r="J236" s="2" t="s">
        <v>26</v>
      </c>
      <c r="K236" s="2">
        <v>3</v>
      </c>
      <c r="L236" s="2" t="s">
        <v>20</v>
      </c>
      <c r="M236" s="2">
        <v>1957</v>
      </c>
      <c r="N236" s="3" t="s">
        <v>1684</v>
      </c>
      <c r="O236" s="3" t="s">
        <v>1685</v>
      </c>
      <c r="P236" s="3" t="s">
        <v>1686</v>
      </c>
      <c r="Q236" s="2">
        <v>2843</v>
      </c>
    </row>
    <row r="237" spans="1:17" ht="143.25" customHeight="1" x14ac:dyDescent="0.25">
      <c r="A237" s="5" t="str">
        <f>_xll.JChemExcel.Functions.JCSYSStructure("9B1AA82D416959B97A0F1B5D6EE854A9")</f>
        <v/>
      </c>
      <c r="B237" s="3" t="s">
        <v>1687</v>
      </c>
      <c r="C237" s="3" t="s">
        <v>1688</v>
      </c>
      <c r="D237" s="2" t="s">
        <v>1690</v>
      </c>
      <c r="E237" s="2" t="s">
        <v>7427</v>
      </c>
      <c r="F237" s="3" t="s">
        <v>1689</v>
      </c>
      <c r="G237" s="2" t="s">
        <v>1691</v>
      </c>
      <c r="H237" s="8">
        <v>390.9</v>
      </c>
      <c r="I237" s="2" t="s">
        <v>22</v>
      </c>
      <c r="J237" s="2" t="s">
        <v>26</v>
      </c>
      <c r="K237" s="2">
        <v>3</v>
      </c>
      <c r="L237" s="2" t="s">
        <v>20</v>
      </c>
      <c r="M237" s="2" t="s">
        <v>124</v>
      </c>
      <c r="N237" s="3" t="s">
        <v>541</v>
      </c>
      <c r="O237" s="3" t="s">
        <v>1692</v>
      </c>
      <c r="P237" s="3" t="s">
        <v>1693</v>
      </c>
      <c r="Q237" s="2">
        <v>2843</v>
      </c>
    </row>
    <row r="238" spans="1:17" ht="143.25" customHeight="1" x14ac:dyDescent="0.25">
      <c r="A238" s="5" t="str">
        <f>_xll.JChemExcel.Functions.JCSYSStructure("76DA6A6925AC20979C621E51505DB6BC")</f>
        <v/>
      </c>
      <c r="B238" s="3" t="s">
        <v>1694</v>
      </c>
      <c r="C238" s="3" t="s">
        <v>1695</v>
      </c>
      <c r="D238" s="2" t="s">
        <v>1697</v>
      </c>
      <c r="E238" s="2" t="s">
        <v>7428</v>
      </c>
      <c r="F238" s="3" t="s">
        <v>1696</v>
      </c>
      <c r="G238" s="2" t="s">
        <v>1698</v>
      </c>
      <c r="H238" s="8">
        <v>515.9</v>
      </c>
      <c r="I238" s="2" t="s">
        <v>22</v>
      </c>
      <c r="J238" s="2" t="s">
        <v>1013</v>
      </c>
      <c r="K238" s="2">
        <v>3</v>
      </c>
      <c r="L238" s="2" t="s">
        <v>20</v>
      </c>
      <c r="M238" s="2">
        <v>1949</v>
      </c>
      <c r="N238" s="3" t="s">
        <v>1699</v>
      </c>
      <c r="O238" s="3" t="s">
        <v>1700</v>
      </c>
      <c r="P238" s="3" t="s">
        <v>1701</v>
      </c>
      <c r="Q238" s="2">
        <v>2843</v>
      </c>
    </row>
    <row r="239" spans="1:17" ht="143.25" customHeight="1" x14ac:dyDescent="0.25">
      <c r="A239" s="5" t="str">
        <f>_xll.JChemExcel.Functions.JCSYSStructure("B07AEA644CC686FA9F779C0F88761C72")</f>
        <v/>
      </c>
      <c r="B239" s="3" t="s">
        <v>1702</v>
      </c>
      <c r="C239" s="3" t="s">
        <v>1703</v>
      </c>
      <c r="D239" s="2" t="s">
        <v>1705</v>
      </c>
      <c r="E239" s="2" t="s">
        <v>7429</v>
      </c>
      <c r="F239" s="3" t="s">
        <v>1704</v>
      </c>
      <c r="G239" s="2" t="s">
        <v>1706</v>
      </c>
      <c r="H239" s="8">
        <v>258.2</v>
      </c>
      <c r="I239" s="2" t="s">
        <v>22</v>
      </c>
      <c r="J239" s="2" t="s">
        <v>26</v>
      </c>
      <c r="K239" s="2">
        <v>3</v>
      </c>
      <c r="L239" s="2" t="s">
        <v>20</v>
      </c>
      <c r="M239" s="2">
        <v>1998</v>
      </c>
      <c r="N239" s="3" t="s">
        <v>1707</v>
      </c>
      <c r="O239" s="3" t="s">
        <v>1708</v>
      </c>
      <c r="P239" s="3" t="s">
        <v>1709</v>
      </c>
      <c r="Q239" s="2">
        <v>2843</v>
      </c>
    </row>
    <row r="240" spans="1:17" ht="143.25" customHeight="1" x14ac:dyDescent="0.25">
      <c r="A240" s="5" t="str">
        <f>_xll.JChemExcel.Functions.JCSYSStructure("16A744558DECE95F245E4A2F44EC1936")</f>
        <v/>
      </c>
      <c r="B240" s="3" t="s">
        <v>1710</v>
      </c>
      <c r="C240" s="3" t="s">
        <v>1711</v>
      </c>
      <c r="D240" s="2" t="s">
        <v>1713</v>
      </c>
      <c r="E240" s="2">
        <v>380287</v>
      </c>
      <c r="F240" s="3" t="s">
        <v>1712</v>
      </c>
      <c r="G240" s="2" t="s">
        <v>1714</v>
      </c>
      <c r="H240" s="8">
        <v>331.3</v>
      </c>
      <c r="I240" s="2" t="s">
        <v>22</v>
      </c>
      <c r="J240" s="2" t="s">
        <v>26</v>
      </c>
      <c r="K240" s="2">
        <v>3</v>
      </c>
      <c r="L240" s="2" t="s">
        <v>20</v>
      </c>
      <c r="M240" s="2">
        <v>1987</v>
      </c>
      <c r="N240" s="3" t="s">
        <v>23</v>
      </c>
      <c r="O240" s="3" t="s">
        <v>1715</v>
      </c>
      <c r="P240" s="3" t="s">
        <v>1716</v>
      </c>
      <c r="Q240" s="2">
        <v>2843</v>
      </c>
    </row>
    <row r="241" spans="1:17" ht="143.25" customHeight="1" x14ac:dyDescent="0.25">
      <c r="A241" s="5" t="str">
        <f>_xll.JChemExcel.Functions.JCSYSStructure("EC3B72E4336D246EFB13A15071C4D1F3")</f>
        <v/>
      </c>
      <c r="B241" s="3" t="s">
        <v>1717</v>
      </c>
      <c r="C241" s="3" t="s">
        <v>1718</v>
      </c>
      <c r="D241" s="2" t="s">
        <v>1720</v>
      </c>
      <c r="E241" s="2" t="s">
        <v>7430</v>
      </c>
      <c r="F241" s="3" t="s">
        <v>1719</v>
      </c>
      <c r="G241" s="2" t="s">
        <v>1721</v>
      </c>
      <c r="H241" s="8">
        <v>405.3</v>
      </c>
      <c r="I241" s="2" t="s">
        <v>22</v>
      </c>
      <c r="J241" s="2" t="s">
        <v>26</v>
      </c>
      <c r="K241" s="2">
        <v>3</v>
      </c>
      <c r="L241" s="2" t="s">
        <v>20</v>
      </c>
      <c r="M241" s="2">
        <v>1998</v>
      </c>
      <c r="N241" s="3" t="s">
        <v>269</v>
      </c>
      <c r="O241" s="3" t="s">
        <v>1722</v>
      </c>
      <c r="P241" s="3" t="s">
        <v>53</v>
      </c>
      <c r="Q241" s="2">
        <v>2843</v>
      </c>
    </row>
    <row r="242" spans="1:17" ht="143.25" customHeight="1" x14ac:dyDescent="0.25">
      <c r="A242" s="5" t="str">
        <f>_xll.JChemExcel.Functions.JCSYSStructure("B1816C08A64A09E2BFC8FA7AADCEA44D")</f>
        <v/>
      </c>
      <c r="B242" s="3" t="s">
        <v>1723</v>
      </c>
      <c r="C242" s="3" t="s">
        <v>1724</v>
      </c>
      <c r="D242" s="2" t="s">
        <v>1726</v>
      </c>
      <c r="E242" s="2" t="s">
        <v>7431</v>
      </c>
      <c r="F242" s="3" t="s">
        <v>1725</v>
      </c>
      <c r="G242" s="2" t="s">
        <v>1727</v>
      </c>
      <c r="H242" s="8">
        <v>747.95335999999998</v>
      </c>
      <c r="I242" s="2" t="s">
        <v>22</v>
      </c>
      <c r="J242" s="2" t="s">
        <v>26</v>
      </c>
      <c r="K242" s="2">
        <v>4</v>
      </c>
      <c r="L242" s="2" t="s">
        <v>20</v>
      </c>
      <c r="M242" s="2">
        <v>1991</v>
      </c>
      <c r="N242" s="3" t="s">
        <v>23</v>
      </c>
      <c r="O242" s="3" t="s">
        <v>1728</v>
      </c>
      <c r="P242" s="3" t="s">
        <v>1729</v>
      </c>
      <c r="Q242" s="2">
        <v>2843</v>
      </c>
    </row>
    <row r="243" spans="1:17" ht="143.25" customHeight="1" x14ac:dyDescent="0.25">
      <c r="A243" s="5" t="str">
        <f>_xll.JChemExcel.Functions.JCSYSStructure("89346A2D9E79CA14588DE08E3D5F0979")</f>
        <v/>
      </c>
      <c r="B243" s="3" t="s">
        <v>1730</v>
      </c>
      <c r="C243" s="3" t="s">
        <v>1731</v>
      </c>
      <c r="D243" s="2" t="s">
        <v>1733</v>
      </c>
      <c r="E243" s="2" t="s">
        <v>7432</v>
      </c>
      <c r="F243" s="3" t="s">
        <v>1732</v>
      </c>
      <c r="G243" s="2" t="s">
        <v>1734</v>
      </c>
      <c r="H243" s="8">
        <v>598.08313999999996</v>
      </c>
      <c r="I243" s="2" t="s">
        <v>22</v>
      </c>
      <c r="J243" s="2" t="s">
        <v>26</v>
      </c>
      <c r="K243" s="2">
        <v>4</v>
      </c>
      <c r="L243" s="2" t="s">
        <v>20</v>
      </c>
      <c r="M243" s="2">
        <v>1967</v>
      </c>
      <c r="N243" s="3" t="s">
        <v>1735</v>
      </c>
      <c r="O243" s="3" t="s">
        <v>1736</v>
      </c>
      <c r="P243" s="3" t="s">
        <v>1737</v>
      </c>
      <c r="Q243" s="2">
        <v>2843</v>
      </c>
    </row>
    <row r="244" spans="1:17" ht="143.25" customHeight="1" x14ac:dyDescent="0.25">
      <c r="A244" s="5" t="str">
        <f>_xll.JChemExcel.Functions.JCSYSStructure("21FCC9E1AB8502A0C2D6CA08CB14F029")</f>
        <v/>
      </c>
      <c r="B244" s="3" t="s">
        <v>1738</v>
      </c>
      <c r="C244" s="3" t="s">
        <v>1739</v>
      </c>
      <c r="D244" s="2" t="s">
        <v>1740</v>
      </c>
      <c r="E244" s="2" t="s">
        <v>7433</v>
      </c>
      <c r="F244" s="3" t="s">
        <v>7968</v>
      </c>
      <c r="G244" s="3" t="s">
        <v>1741</v>
      </c>
      <c r="H244" s="8">
        <v>419.9</v>
      </c>
      <c r="I244" s="2" t="s">
        <v>22</v>
      </c>
      <c r="J244" s="2" t="s">
        <v>26</v>
      </c>
      <c r="K244" s="2">
        <v>4</v>
      </c>
      <c r="L244" s="2" t="s">
        <v>20</v>
      </c>
      <c r="M244" s="2">
        <v>1997</v>
      </c>
      <c r="N244" s="3" t="s">
        <v>1742</v>
      </c>
      <c r="O244" s="3" t="s">
        <v>1743</v>
      </c>
      <c r="P244" s="3" t="s">
        <v>1744</v>
      </c>
      <c r="Q244" s="2">
        <v>2843</v>
      </c>
    </row>
    <row r="245" spans="1:17" ht="143.25" customHeight="1" x14ac:dyDescent="0.25">
      <c r="A245" s="5" t="str">
        <f>_xll.JChemExcel.Functions.JCSYSStructure("4DF65F539CE5031F6343F2AB9996BF0E")</f>
        <v/>
      </c>
      <c r="B245" s="3" t="s">
        <v>1745</v>
      </c>
      <c r="C245" s="3" t="s">
        <v>1746</v>
      </c>
      <c r="D245" s="2" t="s">
        <v>1748</v>
      </c>
      <c r="E245" s="2" t="s">
        <v>7434</v>
      </c>
      <c r="F245" s="3" t="s">
        <v>1747</v>
      </c>
      <c r="G245" s="2" t="s">
        <v>1749</v>
      </c>
      <c r="H245" s="8">
        <v>466.96998300000001</v>
      </c>
      <c r="I245" s="2" t="s">
        <v>22</v>
      </c>
      <c r="J245" s="2" t="s">
        <v>26</v>
      </c>
      <c r="K245" s="2">
        <v>4</v>
      </c>
      <c r="L245" s="2" t="s">
        <v>20</v>
      </c>
      <c r="M245" s="2">
        <v>1985</v>
      </c>
      <c r="N245" s="3" t="s">
        <v>1750</v>
      </c>
      <c r="O245" s="3" t="s">
        <v>1751</v>
      </c>
      <c r="P245" s="3" t="s">
        <v>1752</v>
      </c>
      <c r="Q245" s="2">
        <v>2843</v>
      </c>
    </row>
    <row r="246" spans="1:17" ht="143.25" customHeight="1" x14ac:dyDescent="0.25">
      <c r="A246" s="5" t="str">
        <f>_xll.JChemExcel.Functions.JCSYSStructure("C315E89AEBE5F00813CB67E7D5804AF5")</f>
        <v/>
      </c>
      <c r="B246" s="3" t="s">
        <v>1753</v>
      </c>
      <c r="C246" s="3" t="s">
        <v>1754</v>
      </c>
      <c r="D246" s="2" t="s">
        <v>1755</v>
      </c>
      <c r="E246" s="2" t="s">
        <v>7435</v>
      </c>
      <c r="F246" s="3" t="s">
        <v>7969</v>
      </c>
      <c r="G246" s="2" t="s">
        <v>1756</v>
      </c>
      <c r="H246" s="8">
        <v>461.50484</v>
      </c>
      <c r="I246" s="2" t="s">
        <v>22</v>
      </c>
      <c r="J246" s="2" t="s">
        <v>26</v>
      </c>
      <c r="K246" s="2">
        <v>4</v>
      </c>
      <c r="L246" s="2" t="s">
        <v>20</v>
      </c>
      <c r="M246" s="2">
        <v>1959</v>
      </c>
      <c r="N246" s="3" t="s">
        <v>1757</v>
      </c>
      <c r="O246" s="3" t="s">
        <v>1758</v>
      </c>
      <c r="P246" s="3" t="s">
        <v>1759</v>
      </c>
      <c r="Q246" s="2">
        <v>2843</v>
      </c>
    </row>
    <row r="247" spans="1:17" ht="143.25" customHeight="1" x14ac:dyDescent="0.25">
      <c r="A247" s="5" t="str">
        <f>_xll.JChemExcel.Functions.JCSYSStructure("3885AC2748754057BD15714437A54314")</f>
        <v/>
      </c>
      <c r="B247" s="3" t="s">
        <v>1760</v>
      </c>
      <c r="C247" s="3" t="s">
        <v>1761</v>
      </c>
      <c r="D247" s="2" t="s">
        <v>1763</v>
      </c>
      <c r="E247" s="2" t="s">
        <v>7436</v>
      </c>
      <c r="F247" s="3" t="s">
        <v>1762</v>
      </c>
      <c r="G247" s="2" t="s">
        <v>1764</v>
      </c>
      <c r="H247" s="8">
        <v>203.28018</v>
      </c>
      <c r="I247" s="2" t="s">
        <v>22</v>
      </c>
      <c r="J247" s="2" t="s">
        <v>26</v>
      </c>
      <c r="K247" s="2">
        <v>4</v>
      </c>
      <c r="L247" s="2" t="s">
        <v>20</v>
      </c>
      <c r="M247" s="2">
        <v>1949</v>
      </c>
      <c r="N247" s="3" t="s">
        <v>1765</v>
      </c>
      <c r="O247" s="3" t="s">
        <v>1766</v>
      </c>
      <c r="P247" s="3" t="s">
        <v>1767</v>
      </c>
      <c r="Q247" s="2">
        <v>2843</v>
      </c>
    </row>
    <row r="248" spans="1:17" ht="143.25" customHeight="1" x14ac:dyDescent="0.25">
      <c r="A248" s="5" t="str">
        <f>_xll.JChemExcel.Functions.JCSYSStructure("E94D0F31E919DA9D9904D43A4E94EC98")</f>
        <v/>
      </c>
      <c r="B248" s="3" t="s">
        <v>1768</v>
      </c>
      <c r="C248" s="3" t="s">
        <v>1769</v>
      </c>
      <c r="D248" s="2" t="s">
        <v>1770</v>
      </c>
      <c r="E248" s="2">
        <v>400051</v>
      </c>
      <c r="F248" s="3" t="s">
        <v>7970</v>
      </c>
      <c r="G248" s="2" t="s">
        <v>1771</v>
      </c>
      <c r="H248" s="8">
        <v>279.10124200000001</v>
      </c>
      <c r="I248" s="2" t="s">
        <v>22</v>
      </c>
      <c r="J248" s="2" t="s">
        <v>26</v>
      </c>
      <c r="K248" s="2">
        <v>4</v>
      </c>
      <c r="L248" s="2" t="s">
        <v>20</v>
      </c>
      <c r="M248" s="2">
        <v>1959</v>
      </c>
      <c r="N248" s="3" t="s">
        <v>1772</v>
      </c>
      <c r="O248" s="3" t="s">
        <v>1685</v>
      </c>
      <c r="P248" s="3" t="s">
        <v>1773</v>
      </c>
      <c r="Q248" s="2">
        <v>2843</v>
      </c>
    </row>
    <row r="249" spans="1:17" ht="143.25" customHeight="1" x14ac:dyDescent="0.25">
      <c r="A249" s="5" t="str">
        <f>_xll.JChemExcel.Functions.JCSYSStructure("73729BB9D2B3097FF7634CC441E558E1")</f>
        <v/>
      </c>
      <c r="B249" s="3" t="s">
        <v>1774</v>
      </c>
      <c r="C249" s="3" t="s">
        <v>1775</v>
      </c>
      <c r="D249" s="2" t="s">
        <v>1777</v>
      </c>
      <c r="E249" s="2" t="s">
        <v>7437</v>
      </c>
      <c r="F249" s="3" t="s">
        <v>1776</v>
      </c>
      <c r="G249" s="2" t="s">
        <v>1778</v>
      </c>
      <c r="H249" s="8">
        <v>243.21662000000001</v>
      </c>
      <c r="I249" s="2" t="s">
        <v>22</v>
      </c>
      <c r="J249" s="2" t="s">
        <v>26</v>
      </c>
      <c r="K249" s="2">
        <v>4</v>
      </c>
      <c r="L249" s="2" t="s">
        <v>20</v>
      </c>
      <c r="M249" s="2">
        <v>1969</v>
      </c>
      <c r="N249" s="3" t="s">
        <v>1779</v>
      </c>
      <c r="O249" s="3" t="s">
        <v>1780</v>
      </c>
      <c r="P249" s="3" t="s">
        <v>1781</v>
      </c>
      <c r="Q249" s="2">
        <v>2843</v>
      </c>
    </row>
    <row r="250" spans="1:17" ht="143.25" customHeight="1" x14ac:dyDescent="0.25">
      <c r="A250" s="5" t="str">
        <f>_xll.JChemExcel.Functions.JCSYSStructure("29F6D2384973B6F22712BAE2837E893B")</f>
        <v/>
      </c>
      <c r="B250" s="3" t="s">
        <v>1782</v>
      </c>
      <c r="C250" s="3" t="s">
        <v>1783</v>
      </c>
      <c r="D250" s="2" t="s">
        <v>1785</v>
      </c>
      <c r="E250" s="2" t="s">
        <v>7438</v>
      </c>
      <c r="F250" s="3" t="s">
        <v>1784</v>
      </c>
      <c r="G250" s="4" t="s">
        <v>7147</v>
      </c>
      <c r="H250" s="8">
        <v>182.1832</v>
      </c>
      <c r="I250" s="2" t="s">
        <v>22</v>
      </c>
      <c r="J250" s="2" t="s">
        <v>26</v>
      </c>
      <c r="K250" s="2">
        <v>4</v>
      </c>
      <c r="L250" s="2" t="s">
        <v>20</v>
      </c>
      <c r="M250" s="2">
        <v>1975</v>
      </c>
      <c r="N250" s="3" t="s">
        <v>563</v>
      </c>
      <c r="O250" s="3" t="s">
        <v>1786</v>
      </c>
      <c r="P250" s="3" t="s">
        <v>53</v>
      </c>
      <c r="Q250" s="2">
        <v>2843</v>
      </c>
    </row>
    <row r="251" spans="1:17" ht="143.25" customHeight="1" x14ac:dyDescent="0.25">
      <c r="A251" s="5" t="str">
        <f>_xll.JChemExcel.Functions.JCSYSStructure("483581C5C7F29E0212274FE2C79F4A11")</f>
        <v/>
      </c>
      <c r="B251" s="3" t="s">
        <v>1787</v>
      </c>
      <c r="C251" s="3" t="s">
        <v>1788</v>
      </c>
      <c r="D251" s="2" t="s">
        <v>1790</v>
      </c>
      <c r="E251" s="2" t="s">
        <v>7439</v>
      </c>
      <c r="F251" s="3" t="s">
        <v>1789</v>
      </c>
      <c r="G251" s="2" t="s">
        <v>1791</v>
      </c>
      <c r="H251" s="8">
        <v>337.45528000000002</v>
      </c>
      <c r="I251" s="2" t="s">
        <v>22</v>
      </c>
      <c r="J251" s="2" t="s">
        <v>26</v>
      </c>
      <c r="K251" s="2">
        <v>4</v>
      </c>
      <c r="L251" s="2" t="s">
        <v>20</v>
      </c>
      <c r="M251" s="2">
        <v>1976</v>
      </c>
      <c r="N251" s="3" t="s">
        <v>1792</v>
      </c>
      <c r="O251" s="3" t="s">
        <v>1793</v>
      </c>
      <c r="P251" s="3" t="s">
        <v>1794</v>
      </c>
      <c r="Q251" s="2">
        <v>2843</v>
      </c>
    </row>
    <row r="252" spans="1:17" ht="143.25" customHeight="1" x14ac:dyDescent="0.25">
      <c r="A252" s="5" t="str">
        <f>_xll.JChemExcel.Functions.JCSYSStructure("780D09F404336FD62761FD734C7B233F")</f>
        <v/>
      </c>
      <c r="B252" s="3" t="s">
        <v>1795</v>
      </c>
      <c r="C252" s="3" t="s">
        <v>1796</v>
      </c>
      <c r="D252" s="2" t="s">
        <v>1798</v>
      </c>
      <c r="E252" s="2" t="s">
        <v>7440</v>
      </c>
      <c r="F252" s="3" t="s">
        <v>1797</v>
      </c>
      <c r="G252" s="2" t="s">
        <v>1799</v>
      </c>
      <c r="H252" s="8">
        <v>310.82056</v>
      </c>
      <c r="I252" s="2" t="s">
        <v>22</v>
      </c>
      <c r="J252" s="2" t="s">
        <v>26</v>
      </c>
      <c r="K252" s="2">
        <v>4</v>
      </c>
      <c r="L252" s="2" t="s">
        <v>20</v>
      </c>
      <c r="M252" s="2">
        <v>2001</v>
      </c>
      <c r="N252" s="3" t="s">
        <v>1800</v>
      </c>
      <c r="O252" s="3" t="s">
        <v>1801</v>
      </c>
      <c r="P252" s="3" t="s">
        <v>1802</v>
      </c>
      <c r="Q252" s="2">
        <v>2843</v>
      </c>
    </row>
    <row r="253" spans="1:17" ht="143.25" customHeight="1" x14ac:dyDescent="0.25">
      <c r="A253" s="5" t="str">
        <f>_xll.JChemExcel.Functions.JCSYSStructure("869ED5A848B96CE93C8F4E2ACE6E6D12")</f>
        <v/>
      </c>
      <c r="B253" s="3" t="s">
        <v>1803</v>
      </c>
      <c r="C253" s="3" t="s">
        <v>1804</v>
      </c>
      <c r="D253" s="2" t="s">
        <v>1806</v>
      </c>
      <c r="E253" s="2" t="s">
        <v>7441</v>
      </c>
      <c r="F253" s="3" t="s">
        <v>1805</v>
      </c>
      <c r="G253" s="2" t="s">
        <v>1807</v>
      </c>
      <c r="H253" s="8">
        <v>271.3972</v>
      </c>
      <c r="I253" s="2" t="s">
        <v>22</v>
      </c>
      <c r="J253" s="2" t="s">
        <v>26</v>
      </c>
      <c r="K253" s="2">
        <v>4</v>
      </c>
      <c r="L253" s="2" t="s">
        <v>20</v>
      </c>
      <c r="M253" s="2" t="s">
        <v>1808</v>
      </c>
      <c r="N253" s="3" t="s">
        <v>1809</v>
      </c>
      <c r="O253" s="3" t="s">
        <v>1810</v>
      </c>
      <c r="P253" s="3" t="s">
        <v>53</v>
      </c>
      <c r="Q253" s="2">
        <v>2843</v>
      </c>
    </row>
    <row r="254" spans="1:17" ht="143.25" customHeight="1" x14ac:dyDescent="0.25">
      <c r="A254" s="5" t="str">
        <f>_xll.JChemExcel.Functions.JCSYSStructure("3FF1981161832B30DCE592E5AAACD8DE")</f>
        <v/>
      </c>
      <c r="B254" s="3" t="s">
        <v>1811</v>
      </c>
      <c r="C254" s="3" t="s">
        <v>1812</v>
      </c>
      <c r="D254" s="2" t="s">
        <v>1813</v>
      </c>
      <c r="E254" s="2" t="s">
        <v>7442</v>
      </c>
      <c r="F254" s="3" t="s">
        <v>7971</v>
      </c>
      <c r="G254" s="2" t="s">
        <v>1814</v>
      </c>
      <c r="H254" s="8">
        <v>318.10000000000002</v>
      </c>
      <c r="I254" s="2" t="s">
        <v>22</v>
      </c>
      <c r="J254" s="2" t="s">
        <v>26</v>
      </c>
      <c r="K254" s="2">
        <v>4</v>
      </c>
      <c r="L254" s="2" t="s">
        <v>20</v>
      </c>
      <c r="M254" s="2">
        <v>1988</v>
      </c>
      <c r="N254" s="3" t="s">
        <v>1815</v>
      </c>
      <c r="O254" s="3" t="s">
        <v>1816</v>
      </c>
      <c r="P254" s="3" t="s">
        <v>1817</v>
      </c>
      <c r="Q254" s="2">
        <v>2843</v>
      </c>
    </row>
    <row r="255" spans="1:17" ht="143.25" customHeight="1" x14ac:dyDescent="0.25">
      <c r="A255" s="5" t="str">
        <f>_xll.JChemExcel.Functions.JCSYSStructure("01CBA08463EB00F052CB9CB38A0C6097")</f>
        <v/>
      </c>
      <c r="B255" s="3" t="s">
        <v>1818</v>
      </c>
      <c r="C255" s="3" t="s">
        <v>1819</v>
      </c>
      <c r="D255" s="2" t="s">
        <v>1820</v>
      </c>
      <c r="E255" s="2" t="s">
        <v>7443</v>
      </c>
      <c r="F255" s="3" t="s">
        <v>7972</v>
      </c>
      <c r="G255" s="2" t="s">
        <v>1821</v>
      </c>
      <c r="H255" s="8">
        <v>211.21781999999999</v>
      </c>
      <c r="I255" s="2" t="s">
        <v>22</v>
      </c>
      <c r="J255" s="2" t="s">
        <v>26</v>
      </c>
      <c r="K255" s="2">
        <v>4</v>
      </c>
      <c r="L255" s="2" t="s">
        <v>20</v>
      </c>
      <c r="M255" s="2">
        <v>1992</v>
      </c>
      <c r="N255" s="3" t="s">
        <v>1134</v>
      </c>
      <c r="O255" s="3" t="s">
        <v>1822</v>
      </c>
      <c r="P255" s="3" t="s">
        <v>1823</v>
      </c>
      <c r="Q255" s="2">
        <v>2843</v>
      </c>
    </row>
    <row r="256" spans="1:17" ht="143.25" customHeight="1" x14ac:dyDescent="0.25">
      <c r="A256" s="5" t="str">
        <f>_xll.JChemExcel.Functions.JCSYSStructure("D7254F04AFB89C5623DCFC782AEF1DB3")</f>
        <v/>
      </c>
      <c r="B256" s="3" t="s">
        <v>1824</v>
      </c>
      <c r="C256" s="3" t="s">
        <v>1825</v>
      </c>
      <c r="D256" s="2" t="s">
        <v>1827</v>
      </c>
      <c r="E256" s="2" t="s">
        <v>7444</v>
      </c>
      <c r="F256" s="3" t="s">
        <v>1826</v>
      </c>
      <c r="G256" s="2" t="s">
        <v>1828</v>
      </c>
      <c r="H256" s="8">
        <v>250.19762600000001</v>
      </c>
      <c r="I256" s="2" t="s">
        <v>22</v>
      </c>
      <c r="J256" s="2" t="s">
        <v>26</v>
      </c>
      <c r="K256" s="2">
        <v>4</v>
      </c>
      <c r="L256" s="2" t="s">
        <v>20</v>
      </c>
      <c r="M256" s="2">
        <v>1982</v>
      </c>
      <c r="N256" s="3" t="s">
        <v>1829</v>
      </c>
      <c r="O256" s="3" t="s">
        <v>1830</v>
      </c>
      <c r="P256" s="3" t="s">
        <v>1831</v>
      </c>
      <c r="Q256" s="2">
        <v>2843</v>
      </c>
    </row>
    <row r="257" spans="1:17" ht="143.25" customHeight="1" x14ac:dyDescent="0.25">
      <c r="A257" s="5" t="str">
        <f>_xll.JChemExcel.Functions.JCSYSStructure("1C0C7647C236B9CF0D3274597597D59D")</f>
        <v/>
      </c>
      <c r="B257" s="3" t="s">
        <v>1832</v>
      </c>
      <c r="C257" s="3" t="s">
        <v>1833</v>
      </c>
      <c r="D257" s="2" t="s">
        <v>1835</v>
      </c>
      <c r="E257" s="2" t="s">
        <v>7445</v>
      </c>
      <c r="F257" s="3" t="s">
        <v>1834</v>
      </c>
      <c r="G257" s="2" t="s">
        <v>1836</v>
      </c>
      <c r="H257" s="8">
        <v>296.53919999999999</v>
      </c>
      <c r="I257" s="2" t="s">
        <v>22</v>
      </c>
      <c r="J257" s="2" t="s">
        <v>26</v>
      </c>
      <c r="K257" s="2">
        <v>4</v>
      </c>
      <c r="L257" s="2" t="s">
        <v>20</v>
      </c>
      <c r="M257" s="2">
        <v>1951</v>
      </c>
      <c r="N257" s="3" t="s">
        <v>1837</v>
      </c>
      <c r="O257" s="3" t="s">
        <v>1838</v>
      </c>
      <c r="P257" s="3" t="s">
        <v>1839</v>
      </c>
      <c r="Q257" s="2">
        <v>2843</v>
      </c>
    </row>
    <row r="258" spans="1:17" ht="143.25" customHeight="1" x14ac:dyDescent="0.25">
      <c r="A258" s="5" t="str">
        <f>_xll.JChemExcel.Functions.JCSYSStructure("750E7913912AC229BD1C582AFE69A55C")</f>
        <v/>
      </c>
      <c r="B258" s="3" t="s">
        <v>1840</v>
      </c>
      <c r="C258" s="3" t="s">
        <v>1841</v>
      </c>
      <c r="D258" s="2" t="s">
        <v>1843</v>
      </c>
      <c r="E258" s="2" t="s">
        <v>7446</v>
      </c>
      <c r="F258" s="3" t="s">
        <v>1842</v>
      </c>
      <c r="G258" s="2" t="s">
        <v>1844</v>
      </c>
      <c r="H258" s="8">
        <v>547.58076000000005</v>
      </c>
      <c r="I258" s="2" t="s">
        <v>22</v>
      </c>
      <c r="J258" s="2" t="s">
        <v>26</v>
      </c>
      <c r="K258" s="2">
        <v>4</v>
      </c>
      <c r="L258" s="2" t="s">
        <v>20</v>
      </c>
      <c r="M258" s="2">
        <v>1990</v>
      </c>
      <c r="N258" s="3" t="s">
        <v>875</v>
      </c>
      <c r="O258" s="3" t="s">
        <v>1845</v>
      </c>
      <c r="P258" s="3" t="s">
        <v>1846</v>
      </c>
      <c r="Q258" s="2">
        <v>2843</v>
      </c>
    </row>
    <row r="259" spans="1:17" ht="143.25" customHeight="1" x14ac:dyDescent="0.25">
      <c r="A259" s="5" t="str">
        <f>_xll.JChemExcel.Functions.JCSYSStructure("7D5F413D3058E45A998D2E50964CEFD3")</f>
        <v/>
      </c>
      <c r="B259" s="3" t="s">
        <v>1847</v>
      </c>
      <c r="C259" s="3" t="s">
        <v>1848</v>
      </c>
      <c r="D259" s="2" t="s">
        <v>1850</v>
      </c>
      <c r="E259" s="2" t="s">
        <v>7447</v>
      </c>
      <c r="F259" s="3" t="s">
        <v>1849</v>
      </c>
      <c r="G259" s="2" t="s">
        <v>1851</v>
      </c>
      <c r="H259" s="8">
        <v>462.44983999999999</v>
      </c>
      <c r="I259" s="2" t="s">
        <v>22</v>
      </c>
      <c r="J259" s="2" t="s">
        <v>26</v>
      </c>
      <c r="K259" s="2">
        <v>4</v>
      </c>
      <c r="L259" s="2" t="s">
        <v>20</v>
      </c>
      <c r="M259" s="2" t="s">
        <v>124</v>
      </c>
      <c r="N259" s="3" t="s">
        <v>1852</v>
      </c>
      <c r="O259" s="3" t="s">
        <v>1853</v>
      </c>
      <c r="P259" s="3" t="s">
        <v>53</v>
      </c>
      <c r="Q259" s="2">
        <v>2843</v>
      </c>
    </row>
    <row r="260" spans="1:17" ht="143.25" customHeight="1" x14ac:dyDescent="0.25">
      <c r="A260" s="5" t="str">
        <f>_xll.JChemExcel.Functions.JCSYSStructure("A9CDA0B57DE13C8595C916DE9054A4B4")</f>
        <v/>
      </c>
      <c r="B260" s="3" t="s">
        <v>1854</v>
      </c>
      <c r="C260" s="3" t="s">
        <v>1855</v>
      </c>
      <c r="D260" s="2" t="s">
        <v>1857</v>
      </c>
      <c r="E260" s="2" t="s">
        <v>7448</v>
      </c>
      <c r="F260" s="3" t="s">
        <v>1856</v>
      </c>
      <c r="G260" s="2" t="s">
        <v>1858</v>
      </c>
      <c r="H260" s="8">
        <v>376.44672000000003</v>
      </c>
      <c r="I260" s="2" t="s">
        <v>22</v>
      </c>
      <c r="J260" s="2" t="s">
        <v>26</v>
      </c>
      <c r="K260" s="2">
        <v>4</v>
      </c>
      <c r="L260" s="2" t="s">
        <v>20</v>
      </c>
      <c r="M260" s="2" t="s">
        <v>1488</v>
      </c>
      <c r="N260" s="3" t="s">
        <v>1859</v>
      </c>
      <c r="O260" s="3" t="s">
        <v>1027</v>
      </c>
      <c r="P260" s="3" t="s">
        <v>1860</v>
      </c>
      <c r="Q260" s="2">
        <v>2843</v>
      </c>
    </row>
    <row r="261" spans="1:17" ht="143.25" customHeight="1" x14ac:dyDescent="0.25">
      <c r="A261" s="5" t="str">
        <f>_xll.JChemExcel.Functions.JCSYSStructure("EA6F28AC07685D9A5DE6C63B8ED3A82F")</f>
        <v/>
      </c>
      <c r="B261" s="3" t="s">
        <v>1861</v>
      </c>
      <c r="C261" s="3" t="s">
        <v>1862</v>
      </c>
      <c r="D261" s="2" t="s">
        <v>1864</v>
      </c>
      <c r="E261" s="2" t="s">
        <v>7449</v>
      </c>
      <c r="F261" s="3" t="s">
        <v>1863</v>
      </c>
      <c r="G261" s="2" t="s">
        <v>1865</v>
      </c>
      <c r="H261" s="8">
        <v>383.5</v>
      </c>
      <c r="I261" s="2" t="s">
        <v>22</v>
      </c>
      <c r="J261" s="2" t="s">
        <v>26</v>
      </c>
      <c r="K261" s="2">
        <v>4</v>
      </c>
      <c r="L261" s="2" t="s">
        <v>20</v>
      </c>
      <c r="M261" s="2" t="s">
        <v>124</v>
      </c>
      <c r="N261" s="3" t="s">
        <v>1866</v>
      </c>
      <c r="O261" s="3" t="s">
        <v>1867</v>
      </c>
      <c r="P261" s="3" t="s">
        <v>1868</v>
      </c>
      <c r="Q261" s="2">
        <v>2843</v>
      </c>
    </row>
    <row r="262" spans="1:17" ht="143.25" customHeight="1" x14ac:dyDescent="0.25">
      <c r="A262" s="5" t="str">
        <f>_xll.JChemExcel.Functions.JCSYSStructure("C6A45132F9184AD545468230DA9F3C26")</f>
        <v/>
      </c>
      <c r="B262" s="3" t="s">
        <v>1869</v>
      </c>
      <c r="C262" s="3" t="s">
        <v>1870</v>
      </c>
      <c r="D262" s="2" t="s">
        <v>1871</v>
      </c>
      <c r="E262" s="2" t="s">
        <v>7450</v>
      </c>
      <c r="F262" s="3" t="s">
        <v>7973</v>
      </c>
      <c r="G262" s="2" t="s">
        <v>1872</v>
      </c>
      <c r="H262" s="8">
        <v>272.38195999999999</v>
      </c>
      <c r="I262" s="2" t="s">
        <v>22</v>
      </c>
      <c r="J262" s="2" t="s">
        <v>26</v>
      </c>
      <c r="K262" s="2">
        <v>4</v>
      </c>
      <c r="L262" s="2" t="s">
        <v>20</v>
      </c>
      <c r="M262" s="2" t="s">
        <v>124</v>
      </c>
      <c r="N262" s="3" t="s">
        <v>1873</v>
      </c>
      <c r="O262" s="3" t="s">
        <v>1874</v>
      </c>
      <c r="P262" s="3" t="s">
        <v>1875</v>
      </c>
      <c r="Q262" s="2">
        <v>2843</v>
      </c>
    </row>
    <row r="263" spans="1:17" ht="143.25" customHeight="1" x14ac:dyDescent="0.25">
      <c r="A263" s="5" t="str">
        <f>_xll.JChemExcel.Functions.JCSYSStructure("D0A8EA10DF6E13BC60B621CCC359F2C8")</f>
        <v/>
      </c>
      <c r="B263" s="3" t="s">
        <v>1876</v>
      </c>
      <c r="C263" s="3" t="s">
        <v>1877</v>
      </c>
      <c r="D263" s="2" t="s">
        <v>1879</v>
      </c>
      <c r="E263" s="2" t="s">
        <v>7451</v>
      </c>
      <c r="F263" s="3" t="s">
        <v>1878</v>
      </c>
      <c r="G263" s="2" t="s">
        <v>1880</v>
      </c>
      <c r="H263" s="8">
        <v>270.36608000000001</v>
      </c>
      <c r="I263" s="2" t="s">
        <v>22</v>
      </c>
      <c r="J263" s="2" t="s">
        <v>26</v>
      </c>
      <c r="K263" s="2">
        <v>4</v>
      </c>
      <c r="L263" s="2" t="s">
        <v>20</v>
      </c>
      <c r="M263" s="2" t="s">
        <v>124</v>
      </c>
      <c r="N263" s="3" t="s">
        <v>1881</v>
      </c>
      <c r="O263" s="3" t="s">
        <v>1882</v>
      </c>
      <c r="P263" s="3" t="s">
        <v>1883</v>
      </c>
      <c r="Q263" s="2">
        <v>2843</v>
      </c>
    </row>
    <row r="264" spans="1:17" ht="143.25" customHeight="1" x14ac:dyDescent="0.25">
      <c r="A264" s="5" t="str">
        <f>_xll.JChemExcel.Functions.JCSYSStructure("B804AABF61EA608B500D80AF192838E7")</f>
        <v/>
      </c>
      <c r="B264" s="3" t="s">
        <v>1884</v>
      </c>
      <c r="C264" s="3" t="s">
        <v>1885</v>
      </c>
      <c r="D264" s="2" t="s">
        <v>1887</v>
      </c>
      <c r="E264" s="2" t="s">
        <v>7452</v>
      </c>
      <c r="F264" s="3" t="s">
        <v>1886</v>
      </c>
      <c r="G264" s="2" t="s">
        <v>1888</v>
      </c>
      <c r="H264" s="8">
        <v>249.99190300000001</v>
      </c>
      <c r="I264" s="2" t="s">
        <v>22</v>
      </c>
      <c r="J264" s="2" t="s">
        <v>26</v>
      </c>
      <c r="K264" s="2">
        <v>4</v>
      </c>
      <c r="L264" s="2" t="s">
        <v>20</v>
      </c>
      <c r="M264" s="2">
        <v>1977</v>
      </c>
      <c r="N264" s="3" t="s">
        <v>1889</v>
      </c>
      <c r="O264" s="3" t="s">
        <v>1890</v>
      </c>
      <c r="P264" s="3" t="s">
        <v>1891</v>
      </c>
      <c r="Q264" s="2">
        <v>2843</v>
      </c>
    </row>
    <row r="265" spans="1:17" ht="143.25" customHeight="1" x14ac:dyDescent="0.25">
      <c r="A265" s="5" t="str">
        <f>_xll.JChemExcel.Functions.JCSYSStructure("16877BE8A0EF657AC7B2493676F0DA13")</f>
        <v/>
      </c>
      <c r="B265" s="3" t="s">
        <v>1892</v>
      </c>
      <c r="C265" s="3" t="s">
        <v>1893</v>
      </c>
      <c r="D265" s="2" t="s">
        <v>1895</v>
      </c>
      <c r="E265" s="2" t="s">
        <v>7453</v>
      </c>
      <c r="F265" s="3" t="s">
        <v>1894</v>
      </c>
      <c r="G265" s="2" t="s">
        <v>1896</v>
      </c>
      <c r="H265" s="8">
        <v>321.33175999999997</v>
      </c>
      <c r="I265" s="2" t="s">
        <v>22</v>
      </c>
      <c r="J265" s="2" t="s">
        <v>26</v>
      </c>
      <c r="K265" s="2">
        <v>4</v>
      </c>
      <c r="L265" s="2" t="s">
        <v>20</v>
      </c>
      <c r="M265" s="2">
        <v>1994</v>
      </c>
      <c r="N265" s="3" t="s">
        <v>207</v>
      </c>
      <c r="O265" s="3" t="s">
        <v>1897</v>
      </c>
      <c r="P265" s="3" t="s">
        <v>1898</v>
      </c>
      <c r="Q265" s="2">
        <v>2843</v>
      </c>
    </row>
    <row r="266" spans="1:17" ht="143.25" customHeight="1" x14ac:dyDescent="0.25">
      <c r="A266" s="5" t="str">
        <f>_xll.JChemExcel.Functions.JCSYSStructure("E1112135FAD518B36380B55024A84FF8")</f>
        <v/>
      </c>
      <c r="B266" s="3" t="s">
        <v>1899</v>
      </c>
      <c r="C266" s="3" t="s">
        <v>1900</v>
      </c>
      <c r="D266" s="2" t="s">
        <v>1902</v>
      </c>
      <c r="E266" s="2" t="s">
        <v>7454</v>
      </c>
      <c r="F266" s="3" t="s">
        <v>1901</v>
      </c>
      <c r="G266" s="2" t="s">
        <v>1903</v>
      </c>
      <c r="H266" s="8">
        <v>401.86180000000002</v>
      </c>
      <c r="I266" s="2" t="s">
        <v>22</v>
      </c>
      <c r="J266" s="2" t="s">
        <v>26</v>
      </c>
      <c r="K266" s="2">
        <v>4</v>
      </c>
      <c r="L266" s="2" t="s">
        <v>20</v>
      </c>
      <c r="M266" s="2">
        <v>1997</v>
      </c>
      <c r="N266" s="3" t="s">
        <v>183</v>
      </c>
      <c r="O266" s="3" t="s">
        <v>1904</v>
      </c>
      <c r="P266" s="3" t="s">
        <v>53</v>
      </c>
      <c r="Q266" s="2">
        <v>2843</v>
      </c>
    </row>
    <row r="267" spans="1:17" ht="143.25" customHeight="1" x14ac:dyDescent="0.25">
      <c r="A267" s="5" t="str">
        <f>_xll.JChemExcel.Functions.JCSYSStructure("0EDB3B362C6B7794CC2CDFA464F979B7")</f>
        <v/>
      </c>
      <c r="B267" s="3" t="s">
        <v>1905</v>
      </c>
      <c r="C267" s="3" t="s">
        <v>1906</v>
      </c>
      <c r="D267" s="2" t="s">
        <v>1908</v>
      </c>
      <c r="E267" s="2" t="s">
        <v>7455</v>
      </c>
      <c r="F267" s="3" t="s">
        <v>1907</v>
      </c>
      <c r="G267" s="2" t="s">
        <v>1909</v>
      </c>
      <c r="H267" s="8">
        <v>558.63239999999996</v>
      </c>
      <c r="I267" s="2" t="s">
        <v>22</v>
      </c>
      <c r="J267" s="2" t="s">
        <v>26</v>
      </c>
      <c r="K267" s="2">
        <v>4</v>
      </c>
      <c r="L267" s="2" t="s">
        <v>20</v>
      </c>
      <c r="M267" s="2">
        <v>1976</v>
      </c>
      <c r="N267" s="3" t="s">
        <v>950</v>
      </c>
      <c r="O267" s="3" t="s">
        <v>1910</v>
      </c>
      <c r="P267" s="3" t="s">
        <v>53</v>
      </c>
      <c r="Q267" s="2">
        <v>2843</v>
      </c>
    </row>
    <row r="268" spans="1:17" ht="143.25" customHeight="1" x14ac:dyDescent="0.25">
      <c r="A268" s="5" t="str">
        <f>_xll.JChemExcel.Functions.JCSYSStructure("DE3D42E73DC25D1E810C4D319F5748F8")</f>
        <v/>
      </c>
      <c r="B268" s="3" t="s">
        <v>1911</v>
      </c>
      <c r="C268" s="3" t="s">
        <v>1912</v>
      </c>
      <c r="D268" s="2" t="s">
        <v>1914</v>
      </c>
      <c r="E268" s="2">
        <v>270481</v>
      </c>
      <c r="F268" s="3" t="s">
        <v>1913</v>
      </c>
      <c r="G268" s="2" t="s">
        <v>1915</v>
      </c>
      <c r="H268" s="8">
        <v>360.83134000000001</v>
      </c>
      <c r="I268" s="2" t="s">
        <v>22</v>
      </c>
      <c r="J268" s="2" t="s">
        <v>26</v>
      </c>
      <c r="K268" s="2">
        <v>4</v>
      </c>
      <c r="L268" s="2" t="s">
        <v>20</v>
      </c>
      <c r="M268" s="2">
        <v>1993</v>
      </c>
      <c r="N268" s="3" t="s">
        <v>1916</v>
      </c>
      <c r="O268" s="3" t="s">
        <v>1917</v>
      </c>
      <c r="P268" s="3" t="s">
        <v>1918</v>
      </c>
      <c r="Q268" s="2">
        <v>2843</v>
      </c>
    </row>
    <row r="269" spans="1:17" ht="143.25" customHeight="1" x14ac:dyDescent="0.25">
      <c r="A269" s="5" t="str">
        <f>_xll.JChemExcel.Functions.JCSYSStructure("B0C7F262B93149434885CCFB3EAFDB3C")</f>
        <v/>
      </c>
      <c r="B269" s="3" t="s">
        <v>1919</v>
      </c>
      <c r="C269" s="3" t="s">
        <v>1920</v>
      </c>
      <c r="D269" s="2" t="s">
        <v>1922</v>
      </c>
      <c r="E269" s="2">
        <v>270491</v>
      </c>
      <c r="F269" s="3" t="s">
        <v>1921</v>
      </c>
      <c r="G269" s="2" t="s">
        <v>1923</v>
      </c>
      <c r="H269" s="8">
        <v>372.54414000000003</v>
      </c>
      <c r="I269" s="2" t="s">
        <v>22</v>
      </c>
      <c r="J269" s="2" t="s">
        <v>26</v>
      </c>
      <c r="K269" s="2">
        <v>4</v>
      </c>
      <c r="L269" s="2" t="s">
        <v>20</v>
      </c>
      <c r="M269" s="2">
        <v>1992</v>
      </c>
      <c r="N269" s="3" t="s">
        <v>1924</v>
      </c>
      <c r="O269" s="3" t="s">
        <v>1925</v>
      </c>
      <c r="P269" s="3" t="s">
        <v>1926</v>
      </c>
      <c r="Q269" s="2">
        <v>2843</v>
      </c>
    </row>
    <row r="270" spans="1:17" ht="143.25" customHeight="1" x14ac:dyDescent="0.25">
      <c r="A270" s="5" t="str">
        <f>_xll.JChemExcel.Functions.JCSYSStructure("9F0159ACF665B94998B84F50D78CA970")</f>
        <v/>
      </c>
      <c r="B270" s="3" t="s">
        <v>1927</v>
      </c>
      <c r="C270" s="3" t="s">
        <v>1928</v>
      </c>
      <c r="D270" s="2" t="s">
        <v>1929</v>
      </c>
      <c r="E270" s="2">
        <v>480099</v>
      </c>
      <c r="F270" s="3" t="s">
        <v>7974</v>
      </c>
      <c r="G270" s="2" t="s">
        <v>1930</v>
      </c>
      <c r="H270" s="8">
        <v>130.077223</v>
      </c>
      <c r="I270" s="2" t="s">
        <v>22</v>
      </c>
      <c r="J270" s="2" t="s">
        <v>26</v>
      </c>
      <c r="K270" s="2">
        <v>4</v>
      </c>
      <c r="L270" s="2" t="s">
        <v>20</v>
      </c>
      <c r="M270" s="2">
        <v>1970</v>
      </c>
      <c r="N270" s="3" t="s">
        <v>1931</v>
      </c>
      <c r="O270" s="3" t="s">
        <v>1932</v>
      </c>
      <c r="P270" s="3" t="s">
        <v>1933</v>
      </c>
      <c r="Q270" s="2">
        <v>2843</v>
      </c>
    </row>
    <row r="271" spans="1:17" ht="143.25" customHeight="1" x14ac:dyDescent="0.25">
      <c r="A271" s="5" t="str">
        <f>_xll.JChemExcel.Functions.JCSYSStructure("99EF4CAC1E482A7031724ED58B8D254F")</f>
        <v/>
      </c>
      <c r="B271" s="3" t="s">
        <v>1934</v>
      </c>
      <c r="C271" s="3" t="s">
        <v>1935</v>
      </c>
      <c r="D271" s="2" t="s">
        <v>1937</v>
      </c>
      <c r="E271" s="2" t="s">
        <v>7456</v>
      </c>
      <c r="F271" s="3" t="s">
        <v>1936</v>
      </c>
      <c r="G271" s="2" t="s">
        <v>1938</v>
      </c>
      <c r="H271" s="8">
        <v>244.26092299999999</v>
      </c>
      <c r="I271" s="2" t="s">
        <v>22</v>
      </c>
      <c r="J271" s="2" t="s">
        <v>26</v>
      </c>
      <c r="K271" s="2">
        <v>4</v>
      </c>
      <c r="L271" s="2" t="s">
        <v>20</v>
      </c>
      <c r="M271" s="2">
        <v>1988</v>
      </c>
      <c r="N271" s="3" t="s">
        <v>1939</v>
      </c>
      <c r="O271" s="3" t="s">
        <v>1940</v>
      </c>
      <c r="P271" s="3" t="s">
        <v>1941</v>
      </c>
      <c r="Q271" s="2">
        <v>2843</v>
      </c>
    </row>
    <row r="272" spans="1:17" ht="143.25" customHeight="1" x14ac:dyDescent="0.25">
      <c r="A272" s="5" t="str">
        <f>_xll.JChemExcel.Functions.JCSYSStructure("0E06D4CE5EBFED752267B5B050E09896")</f>
        <v/>
      </c>
      <c r="B272" s="3" t="s">
        <v>1942</v>
      </c>
      <c r="C272" s="3" t="s">
        <v>1943</v>
      </c>
      <c r="D272" s="2" t="s">
        <v>1945</v>
      </c>
      <c r="E272" s="2" t="s">
        <v>7457</v>
      </c>
      <c r="F272" s="3" t="s">
        <v>1944</v>
      </c>
      <c r="G272" s="2" t="s">
        <v>1946</v>
      </c>
      <c r="H272" s="8">
        <v>313.86426</v>
      </c>
      <c r="I272" s="2" t="s">
        <v>22</v>
      </c>
      <c r="J272" s="2" t="s">
        <v>26</v>
      </c>
      <c r="K272" s="2">
        <v>4</v>
      </c>
      <c r="L272" s="2" t="s">
        <v>20</v>
      </c>
      <c r="M272" s="2">
        <v>1961</v>
      </c>
      <c r="N272" s="3" t="s">
        <v>269</v>
      </c>
      <c r="O272" s="3" t="s">
        <v>489</v>
      </c>
      <c r="P272" s="3" t="s">
        <v>1947</v>
      </c>
      <c r="Q272" s="2">
        <v>2843</v>
      </c>
    </row>
    <row r="273" spans="1:17" ht="143.25" customHeight="1" x14ac:dyDescent="0.25">
      <c r="A273" s="5" t="str">
        <f>_xll.JChemExcel.Functions.JCSYSStructure("49E5316026C9D6B11984333EB87D73D0")</f>
        <v/>
      </c>
      <c r="B273" s="3" t="s">
        <v>1948</v>
      </c>
      <c r="C273" s="3" t="s">
        <v>1949</v>
      </c>
      <c r="D273" s="2" t="s">
        <v>1951</v>
      </c>
      <c r="E273" s="2" t="s">
        <v>7458</v>
      </c>
      <c r="F273" s="3" t="s">
        <v>1950</v>
      </c>
      <c r="G273" s="2" t="s">
        <v>1952</v>
      </c>
      <c r="H273" s="8">
        <v>246.192443</v>
      </c>
      <c r="I273" s="2" t="s">
        <v>22</v>
      </c>
      <c r="J273" s="2" t="s">
        <v>26</v>
      </c>
      <c r="K273" s="2">
        <v>4</v>
      </c>
      <c r="L273" s="2" t="s">
        <v>20</v>
      </c>
      <c r="M273" s="2">
        <v>1970</v>
      </c>
      <c r="N273" s="3" t="s">
        <v>563</v>
      </c>
      <c r="O273" s="3" t="s">
        <v>1953</v>
      </c>
      <c r="P273" s="3" t="s">
        <v>1954</v>
      </c>
      <c r="Q273" s="2">
        <v>2843</v>
      </c>
    </row>
    <row r="274" spans="1:17" ht="143.25" customHeight="1" x14ac:dyDescent="0.25">
      <c r="A274" s="5" t="str">
        <f>_xll.JChemExcel.Functions.JCSYSStructure("C7B4DF50FDF12CA6E8F7393B2F5B3B89")</f>
        <v/>
      </c>
      <c r="B274" s="3" t="s">
        <v>1955</v>
      </c>
      <c r="C274" s="3" t="s">
        <v>1956</v>
      </c>
      <c r="D274" s="2" t="s">
        <v>1958</v>
      </c>
      <c r="E274" s="2" t="s">
        <v>7459</v>
      </c>
      <c r="F274" s="3" t="s">
        <v>1957</v>
      </c>
      <c r="G274" s="2" t="s">
        <v>1959</v>
      </c>
      <c r="H274" s="8">
        <v>452.48820599999999</v>
      </c>
      <c r="I274" s="2" t="s">
        <v>22</v>
      </c>
      <c r="J274" s="2" t="s">
        <v>26</v>
      </c>
      <c r="K274" s="2">
        <v>4</v>
      </c>
      <c r="L274" s="2" t="s">
        <v>20</v>
      </c>
      <c r="M274" s="2">
        <v>1963</v>
      </c>
      <c r="N274" s="3" t="s">
        <v>1960</v>
      </c>
      <c r="O274" s="3" t="s">
        <v>1961</v>
      </c>
      <c r="P274" s="3" t="s">
        <v>1962</v>
      </c>
      <c r="Q274" s="2">
        <v>2843</v>
      </c>
    </row>
    <row r="275" spans="1:17" ht="143.25" customHeight="1" x14ac:dyDescent="0.25">
      <c r="A275" s="5" t="str">
        <f>_xll.JChemExcel.Functions.JCSYSStructure("11A7EB0FD6B23499867D64C9F812BE18")</f>
        <v/>
      </c>
      <c r="B275" s="3" t="s">
        <v>1963</v>
      </c>
      <c r="C275" s="3" t="s">
        <v>1964</v>
      </c>
      <c r="D275" s="2" t="s">
        <v>1966</v>
      </c>
      <c r="E275" s="2" t="s">
        <v>7460</v>
      </c>
      <c r="F275" s="3" t="s">
        <v>1965</v>
      </c>
      <c r="G275" s="2" t="s">
        <v>1967</v>
      </c>
      <c r="H275" s="8">
        <v>276.21185000000003</v>
      </c>
      <c r="I275" s="2" t="s">
        <v>22</v>
      </c>
      <c r="J275" s="2" t="s">
        <v>26</v>
      </c>
      <c r="K275" s="2">
        <v>4</v>
      </c>
      <c r="L275" s="2" t="s">
        <v>20</v>
      </c>
      <c r="M275" s="2">
        <v>1989</v>
      </c>
      <c r="N275" s="3" t="s">
        <v>1968</v>
      </c>
      <c r="O275" s="3" t="s">
        <v>1969</v>
      </c>
      <c r="P275" s="3" t="s">
        <v>1970</v>
      </c>
      <c r="Q275" s="2">
        <v>2843</v>
      </c>
    </row>
    <row r="276" spans="1:17" ht="143.25" customHeight="1" x14ac:dyDescent="0.25">
      <c r="A276" s="5" t="str">
        <f>_xll.JChemExcel.Functions.JCSYSStructure("376D130EAC3B6607F91934B753D27B6D")</f>
        <v/>
      </c>
      <c r="B276" s="3" t="s">
        <v>1971</v>
      </c>
      <c r="C276" s="3" t="s">
        <v>1972</v>
      </c>
      <c r="D276" s="2" t="s">
        <v>1974</v>
      </c>
      <c r="E276" s="2" t="s">
        <v>7461</v>
      </c>
      <c r="F276" s="3" t="s">
        <v>1973</v>
      </c>
      <c r="G276" s="2" t="s">
        <v>1975</v>
      </c>
      <c r="H276" s="8">
        <v>306.27078599999999</v>
      </c>
      <c r="I276" s="2" t="s">
        <v>22</v>
      </c>
      <c r="J276" s="2" t="s">
        <v>26</v>
      </c>
      <c r="K276" s="2">
        <v>4</v>
      </c>
      <c r="L276" s="2" t="s">
        <v>20</v>
      </c>
      <c r="M276" s="2">
        <v>1990</v>
      </c>
      <c r="N276" s="3" t="s">
        <v>676</v>
      </c>
      <c r="O276" s="3" t="s">
        <v>1976</v>
      </c>
      <c r="P276" s="3" t="s">
        <v>1977</v>
      </c>
      <c r="Q276" s="2">
        <v>2843</v>
      </c>
    </row>
    <row r="277" spans="1:17" ht="143.25" customHeight="1" x14ac:dyDescent="0.25">
      <c r="A277" s="5" t="str">
        <f>_xll.JChemExcel.Functions.JCSYSStructure("5CDD682506D5CB952232251D9F16DC99")</f>
        <v/>
      </c>
      <c r="B277" s="3" t="s">
        <v>1978</v>
      </c>
      <c r="C277" s="3" t="s">
        <v>1979</v>
      </c>
      <c r="D277" s="2" t="s">
        <v>1981</v>
      </c>
      <c r="E277" s="2" t="s">
        <v>7462</v>
      </c>
      <c r="F277" s="3" t="s">
        <v>1980</v>
      </c>
      <c r="G277" s="2" t="s">
        <v>1982</v>
      </c>
      <c r="H277" s="8">
        <v>330.74414000000002</v>
      </c>
      <c r="I277" s="2" t="s">
        <v>22</v>
      </c>
      <c r="J277" s="2" t="s">
        <v>26</v>
      </c>
      <c r="K277" s="2">
        <v>4</v>
      </c>
      <c r="L277" s="2" t="s">
        <v>20</v>
      </c>
      <c r="M277" s="2">
        <v>1966</v>
      </c>
      <c r="N277" s="3" t="s">
        <v>819</v>
      </c>
      <c r="O277" s="3" t="s">
        <v>1983</v>
      </c>
      <c r="P277" s="3" t="s">
        <v>1984</v>
      </c>
      <c r="Q277" s="2">
        <v>2843</v>
      </c>
    </row>
    <row r="278" spans="1:17" ht="143.25" customHeight="1" x14ac:dyDescent="0.25">
      <c r="A278" s="5" t="str">
        <f>_xll.JChemExcel.Functions.JCSYSStructure("DC2AE01A2A9127BC115EAAE575C6BEAF")</f>
        <v/>
      </c>
      <c r="B278" s="3" t="s">
        <v>1985</v>
      </c>
      <c r="C278" s="3" t="s">
        <v>1986</v>
      </c>
      <c r="D278" s="2" t="s">
        <v>1988</v>
      </c>
      <c r="E278" s="2" t="s">
        <v>7463</v>
      </c>
      <c r="F278" s="3" t="s">
        <v>1987</v>
      </c>
      <c r="G278" s="2" t="s">
        <v>1989</v>
      </c>
      <c r="H278" s="8">
        <v>255.23061999999999</v>
      </c>
      <c r="I278" s="2" t="s">
        <v>22</v>
      </c>
      <c r="J278" s="2" t="s">
        <v>26</v>
      </c>
      <c r="K278" s="2">
        <v>4</v>
      </c>
      <c r="L278" s="2" t="s">
        <v>20</v>
      </c>
      <c r="M278" s="2">
        <v>1989</v>
      </c>
      <c r="N278" s="3" t="s">
        <v>207</v>
      </c>
      <c r="O278" s="3" t="s">
        <v>1990</v>
      </c>
      <c r="P278" s="3" t="s">
        <v>1991</v>
      </c>
      <c r="Q278" s="2">
        <v>2843</v>
      </c>
    </row>
    <row r="279" spans="1:17" ht="143.25" customHeight="1" x14ac:dyDescent="0.25">
      <c r="A279" s="5" t="str">
        <f>_xll.JChemExcel.Functions.JCSYSStructure("D2C087FDE3F79FC9513A47599FE85D74")</f>
        <v/>
      </c>
      <c r="B279" s="3" t="s">
        <v>1992</v>
      </c>
      <c r="C279" s="3" t="s">
        <v>1993</v>
      </c>
      <c r="D279" s="2" t="s">
        <v>1995</v>
      </c>
      <c r="E279" s="2">
        <v>380291</v>
      </c>
      <c r="F279" s="3" t="s">
        <v>1994</v>
      </c>
      <c r="G279" s="2" t="s">
        <v>1996</v>
      </c>
      <c r="H279" s="8">
        <v>375.39408300000002</v>
      </c>
      <c r="I279" s="2" t="s">
        <v>22</v>
      </c>
      <c r="J279" s="2" t="s">
        <v>26</v>
      </c>
      <c r="K279" s="2">
        <v>4</v>
      </c>
      <c r="L279" s="2" t="s">
        <v>20</v>
      </c>
      <c r="M279" s="2">
        <v>1999</v>
      </c>
      <c r="N279" s="3" t="s">
        <v>23</v>
      </c>
      <c r="O279" s="3" t="s">
        <v>1997</v>
      </c>
      <c r="P279" s="3" t="s">
        <v>1998</v>
      </c>
      <c r="Q279" s="2">
        <v>2843</v>
      </c>
    </row>
    <row r="280" spans="1:17" ht="143.25" customHeight="1" x14ac:dyDescent="0.25">
      <c r="A280" s="5" t="str">
        <f>_xll.JChemExcel.Functions.JCSYSStructure("BBC503F3DF0D3C1D186291A547E28D39")</f>
        <v/>
      </c>
      <c r="B280" s="3" t="s">
        <v>1999</v>
      </c>
      <c r="C280" s="3" t="s">
        <v>2000</v>
      </c>
      <c r="D280" s="2" t="s">
        <v>2002</v>
      </c>
      <c r="E280" s="2">
        <v>380003</v>
      </c>
      <c r="F280" s="3" t="s">
        <v>2001</v>
      </c>
      <c r="G280" s="2" t="s">
        <v>2003</v>
      </c>
      <c r="H280" s="8" t="s">
        <v>8041</v>
      </c>
      <c r="I280" s="2" t="s">
        <v>22</v>
      </c>
      <c r="J280" s="2" t="s">
        <v>26</v>
      </c>
      <c r="K280" s="2">
        <v>4</v>
      </c>
      <c r="L280" s="2" t="s">
        <v>20</v>
      </c>
      <c r="M280" s="2">
        <v>1970</v>
      </c>
      <c r="N280" s="3" t="s">
        <v>51</v>
      </c>
      <c r="O280" s="3" t="s">
        <v>2004</v>
      </c>
      <c r="P280" s="3" t="s">
        <v>2005</v>
      </c>
      <c r="Q280" s="2">
        <v>2843</v>
      </c>
    </row>
    <row r="281" spans="1:17" ht="143.25" customHeight="1" x14ac:dyDescent="0.25">
      <c r="A281" s="5" t="str">
        <f>_xll.JChemExcel.Functions.JCSYSStructure("645AB4089D98E85AF56A891627AB8A15")</f>
        <v/>
      </c>
      <c r="B281" s="3" t="s">
        <v>2006</v>
      </c>
      <c r="C281" s="3" t="s">
        <v>2007</v>
      </c>
      <c r="D281" s="2" t="s">
        <v>2009</v>
      </c>
      <c r="E281" s="2" t="s">
        <v>7464</v>
      </c>
      <c r="F281" s="3" t="s">
        <v>2008</v>
      </c>
      <c r="G281" s="2" t="s">
        <v>2010</v>
      </c>
      <c r="H281" s="8">
        <v>250.33338000000001</v>
      </c>
      <c r="I281" s="2" t="s">
        <v>22</v>
      </c>
      <c r="J281" s="2" t="s">
        <v>26</v>
      </c>
      <c r="K281" s="2">
        <v>4</v>
      </c>
      <c r="L281" s="2" t="s">
        <v>20</v>
      </c>
      <c r="M281" s="2">
        <v>1981</v>
      </c>
      <c r="N281" s="3" t="s">
        <v>2011</v>
      </c>
      <c r="O281" s="3" t="s">
        <v>2012</v>
      </c>
      <c r="P281" s="3" t="s">
        <v>2013</v>
      </c>
      <c r="Q281" s="2">
        <v>2843</v>
      </c>
    </row>
    <row r="282" spans="1:17" ht="143.25" customHeight="1" x14ac:dyDescent="0.25">
      <c r="A282" s="5" t="str">
        <f>_xll.JChemExcel.Functions.JCSYSStructure("6D22CAE862085138632BB1CB42E97BC5")</f>
        <v/>
      </c>
      <c r="B282" s="3" t="s">
        <v>2014</v>
      </c>
      <c r="C282" s="3" t="s">
        <v>2015</v>
      </c>
      <c r="D282" s="2" t="s">
        <v>2017</v>
      </c>
      <c r="E282" s="2" t="s">
        <v>7465</v>
      </c>
      <c r="F282" s="3" t="s">
        <v>2016</v>
      </c>
      <c r="G282" s="2" t="s">
        <v>2018</v>
      </c>
      <c r="H282" s="8">
        <v>490.61556000000002</v>
      </c>
      <c r="I282" s="2" t="s">
        <v>22</v>
      </c>
      <c r="J282" s="2" t="s">
        <v>26</v>
      </c>
      <c r="K282" s="2">
        <v>4</v>
      </c>
      <c r="L282" s="2" t="s">
        <v>20</v>
      </c>
      <c r="M282" s="2">
        <v>1995</v>
      </c>
      <c r="N282" s="3" t="s">
        <v>2019</v>
      </c>
      <c r="O282" s="3" t="s">
        <v>2020</v>
      </c>
      <c r="P282" s="3" t="s">
        <v>2021</v>
      </c>
      <c r="Q282" s="2">
        <v>2843</v>
      </c>
    </row>
    <row r="283" spans="1:17" ht="143.25" customHeight="1" x14ac:dyDescent="0.25">
      <c r="A283" s="5" t="str">
        <f>_xll.JChemExcel.Functions.JCSYSStructure("73DAA962E71481631B8BD037C3710B25")</f>
        <v/>
      </c>
      <c r="B283" s="3" t="s">
        <v>2022</v>
      </c>
      <c r="C283" s="3" t="s">
        <v>2023</v>
      </c>
      <c r="D283" s="2" t="s">
        <v>2025</v>
      </c>
      <c r="E283" s="2" t="s">
        <v>7466</v>
      </c>
      <c r="F283" s="3" t="s">
        <v>2024</v>
      </c>
      <c r="G283" s="2" t="s">
        <v>2026</v>
      </c>
      <c r="H283" s="8">
        <v>362.4599</v>
      </c>
      <c r="I283" s="2" t="s">
        <v>22</v>
      </c>
      <c r="J283" s="2" t="s">
        <v>26</v>
      </c>
      <c r="K283" s="2">
        <v>4</v>
      </c>
      <c r="L283" s="2" t="s">
        <v>20</v>
      </c>
      <c r="M283" s="2" t="s">
        <v>124</v>
      </c>
      <c r="N283" s="3" t="s">
        <v>1575</v>
      </c>
      <c r="O283" s="3" t="s">
        <v>2027</v>
      </c>
      <c r="P283" s="3" t="s">
        <v>2028</v>
      </c>
      <c r="Q283" s="2">
        <v>2843</v>
      </c>
    </row>
    <row r="284" spans="1:17" ht="143.25" customHeight="1" x14ac:dyDescent="0.25">
      <c r="A284" s="5" t="str">
        <f>_xll.JChemExcel.Functions.JCSYSStructure("9D6FD727F4FF12B661D3161B0EC33748")</f>
        <v/>
      </c>
      <c r="B284" s="3" t="s">
        <v>2029</v>
      </c>
      <c r="C284" s="3" t="s">
        <v>2030</v>
      </c>
      <c r="D284" s="2" t="s">
        <v>2032</v>
      </c>
      <c r="E284" s="2" t="s">
        <v>7467</v>
      </c>
      <c r="F284" s="3" t="s">
        <v>2031</v>
      </c>
      <c r="G284" s="2" t="s">
        <v>2033</v>
      </c>
      <c r="H284" s="8">
        <v>404.49657999999999</v>
      </c>
      <c r="I284" s="2" t="s">
        <v>22</v>
      </c>
      <c r="J284" s="2" t="s">
        <v>26</v>
      </c>
      <c r="K284" s="2">
        <v>4</v>
      </c>
      <c r="L284" s="2" t="s">
        <v>20</v>
      </c>
      <c r="M284" s="2" t="s">
        <v>124</v>
      </c>
      <c r="N284" s="3" t="s">
        <v>1575</v>
      </c>
      <c r="O284" s="3" t="s">
        <v>2027</v>
      </c>
      <c r="P284" s="3" t="s">
        <v>2034</v>
      </c>
      <c r="Q284" s="2">
        <v>2843</v>
      </c>
    </row>
    <row r="285" spans="1:17" ht="143.25" customHeight="1" x14ac:dyDescent="0.25">
      <c r="A285" s="5" t="str">
        <f>_xll.JChemExcel.Functions.JCSYSStructure("E1434AB238FF910F43D68FF6F7D88693")</f>
        <v/>
      </c>
      <c r="B285" s="3" t="s">
        <v>2035</v>
      </c>
      <c r="C285" s="3" t="s">
        <v>2036</v>
      </c>
      <c r="D285" s="2" t="s">
        <v>2038</v>
      </c>
      <c r="E285" s="2" t="s">
        <v>7468</v>
      </c>
      <c r="F285" s="3" t="s">
        <v>2037</v>
      </c>
      <c r="G285" s="2" t="s">
        <v>2039</v>
      </c>
      <c r="H285" s="8">
        <v>354.09850999999998</v>
      </c>
      <c r="I285" s="2" t="s">
        <v>22</v>
      </c>
      <c r="J285" s="2" t="s">
        <v>26</v>
      </c>
      <c r="K285" s="2">
        <v>4</v>
      </c>
      <c r="L285" s="2" t="s">
        <v>20</v>
      </c>
      <c r="M285" s="2">
        <v>1963</v>
      </c>
      <c r="N285" s="3" t="s">
        <v>2040</v>
      </c>
      <c r="O285" s="3" t="s">
        <v>2041</v>
      </c>
      <c r="P285" s="3" t="s">
        <v>2042</v>
      </c>
      <c r="Q285" s="2">
        <v>2843</v>
      </c>
    </row>
    <row r="286" spans="1:17" ht="143.25" customHeight="1" x14ac:dyDescent="0.25">
      <c r="A286" s="5" t="str">
        <f>_xll.JChemExcel.Functions.JCSYSStructure("F01F01C7CAAC35CF127B1AFDA5ECAE25")</f>
        <v/>
      </c>
      <c r="B286" s="3" t="s">
        <v>2043</v>
      </c>
      <c r="C286" s="3" t="s">
        <v>2044</v>
      </c>
      <c r="D286" s="2" t="s">
        <v>2046</v>
      </c>
      <c r="E286" s="2" t="s">
        <v>7469</v>
      </c>
      <c r="F286" s="3" t="s">
        <v>2045</v>
      </c>
      <c r="G286" s="2" t="s">
        <v>2047</v>
      </c>
      <c r="H286" s="8">
        <v>261.08596199999999</v>
      </c>
      <c r="I286" s="2" t="s">
        <v>22</v>
      </c>
      <c r="J286" s="2" t="s">
        <v>26</v>
      </c>
      <c r="K286" s="2">
        <v>4</v>
      </c>
      <c r="L286" s="2" t="s">
        <v>20</v>
      </c>
      <c r="M286" s="2">
        <v>1988</v>
      </c>
      <c r="N286" s="3" t="s">
        <v>1772</v>
      </c>
      <c r="O286" s="3" t="s">
        <v>1417</v>
      </c>
      <c r="P286" s="3" t="s">
        <v>2048</v>
      </c>
      <c r="Q286" s="2">
        <v>2843</v>
      </c>
    </row>
    <row r="287" spans="1:17" ht="143.25" customHeight="1" x14ac:dyDescent="0.25">
      <c r="A287" s="5" t="str">
        <f>_xll.JChemExcel.Functions.JCSYSStructure("BC5A55B928FBD462958EEF0D4DB5E511")</f>
        <v/>
      </c>
      <c r="B287" s="3" t="s">
        <v>2049</v>
      </c>
      <c r="C287" s="3" t="s">
        <v>2050</v>
      </c>
      <c r="D287" s="2" t="s">
        <v>2052</v>
      </c>
      <c r="E287" s="2">
        <v>420039</v>
      </c>
      <c r="F287" s="3" t="s">
        <v>2051</v>
      </c>
      <c r="G287" s="2" t="s">
        <v>2053</v>
      </c>
      <c r="H287" s="8">
        <v>240.30364</v>
      </c>
      <c r="I287" s="2" t="s">
        <v>22</v>
      </c>
      <c r="J287" s="2" t="s">
        <v>26</v>
      </c>
      <c r="K287" s="2">
        <v>4</v>
      </c>
      <c r="L287" s="2" t="s">
        <v>20</v>
      </c>
      <c r="M287" s="2">
        <v>1997</v>
      </c>
      <c r="N287" s="3" t="s">
        <v>2054</v>
      </c>
      <c r="O287" s="3" t="s">
        <v>2055</v>
      </c>
      <c r="P287" s="3" t="s">
        <v>2056</v>
      </c>
      <c r="Q287" s="2">
        <v>2843</v>
      </c>
    </row>
    <row r="288" spans="1:17" ht="143.25" customHeight="1" x14ac:dyDescent="0.25">
      <c r="A288" s="5" t="str">
        <f>_xll.JChemExcel.Functions.JCSYSStructure("F0180BF187DEA3193034EFDAA06DD15E")</f>
        <v/>
      </c>
      <c r="B288" s="3" t="s">
        <v>2057</v>
      </c>
      <c r="C288" s="3" t="s">
        <v>2058</v>
      </c>
      <c r="D288" s="2" t="s">
        <v>2060</v>
      </c>
      <c r="E288" s="2" t="s">
        <v>7470</v>
      </c>
      <c r="F288" s="3" t="s">
        <v>2059</v>
      </c>
      <c r="G288" s="2" t="s">
        <v>2061</v>
      </c>
      <c r="H288" s="8">
        <v>365.83454</v>
      </c>
      <c r="I288" s="2" t="s">
        <v>22</v>
      </c>
      <c r="J288" s="2" t="s">
        <v>26</v>
      </c>
      <c r="K288" s="2">
        <v>4</v>
      </c>
      <c r="L288" s="2" t="s">
        <v>20</v>
      </c>
      <c r="M288" s="2">
        <v>1983</v>
      </c>
      <c r="N288" s="3" t="s">
        <v>2062</v>
      </c>
      <c r="O288" s="3" t="s">
        <v>2063</v>
      </c>
      <c r="P288" s="3" t="s">
        <v>2064</v>
      </c>
      <c r="Q288" s="2">
        <v>2843</v>
      </c>
    </row>
    <row r="289" spans="1:17" ht="143.25" customHeight="1" x14ac:dyDescent="0.25">
      <c r="A289" s="5" t="str">
        <f>_xll.JChemExcel.Functions.JCSYSStructure("DF14C31A5743E58316B2ED01A7883DE4")</f>
        <v/>
      </c>
      <c r="B289" s="3" t="s">
        <v>2065</v>
      </c>
      <c r="C289" s="3" t="s">
        <v>2066</v>
      </c>
      <c r="D289" s="2" t="s">
        <v>2068</v>
      </c>
      <c r="E289" s="2" t="s">
        <v>7471</v>
      </c>
      <c r="F289" s="3" t="s">
        <v>2067</v>
      </c>
      <c r="G289" s="2" t="s">
        <v>2069</v>
      </c>
      <c r="H289" s="8">
        <v>705.63342</v>
      </c>
      <c r="I289" s="2" t="s">
        <v>22</v>
      </c>
      <c r="J289" s="2" t="s">
        <v>26</v>
      </c>
      <c r="K289" s="2">
        <v>4</v>
      </c>
      <c r="L289" s="2" t="s">
        <v>20</v>
      </c>
      <c r="M289" s="2">
        <v>1992</v>
      </c>
      <c r="N289" s="3" t="s">
        <v>676</v>
      </c>
      <c r="O289" s="3" t="s">
        <v>2070</v>
      </c>
      <c r="P289" s="3" t="s">
        <v>2071</v>
      </c>
      <c r="Q289" s="2">
        <v>2843</v>
      </c>
    </row>
    <row r="290" spans="1:17" ht="143.25" customHeight="1" x14ac:dyDescent="0.25">
      <c r="A290" s="5" t="str">
        <f>_xll.JChemExcel.Functions.JCSYSStructure("F2FD2FB6E164B37F131A999C2C455DE6")</f>
        <v/>
      </c>
      <c r="B290" s="3" t="s">
        <v>2072</v>
      </c>
      <c r="C290" s="3" t="s">
        <v>2073</v>
      </c>
      <c r="D290" s="2" t="s">
        <v>2075</v>
      </c>
      <c r="E290" s="2" t="s">
        <v>7472</v>
      </c>
      <c r="F290" s="3" t="s">
        <v>2074</v>
      </c>
      <c r="G290" s="2" t="s">
        <v>2076</v>
      </c>
      <c r="H290" s="8">
        <v>312.44582000000003</v>
      </c>
      <c r="I290" s="2" t="s">
        <v>22</v>
      </c>
      <c r="J290" s="2" t="s">
        <v>26</v>
      </c>
      <c r="K290" s="2">
        <v>4</v>
      </c>
      <c r="L290" s="2" t="s">
        <v>20</v>
      </c>
      <c r="M290" s="2">
        <v>1990</v>
      </c>
      <c r="N290" s="3" t="s">
        <v>2077</v>
      </c>
      <c r="O290" s="3" t="s">
        <v>2078</v>
      </c>
      <c r="P290" s="3" t="s">
        <v>2079</v>
      </c>
      <c r="Q290" s="2">
        <v>2843</v>
      </c>
    </row>
    <row r="291" spans="1:17" ht="143.25" customHeight="1" x14ac:dyDescent="0.25">
      <c r="A291" s="5" t="str">
        <f>_xll.JChemExcel.Functions.JCSYSStructure("165240CF6DB236072D9DA6A9CAADE5F3")</f>
        <v/>
      </c>
      <c r="B291" s="3" t="s">
        <v>2080</v>
      </c>
      <c r="C291" s="3" t="s">
        <v>2081</v>
      </c>
      <c r="D291" s="2" t="s">
        <v>2082</v>
      </c>
      <c r="E291" s="2">
        <v>380292</v>
      </c>
      <c r="F291" s="3" t="s">
        <v>7975</v>
      </c>
      <c r="G291" s="2" t="s">
        <v>2083</v>
      </c>
      <c r="H291" s="8">
        <v>397.82844299999999</v>
      </c>
      <c r="I291" s="2" t="s">
        <v>22</v>
      </c>
      <c r="J291" s="2" t="s">
        <v>26</v>
      </c>
      <c r="K291" s="2">
        <v>4</v>
      </c>
      <c r="L291" s="2" t="s">
        <v>20</v>
      </c>
      <c r="M291" s="2">
        <v>1996</v>
      </c>
      <c r="N291" s="3" t="s">
        <v>2084</v>
      </c>
      <c r="O291" s="3" t="s">
        <v>2085</v>
      </c>
      <c r="P291" s="3" t="s">
        <v>2086</v>
      </c>
      <c r="Q291" s="2">
        <v>2843</v>
      </c>
    </row>
    <row r="292" spans="1:17" ht="143.25" customHeight="1" x14ac:dyDescent="0.25">
      <c r="A292" s="5" t="str">
        <f>_xll.JChemExcel.Functions.JCSYSStructure("FC0BA9CE814D613923AB10231F042DAA")</f>
        <v/>
      </c>
      <c r="B292" s="3" t="s">
        <v>2087</v>
      </c>
      <c r="C292" s="3" t="s">
        <v>2088</v>
      </c>
      <c r="D292" s="2" t="s">
        <v>2090</v>
      </c>
      <c r="E292" s="2">
        <v>430095</v>
      </c>
      <c r="F292" s="3" t="s">
        <v>2089</v>
      </c>
      <c r="G292" s="2" t="s">
        <v>2091</v>
      </c>
      <c r="H292" s="8">
        <v>270.20726999999999</v>
      </c>
      <c r="I292" s="2" t="s">
        <v>22</v>
      </c>
      <c r="J292" s="2" t="s">
        <v>26</v>
      </c>
      <c r="K292" s="2">
        <v>4</v>
      </c>
      <c r="L292" s="2" t="s">
        <v>20</v>
      </c>
      <c r="M292" s="2">
        <v>1998</v>
      </c>
      <c r="N292" s="3" t="s">
        <v>2092</v>
      </c>
      <c r="O292" s="3" t="s">
        <v>2093</v>
      </c>
      <c r="P292" s="3" t="s">
        <v>2094</v>
      </c>
      <c r="Q292" s="2">
        <v>2843</v>
      </c>
    </row>
    <row r="293" spans="1:17" ht="143.25" customHeight="1" x14ac:dyDescent="0.25">
      <c r="A293" s="5" t="str">
        <f>_xll.JChemExcel.Functions.JCSYSStructure("5BF7AEA243B05239746D8854BCD31FDD")</f>
        <v/>
      </c>
      <c r="B293" s="3" t="s">
        <v>2095</v>
      </c>
      <c r="C293" s="3" t="s">
        <v>2096</v>
      </c>
      <c r="D293" s="2" t="s">
        <v>2097</v>
      </c>
      <c r="E293" s="2" t="s">
        <v>7473</v>
      </c>
      <c r="F293" s="3" t="s">
        <v>7976</v>
      </c>
      <c r="G293" s="2" t="s">
        <v>2098</v>
      </c>
      <c r="H293" s="8">
        <v>441.51850000000002</v>
      </c>
      <c r="I293" s="2" t="s">
        <v>22</v>
      </c>
      <c r="J293" s="2" t="s">
        <v>26</v>
      </c>
      <c r="K293" s="2">
        <v>4</v>
      </c>
      <c r="L293" s="2" t="s">
        <v>20</v>
      </c>
      <c r="M293" s="2">
        <v>1987</v>
      </c>
      <c r="N293" s="3" t="s">
        <v>183</v>
      </c>
      <c r="O293" s="3" t="s">
        <v>2099</v>
      </c>
      <c r="P293" s="3" t="s">
        <v>2100</v>
      </c>
      <c r="Q293" s="2">
        <v>2843</v>
      </c>
    </row>
    <row r="294" spans="1:17" ht="143.25" customHeight="1" x14ac:dyDescent="0.25">
      <c r="A294" s="5" t="str">
        <f>_xll.JChemExcel.Functions.JCSYSStructure("157E29583619C417A8F38CD792C97706")</f>
        <v/>
      </c>
      <c r="B294" s="3" t="s">
        <v>2101</v>
      </c>
      <c r="C294" s="3" t="s">
        <v>2102</v>
      </c>
      <c r="D294" s="2" t="s">
        <v>2104</v>
      </c>
      <c r="E294" s="2" t="s">
        <v>7474</v>
      </c>
      <c r="F294" s="3" t="s">
        <v>2103</v>
      </c>
      <c r="G294" s="2" t="s">
        <v>2105</v>
      </c>
      <c r="H294" s="8">
        <v>382.88321999999999</v>
      </c>
      <c r="I294" s="2" t="s">
        <v>22</v>
      </c>
      <c r="J294" s="2" t="s">
        <v>26</v>
      </c>
      <c r="K294" s="2">
        <v>4</v>
      </c>
      <c r="L294" s="2" t="s">
        <v>20</v>
      </c>
      <c r="M294" s="2">
        <v>2003</v>
      </c>
      <c r="N294" s="3" t="s">
        <v>1154</v>
      </c>
      <c r="O294" s="3" t="s">
        <v>2106</v>
      </c>
      <c r="P294" s="3" t="s">
        <v>2107</v>
      </c>
      <c r="Q294" s="2">
        <v>2843</v>
      </c>
    </row>
    <row r="295" spans="1:17" ht="143.25" customHeight="1" x14ac:dyDescent="0.25">
      <c r="A295" s="5" t="str">
        <f>_xll.JChemExcel.Functions.JCSYSStructure("50807D516E8009572BDD476E8E9CA8AD")</f>
        <v/>
      </c>
      <c r="B295" s="3" t="s">
        <v>2108</v>
      </c>
      <c r="C295" s="3" t="s">
        <v>2109</v>
      </c>
      <c r="D295" s="2" t="s">
        <v>2111</v>
      </c>
      <c r="E295" s="2" t="s">
        <v>7475</v>
      </c>
      <c r="F295" s="3" t="s">
        <v>2110</v>
      </c>
      <c r="G295" s="2" t="s">
        <v>2112</v>
      </c>
      <c r="H295" s="8">
        <v>461.00098000000003</v>
      </c>
      <c r="I295" s="2" t="s">
        <v>22</v>
      </c>
      <c r="J295" s="2" t="s">
        <v>26</v>
      </c>
      <c r="K295" s="2">
        <v>4</v>
      </c>
      <c r="L295" s="2" t="s">
        <v>20</v>
      </c>
      <c r="M295" s="2">
        <v>1995</v>
      </c>
      <c r="N295" s="3" t="s">
        <v>2113</v>
      </c>
      <c r="O295" s="3" t="s">
        <v>2114</v>
      </c>
      <c r="P295" s="3" t="s">
        <v>2115</v>
      </c>
      <c r="Q295" s="2">
        <v>2843</v>
      </c>
    </row>
    <row r="296" spans="1:17" ht="143.25" customHeight="1" x14ac:dyDescent="0.25">
      <c r="A296" s="5" t="str">
        <f>_xll.JChemExcel.Functions.JCSYSStructure("0D8DAC4157BCDA5D7391E762FBE77308")</f>
        <v/>
      </c>
      <c r="B296" s="3" t="s">
        <v>2116</v>
      </c>
      <c r="C296" s="3" t="s">
        <v>2117</v>
      </c>
      <c r="D296" s="2" t="s">
        <v>2119</v>
      </c>
      <c r="E296" s="2" t="s">
        <v>7476</v>
      </c>
      <c r="F296" s="3" t="s">
        <v>2118</v>
      </c>
      <c r="G296" s="2" t="s">
        <v>2120</v>
      </c>
      <c r="H296" s="8">
        <v>295.29271999999997</v>
      </c>
      <c r="I296" s="2" t="s">
        <v>22</v>
      </c>
      <c r="J296" s="2" t="s">
        <v>26</v>
      </c>
      <c r="K296" s="2">
        <v>4</v>
      </c>
      <c r="L296" s="2" t="s">
        <v>20</v>
      </c>
      <c r="M296" s="2">
        <v>1974</v>
      </c>
      <c r="N296" s="3" t="s">
        <v>2121</v>
      </c>
      <c r="O296" s="3" t="s">
        <v>2122</v>
      </c>
      <c r="P296" s="3" t="s">
        <v>2123</v>
      </c>
      <c r="Q296" s="2">
        <v>2843</v>
      </c>
    </row>
    <row r="297" spans="1:17" ht="143.25" customHeight="1" x14ac:dyDescent="0.25">
      <c r="A297" s="5" t="str">
        <f>_xll.JChemExcel.Functions.JCSYSStructure("B14C7D73FA0536248D4B708B38864F29")</f>
        <v/>
      </c>
      <c r="B297" s="3" t="s">
        <v>2124</v>
      </c>
      <c r="C297" s="3" t="s">
        <v>2125</v>
      </c>
      <c r="D297" s="2" t="s">
        <v>2127</v>
      </c>
      <c r="E297" s="2" t="s">
        <v>7477</v>
      </c>
      <c r="F297" s="3" t="s">
        <v>2126</v>
      </c>
      <c r="G297" s="2" t="s">
        <v>2128</v>
      </c>
      <c r="H297" s="8">
        <v>386.52436</v>
      </c>
      <c r="I297" s="2" t="s">
        <v>22</v>
      </c>
      <c r="J297" s="2" t="s">
        <v>26</v>
      </c>
      <c r="K297" s="2">
        <v>4</v>
      </c>
      <c r="L297" s="2" t="s">
        <v>20</v>
      </c>
      <c r="M297" s="2">
        <v>1959</v>
      </c>
      <c r="N297" s="3" t="s">
        <v>2077</v>
      </c>
      <c r="O297" s="3" t="s">
        <v>2129</v>
      </c>
      <c r="P297" s="3" t="s">
        <v>2130</v>
      </c>
      <c r="Q297" s="2">
        <v>2843</v>
      </c>
    </row>
    <row r="298" spans="1:17" ht="143.25" customHeight="1" x14ac:dyDescent="0.25">
      <c r="A298" s="5" t="str">
        <f>_xll.JChemExcel.Functions.JCSYSStructure("4D92509E591AA39AF5488C406D5D7F90")</f>
        <v/>
      </c>
      <c r="B298" s="3" t="s">
        <v>2131</v>
      </c>
      <c r="C298" s="3" t="s">
        <v>2132</v>
      </c>
      <c r="D298" s="2" t="s">
        <v>2134</v>
      </c>
      <c r="E298" s="2" t="s">
        <v>7478</v>
      </c>
      <c r="F298" s="3" t="s">
        <v>2133</v>
      </c>
      <c r="G298" s="2" t="s">
        <v>2135</v>
      </c>
      <c r="H298" s="8">
        <v>241.2851</v>
      </c>
      <c r="I298" s="2" t="s">
        <v>22</v>
      </c>
      <c r="J298" s="2" t="s">
        <v>26</v>
      </c>
      <c r="K298" s="2">
        <v>4</v>
      </c>
      <c r="L298" s="2" t="s">
        <v>20</v>
      </c>
      <c r="M298" s="2">
        <v>1967</v>
      </c>
      <c r="N298" s="3" t="s">
        <v>2136</v>
      </c>
      <c r="O298" s="3" t="s">
        <v>2137</v>
      </c>
      <c r="P298" s="3" t="s">
        <v>2138</v>
      </c>
      <c r="Q298" s="2">
        <v>2843</v>
      </c>
    </row>
    <row r="299" spans="1:17" ht="143.25" customHeight="1" x14ac:dyDescent="0.25">
      <c r="A299" s="5" t="str">
        <f>_xll.JChemExcel.Functions.JCSYSStructure("2A098EDBF554E4A246ABE99C88CC5E29")</f>
        <v/>
      </c>
      <c r="B299" s="3" t="s">
        <v>2139</v>
      </c>
      <c r="C299" s="3" t="s">
        <v>2140</v>
      </c>
      <c r="D299" s="2" t="s">
        <v>2142</v>
      </c>
      <c r="E299" s="2" t="s">
        <v>7479</v>
      </c>
      <c r="F299" s="3" t="s">
        <v>2141</v>
      </c>
      <c r="G299" s="2" t="s">
        <v>2143</v>
      </c>
      <c r="H299" s="8">
        <v>305.2</v>
      </c>
      <c r="I299" s="2" t="s">
        <v>22</v>
      </c>
      <c r="J299" s="2" t="s">
        <v>26</v>
      </c>
      <c r="K299" s="2">
        <v>4</v>
      </c>
      <c r="L299" s="2" t="s">
        <v>20</v>
      </c>
      <c r="M299" s="2" t="s">
        <v>124</v>
      </c>
      <c r="N299" s="3" t="s">
        <v>2144</v>
      </c>
      <c r="O299" s="3" t="s">
        <v>1685</v>
      </c>
      <c r="P299" s="3" t="s">
        <v>2145</v>
      </c>
      <c r="Q299" s="2">
        <v>2843</v>
      </c>
    </row>
    <row r="300" spans="1:17" ht="143.25" customHeight="1" x14ac:dyDescent="0.25">
      <c r="A300" s="5" t="str">
        <f>_xll.JChemExcel.Functions.JCSYSStructure("09ADAA206A8D48C95FF0B8C9F374226A")</f>
        <v/>
      </c>
      <c r="B300" s="3" t="s">
        <v>2146</v>
      </c>
      <c r="C300" s="3" t="s">
        <v>2147</v>
      </c>
      <c r="D300" s="2" t="s">
        <v>2148</v>
      </c>
      <c r="E300" s="2">
        <v>550528</v>
      </c>
      <c r="F300" s="3" t="s">
        <v>7977</v>
      </c>
      <c r="G300" s="2" t="s">
        <v>7978</v>
      </c>
      <c r="H300" s="8">
        <v>229.22980000000001</v>
      </c>
      <c r="I300" s="2" t="s">
        <v>22</v>
      </c>
      <c r="J300" s="2" t="s">
        <v>26</v>
      </c>
      <c r="K300" s="2">
        <v>4</v>
      </c>
      <c r="L300" s="2" t="s">
        <v>20</v>
      </c>
      <c r="M300" s="2" t="s">
        <v>124</v>
      </c>
      <c r="N300" s="3" t="s">
        <v>2149</v>
      </c>
      <c r="O300" s="3" t="s">
        <v>2150</v>
      </c>
      <c r="P300" s="3" t="s">
        <v>2151</v>
      </c>
      <c r="Q300" s="2">
        <v>2843</v>
      </c>
    </row>
    <row r="301" spans="1:17" ht="143.25" customHeight="1" x14ac:dyDescent="0.25">
      <c r="A301" s="5" t="str">
        <f>_xll.JChemExcel.Functions.JCSYSStructure("382408554431404F17EF9D176A5C1FE1")</f>
        <v/>
      </c>
      <c r="B301" s="3" t="s">
        <v>2152</v>
      </c>
      <c r="C301" s="3" t="s">
        <v>2153</v>
      </c>
      <c r="D301" s="2" t="s">
        <v>2155</v>
      </c>
      <c r="E301" s="2" t="s">
        <v>7480</v>
      </c>
      <c r="F301" s="3" t="s">
        <v>2154</v>
      </c>
      <c r="G301" s="2" t="s">
        <v>2156</v>
      </c>
      <c r="H301" s="8">
        <v>374.47059999999999</v>
      </c>
      <c r="I301" s="2" t="s">
        <v>22</v>
      </c>
      <c r="J301" s="2" t="s">
        <v>26</v>
      </c>
      <c r="K301" s="2">
        <v>4</v>
      </c>
      <c r="L301" s="2" t="s">
        <v>20</v>
      </c>
      <c r="M301" s="2">
        <v>1957</v>
      </c>
      <c r="N301" s="3" t="s">
        <v>2157</v>
      </c>
      <c r="O301" s="3" t="s">
        <v>2158</v>
      </c>
      <c r="P301" s="3" t="s">
        <v>2159</v>
      </c>
      <c r="Q301" s="2">
        <v>2843</v>
      </c>
    </row>
    <row r="302" spans="1:17" ht="143.25" customHeight="1" x14ac:dyDescent="0.25">
      <c r="A302" s="5" t="str">
        <f>_xll.JChemExcel.Functions.JCSYSStructure("0B9DBA769324D56E4ABC86B9D3CFDF71")</f>
        <v/>
      </c>
      <c r="B302" s="3" t="s">
        <v>2160</v>
      </c>
      <c r="C302" s="3" t="s">
        <v>2161</v>
      </c>
      <c r="D302" s="2" t="s">
        <v>2163</v>
      </c>
      <c r="E302" s="2" t="s">
        <v>7481</v>
      </c>
      <c r="F302" s="3" t="s">
        <v>2162</v>
      </c>
      <c r="G302" s="2" t="s">
        <v>2164</v>
      </c>
      <c r="H302" s="8">
        <v>684.81464000000005</v>
      </c>
      <c r="I302" s="2" t="s">
        <v>22</v>
      </c>
      <c r="J302" s="2" t="s">
        <v>26</v>
      </c>
      <c r="K302" s="2">
        <v>4</v>
      </c>
      <c r="L302" s="2" t="s">
        <v>20</v>
      </c>
      <c r="M302" s="2">
        <v>1978</v>
      </c>
      <c r="N302" s="3" t="s">
        <v>2165</v>
      </c>
      <c r="O302" s="3" t="s">
        <v>2166</v>
      </c>
      <c r="P302" s="3" t="s">
        <v>2167</v>
      </c>
      <c r="Q302" s="2">
        <v>2843</v>
      </c>
    </row>
    <row r="303" spans="1:17" ht="143.25" customHeight="1" x14ac:dyDescent="0.25">
      <c r="A303" s="5" t="str">
        <f>_xll.JChemExcel.Functions.JCSYSStructure("E42D315B7B736CCE1C2298C21859843A")</f>
        <v/>
      </c>
      <c r="B303" s="3" t="s">
        <v>2168</v>
      </c>
      <c r="C303" s="3" t="s">
        <v>2169</v>
      </c>
      <c r="D303" s="2" t="s">
        <v>2171</v>
      </c>
      <c r="E303" s="2" t="s">
        <v>7482</v>
      </c>
      <c r="F303" s="3" t="s">
        <v>2170</v>
      </c>
      <c r="G303" s="2" t="s">
        <v>2172</v>
      </c>
      <c r="H303" s="8">
        <v>114.2</v>
      </c>
      <c r="I303" s="2" t="s">
        <v>22</v>
      </c>
      <c r="J303" s="2" t="s">
        <v>26</v>
      </c>
      <c r="K303" s="2">
        <v>4</v>
      </c>
      <c r="L303" s="2" t="s">
        <v>20</v>
      </c>
      <c r="M303" s="2">
        <v>1950</v>
      </c>
      <c r="N303" s="3" t="s">
        <v>2173</v>
      </c>
      <c r="O303" s="3" t="s">
        <v>2174</v>
      </c>
      <c r="P303" s="3" t="s">
        <v>2175</v>
      </c>
      <c r="Q303" s="2">
        <v>2843</v>
      </c>
    </row>
    <row r="304" spans="1:17" ht="143.25" customHeight="1" x14ac:dyDescent="0.25">
      <c r="A304" s="5" t="str">
        <f>_xll.JChemExcel.Functions.JCSYSStructure("E1BAFC02F07F7C1E03833B89CFFF76B4")</f>
        <v/>
      </c>
      <c r="B304" s="3" t="s">
        <v>2176</v>
      </c>
      <c r="C304" s="3" t="s">
        <v>2177</v>
      </c>
      <c r="D304" s="2" t="s">
        <v>2179</v>
      </c>
      <c r="E304" s="2" t="s">
        <v>7483</v>
      </c>
      <c r="F304" s="3" t="s">
        <v>2178</v>
      </c>
      <c r="G304" s="2" t="s">
        <v>2180</v>
      </c>
      <c r="H304" s="8">
        <v>171.15396000000001</v>
      </c>
      <c r="I304" s="2" t="s">
        <v>22</v>
      </c>
      <c r="J304" s="2" t="s">
        <v>26</v>
      </c>
      <c r="K304" s="2">
        <v>4</v>
      </c>
      <c r="L304" s="2" t="s">
        <v>20</v>
      </c>
      <c r="M304" s="2">
        <v>1963</v>
      </c>
      <c r="N304" s="3" t="s">
        <v>2181</v>
      </c>
      <c r="O304" s="3" t="s">
        <v>2182</v>
      </c>
      <c r="P304" s="3" t="s">
        <v>2183</v>
      </c>
      <c r="Q304" s="2">
        <v>2843</v>
      </c>
    </row>
    <row r="305" spans="1:17" ht="143.25" customHeight="1" x14ac:dyDescent="0.25">
      <c r="A305" s="5" t="str">
        <f>_xll.JChemExcel.Functions.JCSYSStructure("A9D13A46BCEDB5E2176047D0CE0C477D")</f>
        <v/>
      </c>
      <c r="B305" s="3" t="s">
        <v>2184</v>
      </c>
      <c r="C305" s="3" t="s">
        <v>2185</v>
      </c>
      <c r="D305" s="2" t="s">
        <v>2187</v>
      </c>
      <c r="E305" s="2" t="s">
        <v>7484</v>
      </c>
      <c r="F305" s="3" t="s">
        <v>2186</v>
      </c>
      <c r="G305" s="2" t="s">
        <v>7979</v>
      </c>
      <c r="H305" s="8">
        <v>457.47638000000001</v>
      </c>
      <c r="I305" s="2" t="s">
        <v>22</v>
      </c>
      <c r="J305" s="2" t="s">
        <v>26</v>
      </c>
      <c r="K305" s="2">
        <v>4</v>
      </c>
      <c r="L305" s="2" t="s">
        <v>20</v>
      </c>
      <c r="M305" s="2" t="s">
        <v>2188</v>
      </c>
      <c r="N305" s="3" t="s">
        <v>2189</v>
      </c>
      <c r="O305" s="3" t="s">
        <v>2190</v>
      </c>
      <c r="P305" s="3" t="s">
        <v>2191</v>
      </c>
      <c r="Q305" s="2">
        <v>2843</v>
      </c>
    </row>
    <row r="306" spans="1:17" ht="143.25" customHeight="1" x14ac:dyDescent="0.25">
      <c r="A306" s="5" t="str">
        <f>_xll.JChemExcel.Functions.JCSYSStructure("7AAD9A73D0944D04B9F58267B90AD458")</f>
        <v/>
      </c>
      <c r="B306" s="3" t="s">
        <v>2192</v>
      </c>
      <c r="C306" s="3" t="s">
        <v>2193</v>
      </c>
      <c r="D306" s="2" t="s">
        <v>2194</v>
      </c>
      <c r="E306" s="2">
        <v>400050</v>
      </c>
      <c r="F306" s="3" t="s">
        <v>7980</v>
      </c>
      <c r="G306" s="2" t="s">
        <v>2195</v>
      </c>
      <c r="H306" s="8">
        <v>517.4</v>
      </c>
      <c r="I306" s="2" t="s">
        <v>22</v>
      </c>
      <c r="J306" s="2" t="s">
        <v>26</v>
      </c>
      <c r="K306" s="2">
        <v>4</v>
      </c>
      <c r="L306" s="2" t="s">
        <v>20</v>
      </c>
      <c r="M306" s="2">
        <v>1987</v>
      </c>
      <c r="N306" s="3" t="s">
        <v>563</v>
      </c>
      <c r="O306" s="3" t="s">
        <v>2196</v>
      </c>
      <c r="P306" s="3" t="s">
        <v>53</v>
      </c>
      <c r="Q306" s="2">
        <v>2843</v>
      </c>
    </row>
    <row r="307" spans="1:17" ht="143.25" customHeight="1" x14ac:dyDescent="0.25">
      <c r="A307" s="5" t="str">
        <f>_xll.JChemExcel.Functions.JCSYSStructure("62250A0D57FB92F620EB0F60A83FDD5A")</f>
        <v/>
      </c>
      <c r="B307" s="3" t="s">
        <v>2197</v>
      </c>
      <c r="C307" s="3" t="s">
        <v>2198</v>
      </c>
      <c r="D307" s="2" t="s">
        <v>2199</v>
      </c>
      <c r="E307" s="2" t="s">
        <v>7485</v>
      </c>
      <c r="F307" s="3" t="s">
        <v>7221</v>
      </c>
      <c r="G307" s="2" t="s">
        <v>2200</v>
      </c>
      <c r="H307" s="8">
        <v>853.90614000000005</v>
      </c>
      <c r="I307" s="2" t="s">
        <v>22</v>
      </c>
      <c r="J307" s="2" t="s">
        <v>26</v>
      </c>
      <c r="K307" s="2">
        <v>4</v>
      </c>
      <c r="L307" s="2" t="s">
        <v>20</v>
      </c>
      <c r="M307" s="2">
        <v>1992</v>
      </c>
      <c r="N307" s="3" t="s">
        <v>563</v>
      </c>
      <c r="O307" s="3" t="s">
        <v>2201</v>
      </c>
      <c r="P307" s="3" t="s">
        <v>53</v>
      </c>
      <c r="Q307" s="2">
        <v>2843</v>
      </c>
    </row>
    <row r="308" spans="1:17" ht="143.25" customHeight="1" x14ac:dyDescent="0.25">
      <c r="A308" s="5" t="str">
        <f>_xll.JChemExcel.Functions.JCSYSStructure("28806D2723A220634496E091F09906BA")</f>
        <v/>
      </c>
      <c r="B308" s="3" t="s">
        <v>2202</v>
      </c>
      <c r="C308" s="3" t="s">
        <v>2203</v>
      </c>
      <c r="D308" s="2" t="s">
        <v>2205</v>
      </c>
      <c r="E308" s="2" t="s">
        <v>7486</v>
      </c>
      <c r="F308" s="3" t="s">
        <v>2204</v>
      </c>
      <c r="G308" s="2" t="s">
        <v>2206</v>
      </c>
      <c r="H308" s="8">
        <v>228.28634</v>
      </c>
      <c r="I308" s="2" t="s">
        <v>22</v>
      </c>
      <c r="J308" s="2" t="s">
        <v>26</v>
      </c>
      <c r="K308" s="2">
        <v>4</v>
      </c>
      <c r="L308" s="2" t="s">
        <v>20</v>
      </c>
      <c r="M308" s="2">
        <v>1991</v>
      </c>
      <c r="N308" s="3" t="s">
        <v>2207</v>
      </c>
      <c r="O308" s="3" t="s">
        <v>2208</v>
      </c>
      <c r="P308" s="3" t="s">
        <v>2209</v>
      </c>
      <c r="Q308" s="2">
        <v>2843</v>
      </c>
    </row>
    <row r="309" spans="1:17" ht="143.25" customHeight="1" x14ac:dyDescent="0.25">
      <c r="A309" s="5" t="str">
        <f>_xll.JChemExcel.Functions.JCSYSStructure("7547B458B99FB80BA2E65AD0066B048C")</f>
        <v/>
      </c>
      <c r="B309" s="3" t="s">
        <v>2210</v>
      </c>
      <c r="C309" s="3" t="s">
        <v>2211</v>
      </c>
      <c r="D309" s="2" t="s">
        <v>2213</v>
      </c>
      <c r="E309" s="2" t="s">
        <v>7487</v>
      </c>
      <c r="F309" s="3" t="s">
        <v>2212</v>
      </c>
      <c r="G309" s="2" t="s">
        <v>2214</v>
      </c>
      <c r="H309" s="8">
        <v>246.7353</v>
      </c>
      <c r="I309" s="2" t="s">
        <v>22</v>
      </c>
      <c r="J309" s="2" t="s">
        <v>26</v>
      </c>
      <c r="K309" s="2">
        <v>4</v>
      </c>
      <c r="L309" s="2" t="s">
        <v>20</v>
      </c>
      <c r="M309" s="2" t="s">
        <v>124</v>
      </c>
      <c r="N309" s="3" t="s">
        <v>2215</v>
      </c>
      <c r="O309" s="3" t="s">
        <v>2216</v>
      </c>
      <c r="P309" s="3" t="s">
        <v>53</v>
      </c>
      <c r="Q309" s="2">
        <v>2843</v>
      </c>
    </row>
    <row r="310" spans="1:17" ht="143.25" customHeight="1" x14ac:dyDescent="0.25">
      <c r="A310" s="5" t="str">
        <f>_xll.JChemExcel.Functions.JCSYSStructure("114BCB7933E1EC98E6A4858D15D95976")</f>
        <v/>
      </c>
      <c r="B310" s="3" t="s">
        <v>2217</v>
      </c>
      <c r="C310" s="3" t="s">
        <v>2218</v>
      </c>
      <c r="D310" s="2" t="s">
        <v>2220</v>
      </c>
      <c r="E310" s="2" t="s">
        <v>7488</v>
      </c>
      <c r="F310" s="3" t="s">
        <v>2219</v>
      </c>
      <c r="G310" s="2" t="s">
        <v>2221</v>
      </c>
      <c r="H310" s="8">
        <v>506.46782000000002</v>
      </c>
      <c r="I310" s="2" t="s">
        <v>22</v>
      </c>
      <c r="J310" s="2" t="s">
        <v>26</v>
      </c>
      <c r="K310" s="2">
        <v>4</v>
      </c>
      <c r="L310" s="2" t="s">
        <v>20</v>
      </c>
      <c r="M310" s="2">
        <v>1994</v>
      </c>
      <c r="N310" s="3" t="s">
        <v>269</v>
      </c>
      <c r="O310" s="3" t="s">
        <v>2222</v>
      </c>
      <c r="P310" s="3" t="s">
        <v>53</v>
      </c>
      <c r="Q310" s="2">
        <v>2843</v>
      </c>
    </row>
    <row r="311" spans="1:17" ht="143.25" customHeight="1" x14ac:dyDescent="0.25">
      <c r="A311" s="5" t="str">
        <f>_xll.JChemExcel.Functions.JCSYSStructure("3BADB3F46A787C164E5881CC758DFBA1")</f>
        <v/>
      </c>
      <c r="B311" s="3" t="s">
        <v>2223</v>
      </c>
      <c r="C311" s="3" t="s">
        <v>2224</v>
      </c>
      <c r="D311" s="2" t="s">
        <v>2226</v>
      </c>
      <c r="E311" s="2" t="s">
        <v>7489</v>
      </c>
      <c r="F311" s="3" t="s">
        <v>2225</v>
      </c>
      <c r="G311" s="2" t="s">
        <v>2227</v>
      </c>
      <c r="H311" s="8">
        <v>298.41924</v>
      </c>
      <c r="I311" s="2" t="s">
        <v>22</v>
      </c>
      <c r="J311" s="2" t="s">
        <v>26</v>
      </c>
      <c r="K311" s="2">
        <v>4</v>
      </c>
      <c r="L311" s="2" t="s">
        <v>20</v>
      </c>
      <c r="M311" s="2">
        <v>1973</v>
      </c>
      <c r="N311" s="3" t="s">
        <v>2228</v>
      </c>
      <c r="O311" s="3" t="s">
        <v>2229</v>
      </c>
      <c r="P311" s="3" t="s">
        <v>2230</v>
      </c>
      <c r="Q311" s="2">
        <v>2843</v>
      </c>
    </row>
    <row r="312" spans="1:17" ht="143.25" customHeight="1" x14ac:dyDescent="0.25">
      <c r="A312" s="5" t="str">
        <f>_xll.JChemExcel.Functions.JCSYSStructure("85D7FC3B1EFE67BA702F6D59A3DA2BA6")</f>
        <v/>
      </c>
      <c r="B312" s="3" t="s">
        <v>2231</v>
      </c>
      <c r="C312" s="3" t="s">
        <v>2232</v>
      </c>
      <c r="D312" s="2" t="s">
        <v>2234</v>
      </c>
      <c r="E312" s="2">
        <v>380295</v>
      </c>
      <c r="F312" s="3" t="s">
        <v>2233</v>
      </c>
      <c r="G312" s="2" t="s">
        <v>2235</v>
      </c>
      <c r="H312" s="8">
        <v>319.33082300000001</v>
      </c>
      <c r="I312" s="2" t="s">
        <v>22</v>
      </c>
      <c r="J312" s="2" t="s">
        <v>26</v>
      </c>
      <c r="K312" s="2">
        <v>4</v>
      </c>
      <c r="L312" s="2" t="s">
        <v>20</v>
      </c>
      <c r="M312" s="2">
        <v>1986</v>
      </c>
      <c r="N312" s="3" t="s">
        <v>23</v>
      </c>
      <c r="O312" s="3" t="s">
        <v>2236</v>
      </c>
      <c r="P312" s="3" t="s">
        <v>2237</v>
      </c>
      <c r="Q312" s="2">
        <v>2843</v>
      </c>
    </row>
    <row r="313" spans="1:17" ht="143.25" customHeight="1" x14ac:dyDescent="0.25">
      <c r="A313" s="5" t="str">
        <f>_xll.JChemExcel.Functions.JCSYSStructure("E61B59B0CDA63F9ED6B8830B8D9A7729")</f>
        <v/>
      </c>
      <c r="B313" s="3" t="s">
        <v>2238</v>
      </c>
      <c r="C313" s="3" t="s">
        <v>2239</v>
      </c>
      <c r="D313" s="2" t="s">
        <v>2241</v>
      </c>
      <c r="E313" s="2" t="s">
        <v>7490</v>
      </c>
      <c r="F313" s="3" t="s">
        <v>2240</v>
      </c>
      <c r="G313" s="2" t="s">
        <v>2242</v>
      </c>
      <c r="H313" s="8">
        <v>926.09490000000005</v>
      </c>
      <c r="I313" s="2" t="s">
        <v>22</v>
      </c>
      <c r="J313" s="2" t="s">
        <v>26</v>
      </c>
      <c r="K313" s="2">
        <v>4</v>
      </c>
      <c r="L313" s="2" t="s">
        <v>20</v>
      </c>
      <c r="M313" s="2" t="s">
        <v>124</v>
      </c>
      <c r="N313" s="3" t="s">
        <v>2243</v>
      </c>
      <c r="O313" s="3" t="s">
        <v>2244</v>
      </c>
      <c r="P313" s="3" t="s">
        <v>2245</v>
      </c>
      <c r="Q313" s="2">
        <v>2843</v>
      </c>
    </row>
    <row r="314" spans="1:17" ht="143.25" customHeight="1" x14ac:dyDescent="0.25">
      <c r="A314" s="5" t="str">
        <f>_xll.JChemExcel.Functions.JCSYSStructure("534C4CC73C504534C315AF3635ACD6AB")</f>
        <v/>
      </c>
      <c r="B314" s="3" t="s">
        <v>2246</v>
      </c>
      <c r="C314" s="3" t="s">
        <v>2247</v>
      </c>
      <c r="D314" s="2" t="s">
        <v>2249</v>
      </c>
      <c r="E314" s="2">
        <v>380297</v>
      </c>
      <c r="F314" s="3" t="s">
        <v>2248</v>
      </c>
      <c r="G314" s="2" t="s">
        <v>2250</v>
      </c>
      <c r="H314" s="8">
        <v>361.367503</v>
      </c>
      <c r="I314" s="2" t="s">
        <v>22</v>
      </c>
      <c r="J314" s="2" t="s">
        <v>26</v>
      </c>
      <c r="K314" s="2">
        <v>4</v>
      </c>
      <c r="L314" s="2" t="s">
        <v>20</v>
      </c>
      <c r="M314" s="2">
        <v>1990</v>
      </c>
      <c r="N314" s="3" t="s">
        <v>23</v>
      </c>
      <c r="O314" s="3" t="s">
        <v>2251</v>
      </c>
      <c r="P314" s="3" t="s">
        <v>2252</v>
      </c>
      <c r="Q314" s="2">
        <v>2843</v>
      </c>
    </row>
    <row r="315" spans="1:17" ht="143.25" customHeight="1" x14ac:dyDescent="0.25">
      <c r="A315" s="5" t="str">
        <f>_xll.JChemExcel.Functions.JCSYSStructure("A619945F90D75F778AC7CA22042F61A4")</f>
        <v/>
      </c>
      <c r="B315" s="3" t="s">
        <v>2253</v>
      </c>
      <c r="C315" s="3" t="s">
        <v>2254</v>
      </c>
      <c r="D315" s="2" t="s">
        <v>2256</v>
      </c>
      <c r="E315" s="2" t="s">
        <v>7491</v>
      </c>
      <c r="F315" s="3" t="s">
        <v>2255</v>
      </c>
      <c r="G315" s="2" t="s">
        <v>2257</v>
      </c>
      <c r="H315" s="8">
        <v>345.41606000000002</v>
      </c>
      <c r="I315" s="2" t="s">
        <v>22</v>
      </c>
      <c r="J315" s="2" t="s">
        <v>26</v>
      </c>
      <c r="K315" s="2">
        <v>4</v>
      </c>
      <c r="L315" s="2" t="s">
        <v>20</v>
      </c>
      <c r="M315" s="2">
        <v>1989</v>
      </c>
      <c r="N315" s="3" t="s">
        <v>2258</v>
      </c>
      <c r="O315" s="3" t="s">
        <v>2259</v>
      </c>
      <c r="P315" s="3" t="s">
        <v>2260</v>
      </c>
      <c r="Q315" s="2">
        <v>2843</v>
      </c>
    </row>
    <row r="316" spans="1:17" ht="143.25" customHeight="1" x14ac:dyDescent="0.25">
      <c r="A316" s="5" t="str">
        <f>_xll.JChemExcel.Functions.JCSYSStructure("6EFEDCBAC4F4BE8815E4A425AAB7D59C")</f>
        <v/>
      </c>
      <c r="B316" s="3" t="s">
        <v>2261</v>
      </c>
      <c r="C316" s="3" t="s">
        <v>2262</v>
      </c>
      <c r="D316" s="2" t="s">
        <v>2264</v>
      </c>
      <c r="E316" s="2" t="s">
        <v>7492</v>
      </c>
      <c r="F316" s="3" t="s">
        <v>2263</v>
      </c>
      <c r="G316" s="2" t="s">
        <v>2265</v>
      </c>
      <c r="H316" s="8">
        <v>252.26797999999999</v>
      </c>
      <c r="I316" s="2" t="s">
        <v>22</v>
      </c>
      <c r="J316" s="2" t="s">
        <v>26</v>
      </c>
      <c r="K316" s="2">
        <v>4</v>
      </c>
      <c r="L316" s="2" t="s">
        <v>20</v>
      </c>
      <c r="M316" s="2">
        <v>2000</v>
      </c>
      <c r="N316" s="3" t="s">
        <v>32</v>
      </c>
      <c r="O316" s="3" t="s">
        <v>2266</v>
      </c>
      <c r="P316" s="3" t="s">
        <v>2267</v>
      </c>
      <c r="Q316" s="2">
        <v>2843</v>
      </c>
    </row>
    <row r="317" spans="1:17" ht="143.25" customHeight="1" x14ac:dyDescent="0.25">
      <c r="A317" s="5" t="str">
        <f>_xll.JChemExcel.Functions.JCSYSStructure("3A5B34F3464AB5919F1DA61EB815AB9A")</f>
        <v/>
      </c>
      <c r="B317" s="3" t="s">
        <v>2268</v>
      </c>
      <c r="C317" s="3" t="s">
        <v>2269</v>
      </c>
      <c r="D317" s="2" t="s">
        <v>2271</v>
      </c>
      <c r="E317" s="2" t="s">
        <v>7493</v>
      </c>
      <c r="F317" s="3" t="s">
        <v>2270</v>
      </c>
      <c r="G317" s="2" t="s">
        <v>2272</v>
      </c>
      <c r="H317" s="8">
        <v>492.14015999999998</v>
      </c>
      <c r="I317" s="2" t="s">
        <v>22</v>
      </c>
      <c r="J317" s="2" t="s">
        <v>26</v>
      </c>
      <c r="K317" s="2">
        <v>4</v>
      </c>
      <c r="L317" s="2" t="s">
        <v>20</v>
      </c>
      <c r="M317" s="2">
        <v>1988</v>
      </c>
      <c r="N317" s="3" t="s">
        <v>676</v>
      </c>
      <c r="O317" s="3" t="s">
        <v>2273</v>
      </c>
      <c r="P317" s="3" t="s">
        <v>2274</v>
      </c>
      <c r="Q317" s="2">
        <v>2843</v>
      </c>
    </row>
    <row r="318" spans="1:17" ht="143.25" customHeight="1" x14ac:dyDescent="0.25">
      <c r="A318" s="5" t="str">
        <f>_xll.JChemExcel.Functions.JCSYSStructure("A08A87E69BE184B7AF93F1CCF79621A6")</f>
        <v/>
      </c>
      <c r="B318" s="3" t="s">
        <v>2275</v>
      </c>
      <c r="C318" s="3" t="s">
        <v>2276</v>
      </c>
      <c r="D318" s="2" t="s">
        <v>2278</v>
      </c>
      <c r="E318" s="2" t="s">
        <v>7494</v>
      </c>
      <c r="F318" s="3" t="s">
        <v>2277</v>
      </c>
      <c r="G318" s="2" t="s">
        <v>2279</v>
      </c>
      <c r="H318" s="8">
        <v>441.43336900000003</v>
      </c>
      <c r="I318" s="2" t="s">
        <v>22</v>
      </c>
      <c r="J318" s="2" t="s">
        <v>26</v>
      </c>
      <c r="K318" s="2">
        <v>4</v>
      </c>
      <c r="L318" s="2" t="s">
        <v>20</v>
      </c>
      <c r="M318" s="2" t="s">
        <v>124</v>
      </c>
      <c r="N318" s="3" t="s">
        <v>23</v>
      </c>
      <c r="O318" s="3" t="s">
        <v>2280</v>
      </c>
      <c r="P318" s="3" t="s">
        <v>2281</v>
      </c>
      <c r="Q318" s="2">
        <v>2843</v>
      </c>
    </row>
    <row r="319" spans="1:17" ht="143.25" customHeight="1" x14ac:dyDescent="0.25">
      <c r="A319" s="5" t="str">
        <f>_xll.JChemExcel.Functions.JCSYSStructure("2BE8E3D13990B9C20279CE2CF5EEDE5F")</f>
        <v/>
      </c>
      <c r="B319" s="3" t="s">
        <v>2282</v>
      </c>
      <c r="C319" s="3" t="s">
        <v>2283</v>
      </c>
      <c r="D319" s="2" t="s">
        <v>2285</v>
      </c>
      <c r="E319" s="2" t="s">
        <v>7495</v>
      </c>
      <c r="F319" s="3" t="s">
        <v>2284</v>
      </c>
      <c r="G319" s="2" t="s">
        <v>2286</v>
      </c>
      <c r="H319" s="8">
        <v>383.4</v>
      </c>
      <c r="I319" s="2" t="s">
        <v>22</v>
      </c>
      <c r="J319" s="2" t="s">
        <v>26</v>
      </c>
      <c r="K319" s="2">
        <v>4</v>
      </c>
      <c r="L319" s="2" t="s">
        <v>20</v>
      </c>
      <c r="M319" s="2" t="s">
        <v>124</v>
      </c>
      <c r="N319" s="3" t="s">
        <v>2287</v>
      </c>
      <c r="O319" s="3" t="s">
        <v>2288</v>
      </c>
      <c r="P319" s="3" t="s">
        <v>2289</v>
      </c>
      <c r="Q319" s="2">
        <v>2843</v>
      </c>
    </row>
    <row r="320" spans="1:17" ht="143.25" customHeight="1" x14ac:dyDescent="0.25">
      <c r="A320" s="5" t="str">
        <f>_xll.JChemExcel.Functions.JCSYSStructure("0A072C677D783B93F1C98FEABC49B410")</f>
        <v/>
      </c>
      <c r="B320" s="3" t="s">
        <v>2290</v>
      </c>
      <c r="C320" s="3" t="s">
        <v>2291</v>
      </c>
      <c r="D320" s="2" t="s">
        <v>2293</v>
      </c>
      <c r="E320" s="2" t="s">
        <v>7496</v>
      </c>
      <c r="F320" s="3" t="s">
        <v>2292</v>
      </c>
      <c r="G320" s="2" t="s">
        <v>2294</v>
      </c>
      <c r="H320" s="8">
        <v>365.8</v>
      </c>
      <c r="I320" s="2" t="s">
        <v>22</v>
      </c>
      <c r="J320" s="2" t="s">
        <v>26</v>
      </c>
      <c r="K320" s="2">
        <v>4</v>
      </c>
      <c r="L320" s="2" t="s">
        <v>20</v>
      </c>
      <c r="M320" s="2">
        <v>1992</v>
      </c>
      <c r="N320" s="3" t="s">
        <v>269</v>
      </c>
      <c r="O320" s="3" t="s">
        <v>1722</v>
      </c>
      <c r="P320" s="3" t="s">
        <v>53</v>
      </c>
      <c r="Q320" s="2">
        <v>2843</v>
      </c>
    </row>
    <row r="321" spans="1:17" ht="143.25" customHeight="1" x14ac:dyDescent="0.25">
      <c r="A321" s="5" t="str">
        <f>_xll.JChemExcel.Functions.JCSYSStructure("D83A923D8E7C1044B3229057BB8D7A97")</f>
        <v/>
      </c>
      <c r="B321" s="3" t="s">
        <v>2295</v>
      </c>
      <c r="C321" s="3" t="s">
        <v>2296</v>
      </c>
      <c r="D321" s="2" t="s">
        <v>2298</v>
      </c>
      <c r="E321" s="2" t="s">
        <v>7497</v>
      </c>
      <c r="F321" s="3" t="s">
        <v>2297</v>
      </c>
      <c r="G321" s="2" t="s">
        <v>2299</v>
      </c>
      <c r="H321" s="8">
        <v>253.3</v>
      </c>
      <c r="I321" s="2" t="s">
        <v>22</v>
      </c>
      <c r="J321" s="2" t="s">
        <v>26</v>
      </c>
      <c r="K321" s="2">
        <v>4</v>
      </c>
      <c r="L321" s="2" t="s">
        <v>20</v>
      </c>
      <c r="M321" s="2" t="s">
        <v>1488</v>
      </c>
      <c r="N321" s="3" t="s">
        <v>2300</v>
      </c>
      <c r="O321" s="3" t="s">
        <v>2301</v>
      </c>
      <c r="P321" s="3" t="s">
        <v>2302</v>
      </c>
      <c r="Q321" s="2">
        <v>2843</v>
      </c>
    </row>
    <row r="322" spans="1:17" ht="143.25" customHeight="1" x14ac:dyDescent="0.25">
      <c r="A322" s="5" t="str">
        <f>_xll.JChemExcel.Functions.JCSYSStructure("3CD2D8B0426E9F7F54BA998FFDDB9DC9")</f>
        <v/>
      </c>
      <c r="B322" s="3" t="s">
        <v>2303</v>
      </c>
      <c r="C322" s="3" t="s">
        <v>2304</v>
      </c>
      <c r="D322" s="2" t="s">
        <v>2306</v>
      </c>
      <c r="E322" s="2">
        <v>270112</v>
      </c>
      <c r="F322" s="3" t="s">
        <v>2305</v>
      </c>
      <c r="G322" s="4" t="s">
        <v>7148</v>
      </c>
      <c r="H322" s="8">
        <v>278.3</v>
      </c>
      <c r="I322" s="2" t="s">
        <v>22</v>
      </c>
      <c r="J322" s="2" t="s">
        <v>26</v>
      </c>
      <c r="K322" s="2">
        <v>5</v>
      </c>
      <c r="L322" s="2" t="s">
        <v>20</v>
      </c>
      <c r="M322" s="2">
        <v>1984</v>
      </c>
      <c r="N322" s="3" t="s">
        <v>2307</v>
      </c>
      <c r="O322" s="3" t="s">
        <v>2308</v>
      </c>
      <c r="P322" s="3" t="s">
        <v>53</v>
      </c>
      <c r="Q322" s="2">
        <v>2843</v>
      </c>
    </row>
    <row r="323" spans="1:17" ht="143.25" customHeight="1" x14ac:dyDescent="0.25">
      <c r="A323" s="5" t="str">
        <f>_xll.JChemExcel.Functions.JCSYSStructure("1B6DE9C22A1FBC79E57257F16F4C8A4C")</f>
        <v/>
      </c>
      <c r="B323" s="3" t="s">
        <v>2309</v>
      </c>
      <c r="C323" s="3" t="s">
        <v>2310</v>
      </c>
      <c r="D323" s="2" t="s">
        <v>2312</v>
      </c>
      <c r="E323" s="2" t="s">
        <v>7498</v>
      </c>
      <c r="F323" s="3" t="s">
        <v>2311</v>
      </c>
      <c r="G323" s="2" t="s">
        <v>2313</v>
      </c>
      <c r="H323" s="8">
        <v>388.5</v>
      </c>
      <c r="I323" s="2" t="s">
        <v>22</v>
      </c>
      <c r="J323" s="2" t="s">
        <v>26</v>
      </c>
      <c r="K323" s="2">
        <v>5</v>
      </c>
      <c r="L323" s="2" t="s">
        <v>20</v>
      </c>
      <c r="M323" s="2" t="s">
        <v>124</v>
      </c>
      <c r="N323" s="3" t="s">
        <v>23</v>
      </c>
      <c r="O323" s="3" t="s">
        <v>2314</v>
      </c>
      <c r="P323" s="3" t="s">
        <v>2315</v>
      </c>
      <c r="Q323" s="2">
        <v>2843</v>
      </c>
    </row>
    <row r="324" spans="1:17" ht="143.25" customHeight="1" x14ac:dyDescent="0.25">
      <c r="A324" s="5" t="str">
        <f>_xll.JChemExcel.Functions.JCSYSStructure("FA1FBD5B6C5299D6A86B642AC50E887E")</f>
        <v/>
      </c>
      <c r="B324" s="3" t="s">
        <v>2316</v>
      </c>
      <c r="C324" s="3" t="s">
        <v>2317</v>
      </c>
      <c r="D324" s="2" t="s">
        <v>2319</v>
      </c>
      <c r="E324" s="2" t="s">
        <v>7499</v>
      </c>
      <c r="F324" s="3" t="s">
        <v>2318</v>
      </c>
      <c r="G324" s="2" t="s">
        <v>2320</v>
      </c>
      <c r="H324" s="8">
        <v>517.6</v>
      </c>
      <c r="I324" s="2" t="s">
        <v>22</v>
      </c>
      <c r="J324" s="2" t="s">
        <v>26</v>
      </c>
      <c r="K324" s="2">
        <v>5</v>
      </c>
      <c r="L324" s="2" t="s">
        <v>20</v>
      </c>
      <c r="M324" s="2" t="s">
        <v>124</v>
      </c>
      <c r="N324" s="3" t="s">
        <v>2321</v>
      </c>
      <c r="O324" s="3" t="s">
        <v>2322</v>
      </c>
      <c r="P324" s="3" t="s">
        <v>2323</v>
      </c>
      <c r="Q324" s="2">
        <v>2843</v>
      </c>
    </row>
    <row r="325" spans="1:17" ht="143.25" customHeight="1" x14ac:dyDescent="0.25">
      <c r="A325" s="5" t="str">
        <f>_xll.JChemExcel.Functions.JCSYSStructure("FCF37730993C27011602E5B5F791071F")</f>
        <v/>
      </c>
      <c r="B325" s="3" t="s">
        <v>2324</v>
      </c>
      <c r="C325" s="3" t="s">
        <v>2325</v>
      </c>
      <c r="D325" s="2" t="s">
        <v>2327</v>
      </c>
      <c r="E325" s="2" t="s">
        <v>7500</v>
      </c>
      <c r="F325" s="3" t="s">
        <v>2326</v>
      </c>
      <c r="G325" s="2" t="s">
        <v>2328</v>
      </c>
      <c r="H325" s="8">
        <v>360.4</v>
      </c>
      <c r="I325" s="2" t="s">
        <v>22</v>
      </c>
      <c r="J325" s="2" t="s">
        <v>26</v>
      </c>
      <c r="K325" s="2">
        <v>5</v>
      </c>
      <c r="L325" s="2" t="s">
        <v>20</v>
      </c>
      <c r="M325" s="2">
        <v>1955</v>
      </c>
      <c r="N325" s="3" t="s">
        <v>2329</v>
      </c>
      <c r="O325" s="3" t="s">
        <v>2330</v>
      </c>
      <c r="P325" s="3" t="s">
        <v>2331</v>
      </c>
      <c r="Q325" s="2">
        <v>2843</v>
      </c>
    </row>
    <row r="326" spans="1:17" ht="143.25" customHeight="1" x14ac:dyDescent="0.25">
      <c r="A326" s="5" t="str">
        <f>_xll.JChemExcel.Functions.JCSYSStructure("FA68B201CB9FC6D4DC13218086F5DE21")</f>
        <v/>
      </c>
      <c r="B326" s="3" t="s">
        <v>2332</v>
      </c>
      <c r="C326" s="3" t="s">
        <v>2333</v>
      </c>
      <c r="D326" s="2" t="s">
        <v>2335</v>
      </c>
      <c r="E326" s="2" t="s">
        <v>7981</v>
      </c>
      <c r="F326" s="3" t="s">
        <v>2334</v>
      </c>
      <c r="G326" s="2" t="s">
        <v>2336</v>
      </c>
      <c r="H326" s="8">
        <v>314.5</v>
      </c>
      <c r="I326" s="2" t="s">
        <v>22</v>
      </c>
      <c r="J326" s="2" t="s">
        <v>26</v>
      </c>
      <c r="K326" s="2">
        <v>5</v>
      </c>
      <c r="L326" s="2" t="s">
        <v>20</v>
      </c>
      <c r="M326" s="2" t="s">
        <v>124</v>
      </c>
      <c r="N326" s="3" t="s">
        <v>2077</v>
      </c>
      <c r="O326" s="3" t="s">
        <v>2337</v>
      </c>
      <c r="P326" s="3" t="s">
        <v>2338</v>
      </c>
      <c r="Q326" s="2">
        <v>2843</v>
      </c>
    </row>
    <row r="327" spans="1:17" ht="143.25" customHeight="1" x14ac:dyDescent="0.25">
      <c r="A327" s="5" t="str">
        <f>_xll.JChemExcel.Functions.JCSYSStructure("1D43CADFA2D9EE06A2FCB36EEF8955C9")</f>
        <v/>
      </c>
      <c r="B327" s="3" t="s">
        <v>2339</v>
      </c>
      <c r="C327" s="3" t="s">
        <v>2340</v>
      </c>
      <c r="D327" s="2" t="s">
        <v>2342</v>
      </c>
      <c r="E327" s="2" t="s">
        <v>7501</v>
      </c>
      <c r="F327" s="3" t="s">
        <v>2341</v>
      </c>
      <c r="G327" s="2" t="s">
        <v>2343</v>
      </c>
      <c r="H327" s="8">
        <v>257.8</v>
      </c>
      <c r="I327" s="2" t="s">
        <v>22</v>
      </c>
      <c r="J327" s="2" t="s">
        <v>26</v>
      </c>
      <c r="K327" s="2">
        <v>5</v>
      </c>
      <c r="L327" s="2" t="s">
        <v>20</v>
      </c>
      <c r="M327" s="2">
        <v>1969</v>
      </c>
      <c r="N327" s="3" t="s">
        <v>1931</v>
      </c>
      <c r="O327" s="3" t="s">
        <v>2344</v>
      </c>
      <c r="P327" s="3" t="s">
        <v>2345</v>
      </c>
      <c r="Q327" s="2">
        <v>2843</v>
      </c>
    </row>
    <row r="328" spans="1:17" ht="143.25" customHeight="1" x14ac:dyDescent="0.25">
      <c r="A328" s="5" t="str">
        <f>_xll.JChemExcel.Functions.JCSYSStructure("4AE0D39443F73D331047CD4CA93373B2")</f>
        <v/>
      </c>
      <c r="B328" s="3" t="s">
        <v>2346</v>
      </c>
      <c r="C328" s="3" t="s">
        <v>2347</v>
      </c>
      <c r="D328" s="2" t="s">
        <v>2349</v>
      </c>
      <c r="E328" s="2" t="s">
        <v>7502</v>
      </c>
      <c r="F328" s="3" t="s">
        <v>2348</v>
      </c>
      <c r="G328" s="2" t="s">
        <v>2350</v>
      </c>
      <c r="H328" s="8">
        <v>358.4</v>
      </c>
      <c r="I328" s="2" t="s">
        <v>22</v>
      </c>
      <c r="J328" s="2" t="s">
        <v>26</v>
      </c>
      <c r="K328" s="2">
        <v>5</v>
      </c>
      <c r="L328" s="2" t="s">
        <v>20</v>
      </c>
      <c r="M328" s="2">
        <v>1955</v>
      </c>
      <c r="N328" s="3" t="s">
        <v>2351</v>
      </c>
      <c r="O328" s="3" t="s">
        <v>2352</v>
      </c>
      <c r="P328" s="3" t="s">
        <v>2353</v>
      </c>
      <c r="Q328" s="2">
        <v>2843</v>
      </c>
    </row>
    <row r="329" spans="1:17" ht="143.25" customHeight="1" x14ac:dyDescent="0.25">
      <c r="A329" s="5" t="str">
        <f>_xll.JChemExcel.Functions.JCSYSStructure("665BEB725225727C6281C2EEC5A73717")</f>
        <v/>
      </c>
      <c r="B329" s="3" t="s">
        <v>2354</v>
      </c>
      <c r="C329" s="3" t="s">
        <v>2355</v>
      </c>
      <c r="D329" s="2" t="s">
        <v>2357</v>
      </c>
      <c r="E329" s="2" t="s">
        <v>7503</v>
      </c>
      <c r="F329" s="3" t="s">
        <v>2356</v>
      </c>
      <c r="G329" s="2" t="s">
        <v>2358</v>
      </c>
      <c r="H329" s="8">
        <v>455.3</v>
      </c>
      <c r="I329" s="2" t="s">
        <v>22</v>
      </c>
      <c r="J329" s="2" t="s">
        <v>26</v>
      </c>
      <c r="K329" s="2">
        <v>5</v>
      </c>
      <c r="L329" s="2" t="s">
        <v>20</v>
      </c>
      <c r="M329" s="2">
        <v>1952</v>
      </c>
      <c r="N329" s="3" t="s">
        <v>2359</v>
      </c>
      <c r="O329" s="3" t="s">
        <v>2360</v>
      </c>
      <c r="P329" s="3" t="s">
        <v>2361</v>
      </c>
      <c r="Q329" s="2">
        <v>2843</v>
      </c>
    </row>
    <row r="330" spans="1:17" ht="143.25" customHeight="1" x14ac:dyDescent="0.25">
      <c r="A330" s="5" t="str">
        <f>_xll.JChemExcel.Functions.JCSYSStructure("DE363F01E282DD9734FD5D48F2B92E0F")</f>
        <v/>
      </c>
      <c r="B330" s="3" t="s">
        <v>2362</v>
      </c>
      <c r="C330" s="3" t="s">
        <v>2363</v>
      </c>
      <c r="D330" s="2" t="s">
        <v>2365</v>
      </c>
      <c r="E330" s="2" t="s">
        <v>7504</v>
      </c>
      <c r="F330" s="3" t="s">
        <v>2364</v>
      </c>
      <c r="G330" s="2" t="s">
        <v>2366</v>
      </c>
      <c r="H330" s="8">
        <v>312.39999999999998</v>
      </c>
      <c r="I330" s="2" t="s">
        <v>22</v>
      </c>
      <c r="J330" s="2" t="s">
        <v>26</v>
      </c>
      <c r="K330" s="2">
        <v>5</v>
      </c>
      <c r="L330" s="2" t="s">
        <v>20</v>
      </c>
      <c r="M330" s="2">
        <v>1982</v>
      </c>
      <c r="N330" s="3" t="s">
        <v>2121</v>
      </c>
      <c r="O330" s="3" t="s">
        <v>2367</v>
      </c>
      <c r="P330" s="3" t="s">
        <v>2368</v>
      </c>
      <c r="Q330" s="2">
        <v>2843</v>
      </c>
    </row>
    <row r="331" spans="1:17" ht="143.25" customHeight="1" x14ac:dyDescent="0.25">
      <c r="A331" s="5" t="str">
        <f>_xll.JChemExcel.Functions.JCSYSStructure("F9232C8400F9A5C6EF94B5EB8A23D284")</f>
        <v/>
      </c>
      <c r="B331" s="3" t="s">
        <v>2369</v>
      </c>
      <c r="C331" s="3" t="s">
        <v>2370</v>
      </c>
      <c r="D331" s="2" t="s">
        <v>2372</v>
      </c>
      <c r="E331" s="2" t="s">
        <v>7505</v>
      </c>
      <c r="F331" s="3" t="s">
        <v>2371</v>
      </c>
      <c r="G331" s="2" t="s">
        <v>2373</v>
      </c>
      <c r="H331" s="8">
        <v>475</v>
      </c>
      <c r="I331" s="2" t="s">
        <v>22</v>
      </c>
      <c r="J331" s="2" t="s">
        <v>26</v>
      </c>
      <c r="K331" s="2">
        <v>5</v>
      </c>
      <c r="L331" s="2" t="s">
        <v>20</v>
      </c>
      <c r="M331" s="2">
        <v>1991</v>
      </c>
      <c r="N331" s="3" t="s">
        <v>183</v>
      </c>
      <c r="O331" s="3" t="s">
        <v>2374</v>
      </c>
      <c r="P331" s="3" t="s">
        <v>2375</v>
      </c>
      <c r="Q331" s="2">
        <v>2843</v>
      </c>
    </row>
    <row r="332" spans="1:17" ht="143.25" customHeight="1" x14ac:dyDescent="0.25">
      <c r="A332" s="5" t="str">
        <f>_xll.JChemExcel.Functions.JCSYSStructure("6E92E159395470E51B96E6A7A620F171")</f>
        <v/>
      </c>
      <c r="B332" s="3" t="s">
        <v>2376</v>
      </c>
      <c r="C332" s="3" t="s">
        <v>2377</v>
      </c>
      <c r="D332" s="2" t="s">
        <v>2379</v>
      </c>
      <c r="E332" s="2" t="s">
        <v>7506</v>
      </c>
      <c r="F332" s="3" t="s">
        <v>2378</v>
      </c>
      <c r="G332" s="2" t="s">
        <v>2380</v>
      </c>
      <c r="H332" s="8">
        <v>500.5</v>
      </c>
      <c r="I332" s="2" t="s">
        <v>22</v>
      </c>
      <c r="J332" s="2" t="s">
        <v>26</v>
      </c>
      <c r="K332" s="2">
        <v>5</v>
      </c>
      <c r="L332" s="2" t="s">
        <v>20</v>
      </c>
      <c r="M332" s="2">
        <v>2006</v>
      </c>
      <c r="N332" s="3" t="s">
        <v>2381</v>
      </c>
      <c r="O332" s="3" t="s">
        <v>2382</v>
      </c>
      <c r="P332" s="3" t="s">
        <v>2383</v>
      </c>
      <c r="Q332" s="2">
        <v>2843</v>
      </c>
    </row>
    <row r="333" spans="1:17" ht="143.25" customHeight="1" x14ac:dyDescent="0.25">
      <c r="A333" s="5" t="str">
        <f>_xll.JChemExcel.Functions.JCSYSStructure("690BBC8B3AAFC082B49872EE4184FFCC")</f>
        <v/>
      </c>
      <c r="B333" s="3" t="s">
        <v>2384</v>
      </c>
      <c r="C333" s="3" t="s">
        <v>2385</v>
      </c>
      <c r="D333" s="2" t="s">
        <v>2387</v>
      </c>
      <c r="E333" s="2" t="s">
        <v>7507</v>
      </c>
      <c r="F333" s="3" t="s">
        <v>2386</v>
      </c>
      <c r="G333" s="2" t="s">
        <v>2388</v>
      </c>
      <c r="H333" s="8">
        <v>416.5</v>
      </c>
      <c r="I333" s="2" t="s">
        <v>22</v>
      </c>
      <c r="J333" s="2" t="s">
        <v>26</v>
      </c>
      <c r="K333" s="2">
        <v>5</v>
      </c>
      <c r="L333" s="2" t="s">
        <v>20</v>
      </c>
      <c r="M333" s="2">
        <v>1991</v>
      </c>
      <c r="N333" s="3" t="s">
        <v>183</v>
      </c>
      <c r="O333" s="3" t="s">
        <v>2389</v>
      </c>
      <c r="P333" s="3" t="s">
        <v>2390</v>
      </c>
      <c r="Q333" s="2">
        <v>2843</v>
      </c>
    </row>
    <row r="334" spans="1:17" ht="143.25" customHeight="1" x14ac:dyDescent="0.25">
      <c r="A334" s="5" t="str">
        <f>_xll.JChemExcel.Functions.JCSYSStructure("59F4157042F28B13192250814BEA5705")</f>
        <v/>
      </c>
      <c r="B334" s="3" t="s">
        <v>2391</v>
      </c>
      <c r="C334" s="3" t="s">
        <v>2392</v>
      </c>
      <c r="D334" s="2" t="s">
        <v>2394</v>
      </c>
      <c r="E334" s="2" t="s">
        <v>7508</v>
      </c>
      <c r="F334" s="3" t="s">
        <v>2393</v>
      </c>
      <c r="G334" s="2" t="s">
        <v>2395</v>
      </c>
      <c r="H334" s="8">
        <v>244.2</v>
      </c>
      <c r="I334" s="2" t="s">
        <v>22</v>
      </c>
      <c r="J334" s="2" t="s">
        <v>26</v>
      </c>
      <c r="K334" s="2">
        <v>5</v>
      </c>
      <c r="L334" s="2" t="s">
        <v>20</v>
      </c>
      <c r="M334" s="2">
        <v>1985</v>
      </c>
      <c r="N334" s="3" t="s">
        <v>2396</v>
      </c>
      <c r="O334" s="3" t="s">
        <v>2397</v>
      </c>
      <c r="P334" s="3" t="s">
        <v>2398</v>
      </c>
      <c r="Q334" s="2">
        <v>2843</v>
      </c>
    </row>
    <row r="335" spans="1:17" ht="143.25" customHeight="1" x14ac:dyDescent="0.25">
      <c r="A335" s="5" t="str">
        <f>_xll.JChemExcel.Functions.JCSYSStructure("0C752302C9363F484CA7064A20B04BAA")</f>
        <v/>
      </c>
      <c r="B335" s="3" t="s">
        <v>2399</v>
      </c>
      <c r="C335" s="3" t="s">
        <v>2400</v>
      </c>
      <c r="D335" s="2" t="s">
        <v>2402</v>
      </c>
      <c r="E335" s="2" t="s">
        <v>7509</v>
      </c>
      <c r="F335" s="3" t="s">
        <v>2401</v>
      </c>
      <c r="G335" s="2" t="s">
        <v>2403</v>
      </c>
      <c r="H335" s="8">
        <v>663.9</v>
      </c>
      <c r="I335" s="2" t="s">
        <v>22</v>
      </c>
      <c r="J335" s="2" t="s">
        <v>26</v>
      </c>
      <c r="K335" s="2">
        <v>5</v>
      </c>
      <c r="L335" s="2" t="s">
        <v>20</v>
      </c>
      <c r="M335" s="2">
        <v>1997</v>
      </c>
      <c r="N335" s="3" t="s">
        <v>207</v>
      </c>
      <c r="O335" s="3" t="s">
        <v>2404</v>
      </c>
      <c r="P335" s="3" t="s">
        <v>53</v>
      </c>
      <c r="Q335" s="2">
        <v>2843</v>
      </c>
    </row>
    <row r="336" spans="1:17" ht="143.25" customHeight="1" x14ac:dyDescent="0.25">
      <c r="A336" s="5" t="str">
        <f>_xll.JChemExcel.Functions.JCSYSStructure("1A02CFD2C24C2ABD2C5101FB7EE8CBBD")</f>
        <v/>
      </c>
      <c r="B336" s="3" t="s">
        <v>2405</v>
      </c>
      <c r="C336" s="3" t="s">
        <v>2406</v>
      </c>
      <c r="D336" s="2" t="s">
        <v>2408</v>
      </c>
      <c r="E336" s="2" t="s">
        <v>7510</v>
      </c>
      <c r="F336" s="3" t="s">
        <v>2407</v>
      </c>
      <c r="G336" s="2" t="s">
        <v>2409</v>
      </c>
      <c r="H336" s="8">
        <v>215.8</v>
      </c>
      <c r="I336" s="2" t="s">
        <v>22</v>
      </c>
      <c r="J336" s="2" t="s">
        <v>26</v>
      </c>
      <c r="K336" s="2">
        <v>5</v>
      </c>
      <c r="L336" s="2" t="s">
        <v>20</v>
      </c>
      <c r="M336" s="2">
        <v>1993</v>
      </c>
      <c r="N336" s="3" t="s">
        <v>207</v>
      </c>
      <c r="O336" s="3" t="s">
        <v>2410</v>
      </c>
      <c r="P336" s="3" t="s">
        <v>2411</v>
      </c>
      <c r="Q336" s="2">
        <v>2843</v>
      </c>
    </row>
    <row r="337" spans="1:17" ht="143.25" customHeight="1" x14ac:dyDescent="0.25">
      <c r="A337" s="5" t="str">
        <f>_xll.JChemExcel.Functions.JCSYSStructure("F64B251E95A5C0C41AC87DB94979759F")</f>
        <v/>
      </c>
      <c r="B337" s="3" t="s">
        <v>2412</v>
      </c>
      <c r="C337" s="3" t="s">
        <v>2413</v>
      </c>
      <c r="D337" s="2" t="s">
        <v>2415</v>
      </c>
      <c r="E337" s="2" t="s">
        <v>7511</v>
      </c>
      <c r="F337" s="3" t="s">
        <v>2414</v>
      </c>
      <c r="G337" s="2" t="s">
        <v>2416</v>
      </c>
      <c r="H337" s="8">
        <v>295.8</v>
      </c>
      <c r="I337" s="2" t="s">
        <v>22</v>
      </c>
      <c r="J337" s="2" t="s">
        <v>26</v>
      </c>
      <c r="K337" s="2">
        <v>5</v>
      </c>
      <c r="L337" s="2" t="s">
        <v>20</v>
      </c>
      <c r="M337" s="2">
        <v>1967</v>
      </c>
      <c r="N337" s="3" t="s">
        <v>2417</v>
      </c>
      <c r="O337" s="3" t="s">
        <v>2418</v>
      </c>
      <c r="P337" s="3" t="s">
        <v>53</v>
      </c>
      <c r="Q337" s="2">
        <v>2843</v>
      </c>
    </row>
    <row r="338" spans="1:17" ht="143.25" customHeight="1" x14ac:dyDescent="0.25">
      <c r="A338" s="5" t="str">
        <f>_xll.JChemExcel.Functions.JCSYSStructure("B513BE207FFC84F22FE72467FABEF695")</f>
        <v/>
      </c>
      <c r="B338" s="3" t="s">
        <v>2419</v>
      </c>
      <c r="C338" s="3" t="s">
        <v>2420</v>
      </c>
      <c r="D338" s="2" t="s">
        <v>2421</v>
      </c>
      <c r="E338" s="2">
        <v>550094</v>
      </c>
      <c r="F338" s="3" t="s">
        <v>7982</v>
      </c>
      <c r="G338" s="2" t="s">
        <v>2422</v>
      </c>
      <c r="H338" s="8">
        <v>384.3</v>
      </c>
      <c r="I338" s="2" t="s">
        <v>22</v>
      </c>
      <c r="J338" s="2" t="s">
        <v>26</v>
      </c>
      <c r="K338" s="2">
        <v>5</v>
      </c>
      <c r="L338" s="2" t="s">
        <v>20</v>
      </c>
      <c r="M338" s="2" t="s">
        <v>124</v>
      </c>
      <c r="N338" s="3" t="s">
        <v>2423</v>
      </c>
      <c r="O338" s="3" t="s">
        <v>2424</v>
      </c>
      <c r="P338" s="3" t="s">
        <v>2425</v>
      </c>
      <c r="Q338" s="2">
        <v>2843</v>
      </c>
    </row>
    <row r="339" spans="1:17" ht="143.25" customHeight="1" x14ac:dyDescent="0.25">
      <c r="A339" s="5" t="str">
        <f>_xll.JChemExcel.Functions.JCSYSStructure("829798F2FBA340FA17C8924D2C396962")</f>
        <v/>
      </c>
      <c r="B339" s="3" t="s">
        <v>2426</v>
      </c>
      <c r="C339" s="3" t="s">
        <v>2427</v>
      </c>
      <c r="D339" s="2" t="s">
        <v>2429</v>
      </c>
      <c r="E339" s="2" t="s">
        <v>7512</v>
      </c>
      <c r="F339" s="3" t="s">
        <v>2428</v>
      </c>
      <c r="G339" s="2" t="s">
        <v>2430</v>
      </c>
      <c r="H339" s="8">
        <v>416.6</v>
      </c>
      <c r="I339" s="2" t="s">
        <v>22</v>
      </c>
      <c r="J339" s="2" t="s">
        <v>26</v>
      </c>
      <c r="K339" s="2">
        <v>5</v>
      </c>
      <c r="L339" s="2" t="s">
        <v>20</v>
      </c>
      <c r="M339" s="2">
        <v>1960</v>
      </c>
      <c r="N339" s="3" t="s">
        <v>819</v>
      </c>
      <c r="O339" s="3" t="s">
        <v>2431</v>
      </c>
      <c r="P339" s="3" t="s">
        <v>2432</v>
      </c>
      <c r="Q339" s="2">
        <v>2843</v>
      </c>
    </row>
    <row r="340" spans="1:17" ht="143.25" customHeight="1" x14ac:dyDescent="0.25">
      <c r="A340" s="5" t="str">
        <f>_xll.JChemExcel.Functions.JCSYSStructure("6153CAB12DE2E7C2E0558E6B56B62B18")</f>
        <v/>
      </c>
      <c r="B340" s="3" t="s">
        <v>2433</v>
      </c>
      <c r="C340" s="3" t="s">
        <v>2434</v>
      </c>
      <c r="D340" s="2" t="s">
        <v>2435</v>
      </c>
      <c r="E340" s="2">
        <v>380277</v>
      </c>
      <c r="F340" s="3" t="s">
        <v>7983</v>
      </c>
      <c r="G340" s="2" t="s">
        <v>2436</v>
      </c>
      <c r="H340" s="8">
        <v>1457.4</v>
      </c>
      <c r="I340" s="2" t="s">
        <v>22</v>
      </c>
      <c r="J340" s="2" t="s">
        <v>1013</v>
      </c>
      <c r="K340" s="2">
        <v>5</v>
      </c>
      <c r="L340" s="2" t="s">
        <v>20</v>
      </c>
      <c r="M340" s="2">
        <v>1946</v>
      </c>
      <c r="N340" s="3" t="s">
        <v>2437</v>
      </c>
      <c r="O340" s="3" t="s">
        <v>2438</v>
      </c>
      <c r="P340" s="3" t="s">
        <v>2439</v>
      </c>
      <c r="Q340" s="2">
        <v>2843</v>
      </c>
    </row>
    <row r="341" spans="1:17" ht="143.25" customHeight="1" x14ac:dyDescent="0.25">
      <c r="A341" s="5" t="str">
        <f>_xll.JChemExcel.Functions.JCSYSStructure("AA9D70A1220F3E9B652878110545F6D5")</f>
        <v/>
      </c>
      <c r="B341" s="3" t="s">
        <v>2440</v>
      </c>
      <c r="C341" s="3" t="s">
        <v>2441</v>
      </c>
      <c r="D341" s="2" t="s">
        <v>2443</v>
      </c>
      <c r="E341" s="2" t="s">
        <v>7513</v>
      </c>
      <c r="F341" s="3" t="s">
        <v>2442</v>
      </c>
      <c r="G341" s="2" t="s">
        <v>2444</v>
      </c>
      <c r="H341" s="8">
        <v>250.3</v>
      </c>
      <c r="I341" s="2" t="s">
        <v>22</v>
      </c>
      <c r="J341" s="2" t="s">
        <v>26</v>
      </c>
      <c r="K341" s="2">
        <v>5</v>
      </c>
      <c r="L341" s="2" t="s">
        <v>20</v>
      </c>
      <c r="M341" s="2">
        <v>1941</v>
      </c>
      <c r="N341" s="3" t="s">
        <v>2181</v>
      </c>
      <c r="O341" s="3" t="s">
        <v>2445</v>
      </c>
      <c r="P341" s="3" t="s">
        <v>2446</v>
      </c>
      <c r="Q341" s="2">
        <v>2843</v>
      </c>
    </row>
    <row r="342" spans="1:17" ht="143.25" customHeight="1" x14ac:dyDescent="0.25">
      <c r="A342" s="5" t="str">
        <f>_xll.JChemExcel.Functions.JCSYSStructure("EF6DF63892550B106E5020120C797396")</f>
        <v/>
      </c>
      <c r="B342" s="3" t="s">
        <v>2447</v>
      </c>
      <c r="C342" s="3" t="s">
        <v>2448</v>
      </c>
      <c r="D342" s="2" t="s">
        <v>2450</v>
      </c>
      <c r="E342" s="2" t="s">
        <v>7514</v>
      </c>
      <c r="F342" s="3" t="s">
        <v>2449</v>
      </c>
      <c r="G342" s="2" t="s">
        <v>2451</v>
      </c>
      <c r="H342" s="8">
        <v>398.4</v>
      </c>
      <c r="I342" s="2" t="s">
        <v>22</v>
      </c>
      <c r="J342" s="2" t="s">
        <v>26</v>
      </c>
      <c r="K342" s="2">
        <v>5</v>
      </c>
      <c r="L342" s="2" t="s">
        <v>20</v>
      </c>
      <c r="M342" s="2">
        <v>1950</v>
      </c>
      <c r="N342" s="3" t="s">
        <v>2452</v>
      </c>
      <c r="O342" s="3" t="s">
        <v>2453</v>
      </c>
      <c r="P342" s="3" t="s">
        <v>2454</v>
      </c>
      <c r="Q342" s="2">
        <v>2843</v>
      </c>
    </row>
    <row r="343" spans="1:17" ht="143.25" customHeight="1" x14ac:dyDescent="0.25">
      <c r="A343" s="5" t="str">
        <f>_xll.JChemExcel.Functions.JCSYSStructure("E7D65A511605F7F21397AD8FA79FFA0E")</f>
        <v/>
      </c>
      <c r="B343" s="3" t="s">
        <v>2455</v>
      </c>
      <c r="C343" s="3" t="s">
        <v>2456</v>
      </c>
      <c r="D343" s="2" t="s">
        <v>2458</v>
      </c>
      <c r="E343" s="2" t="s">
        <v>7515</v>
      </c>
      <c r="F343" s="3" t="s">
        <v>2457</v>
      </c>
      <c r="G343" s="2" t="s">
        <v>2459</v>
      </c>
      <c r="H343" s="8">
        <v>445</v>
      </c>
      <c r="I343" s="2" t="s">
        <v>22</v>
      </c>
      <c r="J343" s="2" t="s">
        <v>26</v>
      </c>
      <c r="K343" s="2">
        <v>5</v>
      </c>
      <c r="L343" s="2" t="s">
        <v>20</v>
      </c>
      <c r="M343" s="2">
        <v>1997</v>
      </c>
      <c r="N343" s="3" t="s">
        <v>2460</v>
      </c>
      <c r="O343" s="3" t="s">
        <v>2461</v>
      </c>
      <c r="P343" s="3" t="s">
        <v>2462</v>
      </c>
      <c r="Q343" s="2">
        <v>2843</v>
      </c>
    </row>
    <row r="344" spans="1:17" ht="143.25" customHeight="1" x14ac:dyDescent="0.25">
      <c r="A344" s="5" t="str">
        <f>_xll.JChemExcel.Functions.JCSYSStructure("A65A7E8DD74FA3A2F488C0BBB030142D")</f>
        <v/>
      </c>
      <c r="B344" s="3" t="s">
        <v>2463</v>
      </c>
      <c r="C344" s="3" t="s">
        <v>2464</v>
      </c>
      <c r="D344" s="2" t="s">
        <v>2466</v>
      </c>
      <c r="E344" s="2" t="s">
        <v>7516</v>
      </c>
      <c r="F344" s="3" t="s">
        <v>2465</v>
      </c>
      <c r="G344" s="2" t="s">
        <v>2467</v>
      </c>
      <c r="H344" s="8">
        <v>514.6</v>
      </c>
      <c r="I344" s="2" t="s">
        <v>22</v>
      </c>
      <c r="J344" s="2" t="s">
        <v>26</v>
      </c>
      <c r="K344" s="2">
        <v>5</v>
      </c>
      <c r="L344" s="2" t="s">
        <v>20</v>
      </c>
      <c r="M344" s="2">
        <v>1998</v>
      </c>
      <c r="N344" s="3" t="s">
        <v>183</v>
      </c>
      <c r="O344" s="3" t="s">
        <v>2468</v>
      </c>
      <c r="P344" s="3" t="s">
        <v>2469</v>
      </c>
      <c r="Q344" s="2">
        <v>2843</v>
      </c>
    </row>
    <row r="345" spans="1:17" ht="143.25" customHeight="1" x14ac:dyDescent="0.25">
      <c r="A345" s="5" t="str">
        <f>_xll.JChemExcel.Functions.JCSYSStructure("8A2142B93FB17BA726256FF5AA0F3959")</f>
        <v/>
      </c>
      <c r="B345" s="3" t="s">
        <v>2470</v>
      </c>
      <c r="C345" s="3" t="s">
        <v>2471</v>
      </c>
      <c r="D345" s="2" t="s">
        <v>2473</v>
      </c>
      <c r="E345" s="2" t="s">
        <v>7517</v>
      </c>
      <c r="F345" s="3" t="s">
        <v>2472</v>
      </c>
      <c r="G345" s="2" t="s">
        <v>2474</v>
      </c>
      <c r="H345" s="8">
        <v>423.9</v>
      </c>
      <c r="I345" s="2" t="s">
        <v>22</v>
      </c>
      <c r="J345" s="2" t="s">
        <v>26</v>
      </c>
      <c r="K345" s="2">
        <v>5</v>
      </c>
      <c r="L345" s="2" t="s">
        <v>20</v>
      </c>
      <c r="M345" s="2">
        <v>1998</v>
      </c>
      <c r="N345" s="3" t="s">
        <v>2475</v>
      </c>
      <c r="O345" s="3" t="s">
        <v>2476</v>
      </c>
      <c r="P345" s="3" t="s">
        <v>2477</v>
      </c>
      <c r="Q345" s="2">
        <v>2843</v>
      </c>
    </row>
    <row r="346" spans="1:17" ht="143.25" customHeight="1" x14ac:dyDescent="0.25">
      <c r="A346" s="5" t="str">
        <f>_xll.JChemExcel.Functions.JCSYSStructure("B0094978B37BC69898DB570685960CC5")</f>
        <v/>
      </c>
      <c r="B346" s="3" t="s">
        <v>2478</v>
      </c>
      <c r="C346" s="3" t="s">
        <v>2479</v>
      </c>
      <c r="D346" s="2" t="s">
        <v>2481</v>
      </c>
      <c r="E346" s="2" t="s">
        <v>7518</v>
      </c>
      <c r="F346" s="3" t="s">
        <v>2480</v>
      </c>
      <c r="G346" s="2" t="s">
        <v>2482</v>
      </c>
      <c r="H346" s="8">
        <v>444.4</v>
      </c>
      <c r="I346" s="2" t="s">
        <v>22</v>
      </c>
      <c r="J346" s="2" t="s">
        <v>26</v>
      </c>
      <c r="K346" s="2">
        <v>5</v>
      </c>
      <c r="L346" s="2" t="s">
        <v>20</v>
      </c>
      <c r="M346" s="2" t="s">
        <v>1808</v>
      </c>
      <c r="N346" s="3" t="s">
        <v>2483</v>
      </c>
      <c r="O346" s="3" t="s">
        <v>2484</v>
      </c>
      <c r="P346" s="3" t="s">
        <v>2485</v>
      </c>
      <c r="Q346" s="2">
        <v>2843</v>
      </c>
    </row>
    <row r="347" spans="1:17" ht="143.25" customHeight="1" x14ac:dyDescent="0.25">
      <c r="A347" s="5" t="str">
        <f>_xll.JChemExcel.Functions.JCSYSStructure("644FCC49E7D242A54FEC6C69A1109889")</f>
        <v/>
      </c>
      <c r="B347" s="3" t="s">
        <v>2486</v>
      </c>
      <c r="C347" s="3" t="s">
        <v>2487</v>
      </c>
      <c r="D347" s="2" t="s">
        <v>2489</v>
      </c>
      <c r="E347" s="2">
        <v>420044</v>
      </c>
      <c r="F347" s="3" t="s">
        <v>2488</v>
      </c>
      <c r="G347" s="2" t="s">
        <v>2490</v>
      </c>
      <c r="H347" s="8">
        <v>194.2</v>
      </c>
      <c r="I347" s="2" t="s">
        <v>22</v>
      </c>
      <c r="J347" s="2" t="s">
        <v>26</v>
      </c>
      <c r="K347" s="2">
        <v>5</v>
      </c>
      <c r="L347" s="2" t="s">
        <v>20</v>
      </c>
      <c r="M347" s="2">
        <v>1999</v>
      </c>
      <c r="N347" s="3" t="s">
        <v>1684</v>
      </c>
      <c r="O347" s="3" t="s">
        <v>2491</v>
      </c>
      <c r="P347" s="3" t="s">
        <v>2492</v>
      </c>
      <c r="Q347" s="2">
        <v>2843</v>
      </c>
    </row>
    <row r="348" spans="1:17" ht="143.25" customHeight="1" x14ac:dyDescent="0.25">
      <c r="A348" s="5" t="str">
        <f>_xll.JChemExcel.Functions.JCSYSStructure("E5A5536761E487D19F1BC0734A71D63E")</f>
        <v/>
      </c>
      <c r="B348" s="3" t="s">
        <v>2493</v>
      </c>
      <c r="C348" s="3" t="s">
        <v>2494</v>
      </c>
      <c r="D348" s="2" t="s">
        <v>2496</v>
      </c>
      <c r="E348" s="2" t="s">
        <v>7519</v>
      </c>
      <c r="F348" s="3" t="s">
        <v>2495</v>
      </c>
      <c r="G348" s="2" t="s">
        <v>2497</v>
      </c>
      <c r="H348" s="8">
        <v>247.3</v>
      </c>
      <c r="I348" s="2" t="s">
        <v>22</v>
      </c>
      <c r="J348" s="2" t="s">
        <v>26</v>
      </c>
      <c r="K348" s="2">
        <v>5</v>
      </c>
      <c r="L348" s="2" t="s">
        <v>20</v>
      </c>
      <c r="M348" s="2">
        <v>2004</v>
      </c>
      <c r="N348" s="3" t="s">
        <v>2498</v>
      </c>
      <c r="O348" s="3" t="s">
        <v>2499</v>
      </c>
      <c r="P348" s="3" t="s">
        <v>2500</v>
      </c>
      <c r="Q348" s="2">
        <v>2843</v>
      </c>
    </row>
    <row r="349" spans="1:17" ht="143.25" customHeight="1" x14ac:dyDescent="0.25">
      <c r="A349" s="5" t="str">
        <f>_xll.JChemExcel.Functions.JCSYSStructure("682422881F94288B9C13847948EB1A24")</f>
        <v/>
      </c>
      <c r="B349" s="3" t="s">
        <v>2501</v>
      </c>
      <c r="C349" s="3" t="s">
        <v>2502</v>
      </c>
      <c r="D349" s="2" t="s">
        <v>2504</v>
      </c>
      <c r="E349" s="2">
        <v>380018</v>
      </c>
      <c r="F349" s="3" t="s">
        <v>2503</v>
      </c>
      <c r="G349" s="2" t="s">
        <v>2505</v>
      </c>
      <c r="H349" s="8">
        <v>467.5</v>
      </c>
      <c r="I349" s="2" t="s">
        <v>22</v>
      </c>
      <c r="J349" s="2" t="s">
        <v>26</v>
      </c>
      <c r="K349" s="2">
        <v>5</v>
      </c>
      <c r="L349" s="2" t="s">
        <v>20</v>
      </c>
      <c r="M349" s="2">
        <v>1975</v>
      </c>
      <c r="N349" s="3" t="s">
        <v>23</v>
      </c>
      <c r="O349" s="3" t="s">
        <v>2506</v>
      </c>
      <c r="P349" s="3" t="s">
        <v>2507</v>
      </c>
      <c r="Q349" s="2">
        <v>2843</v>
      </c>
    </row>
    <row r="350" spans="1:17" ht="143.25" customHeight="1" x14ac:dyDescent="0.25">
      <c r="A350" s="5" t="str">
        <f>_xll.JChemExcel.Functions.JCSYSStructure("1D6A8BEAA673336CCCE095DBF0BFF514")</f>
        <v/>
      </c>
      <c r="B350" s="3" t="s">
        <v>2508</v>
      </c>
      <c r="C350" s="3" t="s">
        <v>2420</v>
      </c>
      <c r="D350" s="2" t="s">
        <v>2509</v>
      </c>
      <c r="E350" s="2">
        <v>350133</v>
      </c>
      <c r="F350" s="3" t="s">
        <v>7984</v>
      </c>
      <c r="G350" s="2" t="s">
        <v>2510</v>
      </c>
      <c r="H350" s="8">
        <v>457.9</v>
      </c>
      <c r="I350" s="2" t="s">
        <v>22</v>
      </c>
      <c r="J350" s="2" t="s">
        <v>26</v>
      </c>
      <c r="K350" s="2">
        <v>5</v>
      </c>
      <c r="L350" s="2" t="s">
        <v>20</v>
      </c>
      <c r="M350" s="2">
        <v>1996</v>
      </c>
      <c r="N350" s="3" t="s">
        <v>2511</v>
      </c>
      <c r="O350" s="3" t="s">
        <v>2512</v>
      </c>
      <c r="P350" s="3" t="s">
        <v>2513</v>
      </c>
      <c r="Q350" s="2">
        <v>2843</v>
      </c>
    </row>
    <row r="351" spans="1:17" ht="143.25" customHeight="1" x14ac:dyDescent="0.25">
      <c r="A351" s="5" t="str">
        <f>_xll.JChemExcel.Functions.JCSYSStructure("5F8C53B2CC8814F90CAD7F0CA289E3AC")</f>
        <v/>
      </c>
      <c r="B351" s="3" t="s">
        <v>2514</v>
      </c>
      <c r="C351" s="3" t="s">
        <v>2515</v>
      </c>
      <c r="D351" s="2" t="s">
        <v>2517</v>
      </c>
      <c r="E351" s="2" t="s">
        <v>7520</v>
      </c>
      <c r="F351" s="3" t="s">
        <v>2516</v>
      </c>
      <c r="G351" s="2" t="s">
        <v>2518</v>
      </c>
      <c r="H351" s="8">
        <v>406</v>
      </c>
      <c r="I351" s="2" t="s">
        <v>22</v>
      </c>
      <c r="J351" s="2" t="s">
        <v>26</v>
      </c>
      <c r="K351" s="2">
        <v>5</v>
      </c>
      <c r="L351" s="2" t="s">
        <v>20</v>
      </c>
      <c r="M351" s="2" t="s">
        <v>124</v>
      </c>
      <c r="N351" s="3" t="s">
        <v>2519</v>
      </c>
      <c r="O351" s="3" t="s">
        <v>2520</v>
      </c>
      <c r="P351" s="3" t="s">
        <v>2521</v>
      </c>
      <c r="Q351" s="2">
        <v>2843</v>
      </c>
    </row>
    <row r="352" spans="1:17" ht="143.25" customHeight="1" x14ac:dyDescent="0.25">
      <c r="A352" s="5" t="str">
        <f>_xll.JChemExcel.Functions.JCSYSStructure("A3C931496EA339B42D6BC56238B41823")</f>
        <v/>
      </c>
      <c r="B352" s="3" t="s">
        <v>2522</v>
      </c>
      <c r="C352" s="3" t="s">
        <v>2523</v>
      </c>
      <c r="D352" s="2" t="s">
        <v>2525</v>
      </c>
      <c r="E352" s="2" t="s">
        <v>7521</v>
      </c>
      <c r="F352" s="3" t="s">
        <v>2524</v>
      </c>
      <c r="G352" s="2" t="s">
        <v>2526</v>
      </c>
      <c r="H352" s="8">
        <v>315.3</v>
      </c>
      <c r="I352" s="2" t="s">
        <v>22</v>
      </c>
      <c r="J352" s="2" t="s">
        <v>26</v>
      </c>
      <c r="K352" s="2">
        <v>5</v>
      </c>
      <c r="L352" s="2" t="s">
        <v>20</v>
      </c>
      <c r="M352" s="2">
        <v>1976</v>
      </c>
      <c r="N352" s="3" t="s">
        <v>1041</v>
      </c>
      <c r="O352" s="3" t="s">
        <v>2527</v>
      </c>
      <c r="P352" s="3" t="s">
        <v>2528</v>
      </c>
      <c r="Q352" s="2">
        <v>2843</v>
      </c>
    </row>
    <row r="353" spans="1:17" ht="143.25" customHeight="1" x14ac:dyDescent="0.25">
      <c r="A353" s="5" t="str">
        <f>_xll.JChemExcel.Functions.JCSYSStructure("732036BDD2F66AD23ABAFA646AFA83D3")</f>
        <v/>
      </c>
      <c r="B353" s="3" t="s">
        <v>2529</v>
      </c>
      <c r="C353" s="3" t="s">
        <v>2530</v>
      </c>
      <c r="D353" s="2" t="s">
        <v>2532</v>
      </c>
      <c r="E353" s="2" t="s">
        <v>7522</v>
      </c>
      <c r="F353" s="3" t="s">
        <v>2531</v>
      </c>
      <c r="G353" s="2" t="s">
        <v>2533</v>
      </c>
      <c r="H353" s="8">
        <v>365.4</v>
      </c>
      <c r="I353" s="2" t="s">
        <v>22</v>
      </c>
      <c r="J353" s="2" t="s">
        <v>26</v>
      </c>
      <c r="K353" s="2">
        <v>5</v>
      </c>
      <c r="L353" s="2" t="s">
        <v>20</v>
      </c>
      <c r="M353" s="2">
        <v>1974</v>
      </c>
      <c r="N353" s="3" t="s">
        <v>23</v>
      </c>
      <c r="O353" s="3" t="s">
        <v>2534</v>
      </c>
      <c r="P353" s="3" t="s">
        <v>2535</v>
      </c>
      <c r="Q353" s="2">
        <v>2843</v>
      </c>
    </row>
    <row r="354" spans="1:17" ht="143.25" customHeight="1" x14ac:dyDescent="0.25">
      <c r="A354" s="5" t="str">
        <f>_xll.JChemExcel.Functions.JCSYSStructure("306BA1F5F7C135FACE51D5C6599CD37D")</f>
        <v/>
      </c>
      <c r="B354" s="3" t="s">
        <v>2536</v>
      </c>
      <c r="C354" s="3" t="s">
        <v>2537</v>
      </c>
      <c r="D354" s="2" t="s">
        <v>2539</v>
      </c>
      <c r="E354" s="2" t="s">
        <v>7523</v>
      </c>
      <c r="F354" s="3" t="s">
        <v>2538</v>
      </c>
      <c r="G354" s="2" t="s">
        <v>2540</v>
      </c>
      <c r="H354" s="8">
        <v>299.8</v>
      </c>
      <c r="I354" s="2" t="s">
        <v>22</v>
      </c>
      <c r="J354" s="2" t="s">
        <v>26</v>
      </c>
      <c r="K354" s="2">
        <v>5</v>
      </c>
      <c r="L354" s="2" t="s">
        <v>20</v>
      </c>
      <c r="M354" s="2">
        <v>1995</v>
      </c>
      <c r="N354" s="3" t="s">
        <v>2541</v>
      </c>
      <c r="O354" s="3" t="s">
        <v>2542</v>
      </c>
      <c r="P354" s="3" t="s">
        <v>53</v>
      </c>
      <c r="Q354" s="2">
        <v>2843</v>
      </c>
    </row>
    <row r="355" spans="1:17" ht="143.25" customHeight="1" x14ac:dyDescent="0.25">
      <c r="A355" s="5" t="str">
        <f>_xll.JChemExcel.Functions.JCSYSStructure("19D90F43EA421A8AD1343F81648FCD07")</f>
        <v/>
      </c>
      <c r="B355" s="3" t="s">
        <v>2543</v>
      </c>
      <c r="C355" s="3" t="s">
        <v>2544</v>
      </c>
      <c r="D355" s="2" t="s">
        <v>2546</v>
      </c>
      <c r="E355" s="2" t="s">
        <v>7524</v>
      </c>
      <c r="F355" s="3" t="s">
        <v>2545</v>
      </c>
      <c r="G355" s="2" t="s">
        <v>2547</v>
      </c>
      <c r="H355" s="8">
        <v>290.3</v>
      </c>
      <c r="I355" s="2" t="s">
        <v>22</v>
      </c>
      <c r="J355" s="2" t="s">
        <v>26</v>
      </c>
      <c r="K355" s="2">
        <v>5</v>
      </c>
      <c r="L355" s="2" t="s">
        <v>20</v>
      </c>
      <c r="M355" s="2" t="s">
        <v>124</v>
      </c>
      <c r="N355" s="3" t="s">
        <v>2548</v>
      </c>
      <c r="O355" s="3" t="s">
        <v>2549</v>
      </c>
      <c r="P355" s="3" t="s">
        <v>2550</v>
      </c>
      <c r="Q355" s="2">
        <v>2843</v>
      </c>
    </row>
    <row r="356" spans="1:17" ht="143.25" customHeight="1" x14ac:dyDescent="0.25">
      <c r="A356" s="5" t="str">
        <f>_xll.JChemExcel.Functions.JCSYSStructure("95D6F0A2109BDCF15171F03525F6D5F1")</f>
        <v/>
      </c>
      <c r="B356" s="3" t="s">
        <v>2551</v>
      </c>
      <c r="C356" s="3" t="s">
        <v>2552</v>
      </c>
      <c r="D356" s="2" t="s">
        <v>2554</v>
      </c>
      <c r="E356" s="2" t="s">
        <v>7525</v>
      </c>
      <c r="F356" s="3" t="s">
        <v>2553</v>
      </c>
      <c r="G356" s="2" t="s">
        <v>2555</v>
      </c>
      <c r="H356" s="8">
        <v>360.8</v>
      </c>
      <c r="I356" s="2" t="s">
        <v>22</v>
      </c>
      <c r="J356" s="2" t="s">
        <v>26</v>
      </c>
      <c r="K356" s="2">
        <v>5</v>
      </c>
      <c r="L356" s="2" t="s">
        <v>20</v>
      </c>
      <c r="M356" s="2">
        <v>1995</v>
      </c>
      <c r="N356" s="3" t="s">
        <v>2556</v>
      </c>
      <c r="O356" s="3" t="s">
        <v>2557</v>
      </c>
      <c r="P356" s="3" t="s">
        <v>2558</v>
      </c>
      <c r="Q356" s="2">
        <v>2843</v>
      </c>
    </row>
    <row r="357" spans="1:17" ht="143.25" customHeight="1" x14ac:dyDescent="0.25">
      <c r="A357" s="5" t="str">
        <f>_xll.JChemExcel.Functions.JCSYSStructure("B6B52463C1EC6FEC3697020ED327D9DE")</f>
        <v/>
      </c>
      <c r="B357" s="3" t="s">
        <v>2559</v>
      </c>
      <c r="C357" s="3" t="s">
        <v>2560</v>
      </c>
      <c r="D357" s="2" t="s">
        <v>2562</v>
      </c>
      <c r="E357" s="2" t="s">
        <v>7526</v>
      </c>
      <c r="F357" s="3" t="s">
        <v>2561</v>
      </c>
      <c r="G357" s="2" t="s">
        <v>2563</v>
      </c>
      <c r="H357" s="8">
        <v>637.70000000000005</v>
      </c>
      <c r="I357" s="2" t="s">
        <v>22</v>
      </c>
      <c r="J357" s="2" t="s">
        <v>26</v>
      </c>
      <c r="K357" s="2">
        <v>5</v>
      </c>
      <c r="L357" s="2" t="s">
        <v>20</v>
      </c>
      <c r="M357" s="2">
        <v>1984</v>
      </c>
      <c r="N357" s="3" t="s">
        <v>2564</v>
      </c>
      <c r="O357" s="3" t="s">
        <v>2565</v>
      </c>
      <c r="P357" s="3" t="s">
        <v>2566</v>
      </c>
      <c r="Q357" s="2">
        <v>2843</v>
      </c>
    </row>
    <row r="358" spans="1:17" ht="143.25" customHeight="1" x14ac:dyDescent="0.25">
      <c r="A358" s="5" t="str">
        <f>_xll.JChemExcel.Functions.JCSYSStructure("04BBCA7975F06A3D888127A83FBA59FF")</f>
        <v/>
      </c>
      <c r="B358" s="3" t="s">
        <v>2567</v>
      </c>
      <c r="C358" s="3" t="s">
        <v>2568</v>
      </c>
      <c r="D358" s="2" t="s">
        <v>2570</v>
      </c>
      <c r="E358" s="2" t="s">
        <v>7985</v>
      </c>
      <c r="F358" s="3" t="s">
        <v>2569</v>
      </c>
      <c r="G358" s="2" t="s">
        <v>2571</v>
      </c>
      <c r="H358" s="8">
        <v>313.89999999999998</v>
      </c>
      <c r="I358" s="2" t="s">
        <v>22</v>
      </c>
      <c r="J358" s="2" t="s">
        <v>26</v>
      </c>
      <c r="K358" s="2">
        <v>5</v>
      </c>
      <c r="L358" s="2" t="s">
        <v>20</v>
      </c>
      <c r="M358" s="2">
        <v>1993</v>
      </c>
      <c r="N358" s="3" t="s">
        <v>269</v>
      </c>
      <c r="O358" s="3" t="s">
        <v>2572</v>
      </c>
      <c r="P358" s="3" t="s">
        <v>2573</v>
      </c>
      <c r="Q358" s="2">
        <v>2843</v>
      </c>
    </row>
    <row r="359" spans="1:17" ht="143.25" customHeight="1" x14ac:dyDescent="0.25">
      <c r="A359" s="5" t="str">
        <f>_xll.JChemExcel.Functions.JCSYSStructure("58E23E8ABE197D1B0712D7E4EAE387C7")</f>
        <v/>
      </c>
      <c r="B359" s="3" t="s">
        <v>2574</v>
      </c>
      <c r="C359" s="3" t="s">
        <v>2575</v>
      </c>
      <c r="D359" s="2" t="s">
        <v>2576</v>
      </c>
      <c r="E359" s="2" t="s">
        <v>7527</v>
      </c>
      <c r="F359" s="3" t="s">
        <v>7986</v>
      </c>
      <c r="G359" s="2" t="s">
        <v>7987</v>
      </c>
      <c r="H359" s="8">
        <v>324.89999999999998</v>
      </c>
      <c r="I359" s="2" t="s">
        <v>22</v>
      </c>
      <c r="J359" s="2" t="s">
        <v>26</v>
      </c>
      <c r="K359" s="2">
        <v>5</v>
      </c>
      <c r="L359" s="2" t="s">
        <v>20</v>
      </c>
      <c r="M359" s="2">
        <v>1983</v>
      </c>
      <c r="N359" s="3" t="s">
        <v>2577</v>
      </c>
      <c r="O359" s="3" t="s">
        <v>2578</v>
      </c>
      <c r="P359" s="3" t="s">
        <v>2579</v>
      </c>
      <c r="Q359" s="2">
        <v>2843</v>
      </c>
    </row>
    <row r="360" spans="1:17" ht="143.25" customHeight="1" x14ac:dyDescent="0.25">
      <c r="A360" s="5" t="str">
        <f>_xll.JChemExcel.Functions.JCSYSStructure("B8A8D3280E86ABEAD23EB8023564ED5D")</f>
        <v/>
      </c>
      <c r="B360" s="3" t="s">
        <v>2580</v>
      </c>
      <c r="C360" s="3" t="s">
        <v>2581</v>
      </c>
      <c r="D360" s="2" t="s">
        <v>2583</v>
      </c>
      <c r="E360" s="2" t="s">
        <v>7528</v>
      </c>
      <c r="F360" s="3" t="s">
        <v>2582</v>
      </c>
      <c r="G360" s="2" t="s">
        <v>2584</v>
      </c>
      <c r="H360" s="8">
        <v>425.5</v>
      </c>
      <c r="I360" s="2" t="s">
        <v>22</v>
      </c>
      <c r="J360" s="2" t="s">
        <v>26</v>
      </c>
      <c r="K360" s="2">
        <v>5</v>
      </c>
      <c r="L360" s="2" t="s">
        <v>20</v>
      </c>
      <c r="M360" s="2">
        <v>2006</v>
      </c>
      <c r="N360" s="3" t="s">
        <v>2585</v>
      </c>
      <c r="O360" s="3" t="s">
        <v>2586</v>
      </c>
      <c r="P360" s="3" t="s">
        <v>2587</v>
      </c>
      <c r="Q360" s="2">
        <v>2843</v>
      </c>
    </row>
    <row r="361" spans="1:17" ht="143.25" customHeight="1" x14ac:dyDescent="0.25">
      <c r="A361" s="5" t="str">
        <f>_xll.JChemExcel.Functions.JCSYSStructure("14B3F270ED66ED2017E7018F2FE9D066")</f>
        <v/>
      </c>
      <c r="B361" s="3" t="s">
        <v>2588</v>
      </c>
      <c r="C361" s="3" t="s">
        <v>2589</v>
      </c>
      <c r="D361" s="2" t="s">
        <v>2590</v>
      </c>
      <c r="E361" s="2">
        <v>550055</v>
      </c>
      <c r="F361" s="3" t="s">
        <v>7988</v>
      </c>
      <c r="G361" s="2" t="s">
        <v>2591</v>
      </c>
      <c r="H361" s="8">
        <v>363.8</v>
      </c>
      <c r="I361" s="2" t="s">
        <v>22</v>
      </c>
      <c r="J361" s="2" t="s">
        <v>26</v>
      </c>
      <c r="K361" s="2">
        <v>5</v>
      </c>
      <c r="L361" s="2" t="s">
        <v>20</v>
      </c>
      <c r="M361" s="2">
        <v>1971</v>
      </c>
      <c r="N361" s="3" t="s">
        <v>2592</v>
      </c>
      <c r="O361" s="3" t="s">
        <v>2593</v>
      </c>
      <c r="P361" s="3" t="s">
        <v>2594</v>
      </c>
      <c r="Q361" s="2">
        <v>2843</v>
      </c>
    </row>
    <row r="362" spans="1:17" ht="143.25" customHeight="1" x14ac:dyDescent="0.25">
      <c r="A362" s="5" t="str">
        <f>_xll.JChemExcel.Functions.JCSYSStructure("5FF1BB099541A4D22B899195B9EE56C9")</f>
        <v/>
      </c>
      <c r="B362" s="3" t="s">
        <v>2595</v>
      </c>
      <c r="C362" s="3" t="s">
        <v>2596</v>
      </c>
      <c r="D362" s="2" t="s">
        <v>2598</v>
      </c>
      <c r="E362" s="2" t="s">
        <v>7529</v>
      </c>
      <c r="F362" s="3" t="s">
        <v>2597</v>
      </c>
      <c r="G362" s="2" t="s">
        <v>2599</v>
      </c>
      <c r="H362" s="8">
        <v>345.8</v>
      </c>
      <c r="I362" s="2" t="s">
        <v>22</v>
      </c>
      <c r="J362" s="2" t="s">
        <v>26</v>
      </c>
      <c r="K362" s="2">
        <v>5</v>
      </c>
      <c r="L362" s="2" t="s">
        <v>20</v>
      </c>
      <c r="M362" s="2">
        <v>1987</v>
      </c>
      <c r="N362" s="3" t="s">
        <v>2600</v>
      </c>
      <c r="O362" s="3" t="s">
        <v>2601</v>
      </c>
      <c r="P362" s="3" t="s">
        <v>2602</v>
      </c>
      <c r="Q362" s="2">
        <v>2843</v>
      </c>
    </row>
    <row r="363" spans="1:17" ht="143.25" customHeight="1" x14ac:dyDescent="0.25">
      <c r="A363" s="5" t="str">
        <f>_xll.JChemExcel.Functions.JCSYSStructure("40E9AF7E8362C275378E6F79ACC3F830")</f>
        <v/>
      </c>
      <c r="B363" s="3" t="s">
        <v>2603</v>
      </c>
      <c r="C363" s="3" t="s">
        <v>2604</v>
      </c>
      <c r="D363" s="2" t="s">
        <v>2606</v>
      </c>
      <c r="E363" s="2" t="s">
        <v>7530</v>
      </c>
      <c r="F363" s="3" t="s">
        <v>2605</v>
      </c>
      <c r="G363" s="2" t="s">
        <v>2607</v>
      </c>
      <c r="H363" s="8">
        <v>293.39999999999998</v>
      </c>
      <c r="I363" s="2" t="s">
        <v>22</v>
      </c>
      <c r="J363" s="2" t="s">
        <v>26</v>
      </c>
      <c r="K363" s="2">
        <v>5</v>
      </c>
      <c r="L363" s="2" t="s">
        <v>20</v>
      </c>
      <c r="M363" s="2" t="s">
        <v>124</v>
      </c>
      <c r="N363" s="3" t="s">
        <v>2608</v>
      </c>
      <c r="O363" s="3" t="s">
        <v>2609</v>
      </c>
      <c r="P363" s="3" t="s">
        <v>53</v>
      </c>
      <c r="Q363" s="2">
        <v>2843</v>
      </c>
    </row>
    <row r="364" spans="1:17" ht="143.25" customHeight="1" x14ac:dyDescent="0.25">
      <c r="A364" s="5" t="str">
        <f>_xll.JChemExcel.Functions.JCSYSStructure("2EE5B637BF4BA8B56140FB150CFDAA1E")</f>
        <v/>
      </c>
      <c r="B364" s="3" t="s">
        <v>2610</v>
      </c>
      <c r="C364" s="3" t="s">
        <v>2420</v>
      </c>
      <c r="D364" s="2" t="s">
        <v>2612</v>
      </c>
      <c r="E364" s="2" t="s">
        <v>7531</v>
      </c>
      <c r="F364" s="3" t="s">
        <v>2611</v>
      </c>
      <c r="G364" s="2" t="s">
        <v>2613</v>
      </c>
      <c r="H364" s="8">
        <v>472.4</v>
      </c>
      <c r="I364" s="2" t="s">
        <v>22</v>
      </c>
      <c r="J364" s="2" t="s">
        <v>26</v>
      </c>
      <c r="K364" s="2">
        <v>5</v>
      </c>
      <c r="L364" s="2" t="s">
        <v>20</v>
      </c>
      <c r="M364" s="2">
        <v>2004</v>
      </c>
      <c r="N364" s="3" t="s">
        <v>237</v>
      </c>
      <c r="O364" s="3" t="s">
        <v>2614</v>
      </c>
      <c r="P364" s="3" t="s">
        <v>2615</v>
      </c>
      <c r="Q364" s="2">
        <v>2843</v>
      </c>
    </row>
    <row r="365" spans="1:17" ht="143.25" customHeight="1" x14ac:dyDescent="0.25">
      <c r="A365" s="5" t="str">
        <f>_xll.JChemExcel.Functions.JCSYSStructure("F4AB8A28DDFB39D9BBECB9C4F0C3F6AC")</f>
        <v/>
      </c>
      <c r="B365" s="3" t="s">
        <v>2616</v>
      </c>
      <c r="C365" s="3" t="s">
        <v>2617</v>
      </c>
      <c r="D365" s="2" t="s">
        <v>2619</v>
      </c>
      <c r="E365" s="2" t="s">
        <v>7532</v>
      </c>
      <c r="F365" s="3" t="s">
        <v>2618</v>
      </c>
      <c r="G365" s="2" t="s">
        <v>2620</v>
      </c>
      <c r="H365" s="8">
        <v>407</v>
      </c>
      <c r="I365" s="2" t="s">
        <v>22</v>
      </c>
      <c r="J365" s="2" t="s">
        <v>26</v>
      </c>
      <c r="K365" s="2">
        <v>5</v>
      </c>
      <c r="L365" s="2" t="s">
        <v>20</v>
      </c>
      <c r="M365" s="2">
        <v>1962</v>
      </c>
      <c r="N365" s="3" t="s">
        <v>94</v>
      </c>
      <c r="O365" s="3" t="s">
        <v>2621</v>
      </c>
      <c r="P365" s="3" t="s">
        <v>2622</v>
      </c>
      <c r="Q365" s="2">
        <v>2843</v>
      </c>
    </row>
    <row r="366" spans="1:17" ht="143.25" customHeight="1" x14ac:dyDescent="0.25">
      <c r="A366" s="5" t="str">
        <f>_xll.JChemExcel.Functions.JCSYSStructure("90F97ECC04F3C09069B22CBC6C871CC5")</f>
        <v/>
      </c>
      <c r="B366" s="3" t="s">
        <v>2623</v>
      </c>
      <c r="C366" s="3" t="s">
        <v>2624</v>
      </c>
      <c r="D366" s="2" t="s">
        <v>2626</v>
      </c>
      <c r="E366" s="2" t="s">
        <v>7533</v>
      </c>
      <c r="F366" s="3" t="s">
        <v>2625</v>
      </c>
      <c r="G366" s="2" t="s">
        <v>2627</v>
      </c>
      <c r="H366" s="8">
        <v>187.2</v>
      </c>
      <c r="I366" s="2" t="s">
        <v>22</v>
      </c>
      <c r="J366" s="2" t="s">
        <v>26</v>
      </c>
      <c r="K366" s="2">
        <v>5</v>
      </c>
      <c r="L366" s="2" t="s">
        <v>20</v>
      </c>
      <c r="M366" s="2">
        <v>1984</v>
      </c>
      <c r="N366" s="3" t="s">
        <v>2628</v>
      </c>
      <c r="O366" s="3" t="s">
        <v>2629</v>
      </c>
      <c r="P366" s="3" t="s">
        <v>2630</v>
      </c>
      <c r="Q366" s="2">
        <v>2843</v>
      </c>
    </row>
    <row r="367" spans="1:17" ht="143.25" customHeight="1" x14ac:dyDescent="0.25">
      <c r="A367" s="5" t="str">
        <f>_xll.JChemExcel.Functions.JCSYSStructure("06020E11C559D802B32A58733476E79A")</f>
        <v/>
      </c>
      <c r="B367" s="3" t="s">
        <v>2631</v>
      </c>
      <c r="C367" s="3" t="s">
        <v>2632</v>
      </c>
      <c r="D367" s="2" t="s">
        <v>2634</v>
      </c>
      <c r="E367" s="2">
        <v>270083</v>
      </c>
      <c r="F367" s="3" t="s">
        <v>2633</v>
      </c>
      <c r="G367" s="2" t="s">
        <v>2635</v>
      </c>
      <c r="H367" s="8">
        <v>211.2</v>
      </c>
      <c r="I367" s="2" t="s">
        <v>22</v>
      </c>
      <c r="J367" s="2" t="s">
        <v>26</v>
      </c>
      <c r="K367" s="2">
        <v>5</v>
      </c>
      <c r="L367" s="2" t="s">
        <v>20</v>
      </c>
      <c r="M367" s="2" t="s">
        <v>124</v>
      </c>
      <c r="N367" s="3" t="s">
        <v>2636</v>
      </c>
      <c r="O367" s="3" t="s">
        <v>2637</v>
      </c>
      <c r="P367" s="3" t="s">
        <v>2638</v>
      </c>
      <c r="Q367" s="2">
        <v>2843</v>
      </c>
    </row>
    <row r="368" spans="1:17" ht="143.25" customHeight="1" x14ac:dyDescent="0.25">
      <c r="A368" s="5" t="str">
        <f>_xll.JChemExcel.Functions.JCSYSStructure("21B4E3A76A430A24CA8B8CF2B1CAF73B")</f>
        <v/>
      </c>
      <c r="B368" s="3" t="s">
        <v>2639</v>
      </c>
      <c r="C368" s="3" t="s">
        <v>2640</v>
      </c>
      <c r="D368" s="2" t="s">
        <v>2641</v>
      </c>
      <c r="E368" s="2" t="s">
        <v>7534</v>
      </c>
      <c r="F368" s="3" t="s">
        <v>7222</v>
      </c>
      <c r="G368" s="2" t="s">
        <v>2642</v>
      </c>
      <c r="H368" s="8">
        <v>354.5</v>
      </c>
      <c r="I368" s="2" t="s">
        <v>22</v>
      </c>
      <c r="J368" s="2" t="s">
        <v>26</v>
      </c>
      <c r="K368" s="2">
        <v>5</v>
      </c>
      <c r="L368" s="2" t="s">
        <v>20</v>
      </c>
      <c r="M368" s="2">
        <v>1995</v>
      </c>
      <c r="N368" s="3" t="s">
        <v>125</v>
      </c>
      <c r="O368" s="3" t="s">
        <v>2643</v>
      </c>
      <c r="P368" s="3" t="s">
        <v>2644</v>
      </c>
      <c r="Q368" s="2">
        <v>2843</v>
      </c>
    </row>
    <row r="369" spans="1:17" ht="143.25" customHeight="1" x14ac:dyDescent="0.25">
      <c r="A369" s="5" t="str">
        <f>_xll.JChemExcel.Functions.JCSYSStructure("9D3ED57479FE3640C3CD018340D9334B")</f>
        <v/>
      </c>
      <c r="B369" s="3" t="s">
        <v>2645</v>
      </c>
      <c r="C369" s="3" t="s">
        <v>2646</v>
      </c>
      <c r="D369" s="2" t="s">
        <v>2648</v>
      </c>
      <c r="E369" s="2" t="s">
        <v>7535</v>
      </c>
      <c r="F369" s="3" t="s">
        <v>2647</v>
      </c>
      <c r="G369" s="2" t="s">
        <v>2649</v>
      </c>
      <c r="H369" s="8">
        <v>382.5</v>
      </c>
      <c r="I369" s="2" t="s">
        <v>22</v>
      </c>
      <c r="J369" s="2" t="s">
        <v>26</v>
      </c>
      <c r="K369" s="2">
        <v>5</v>
      </c>
      <c r="L369" s="2" t="s">
        <v>20</v>
      </c>
      <c r="M369" s="2">
        <v>1988</v>
      </c>
      <c r="N369" s="3" t="s">
        <v>2650</v>
      </c>
      <c r="O369" s="3" t="s">
        <v>2651</v>
      </c>
      <c r="P369" s="3" t="s">
        <v>2652</v>
      </c>
      <c r="Q369" s="2">
        <v>2843</v>
      </c>
    </row>
    <row r="370" spans="1:17" ht="143.25" customHeight="1" x14ac:dyDescent="0.25">
      <c r="A370" s="5" t="str">
        <f>_xll.JChemExcel.Functions.JCSYSStructure("7FE4C811666875ABCB7CA56969BD576A")</f>
        <v/>
      </c>
      <c r="B370" s="3" t="s">
        <v>2653</v>
      </c>
      <c r="C370" s="3" t="s">
        <v>2654</v>
      </c>
      <c r="D370" s="2" t="s">
        <v>2656</v>
      </c>
      <c r="E370" s="2" t="s">
        <v>7536</v>
      </c>
      <c r="F370" s="3" t="s">
        <v>2655</v>
      </c>
      <c r="G370" s="2" t="s">
        <v>2657</v>
      </c>
      <c r="H370" s="8">
        <v>508.6</v>
      </c>
      <c r="I370" s="2" t="s">
        <v>22</v>
      </c>
      <c r="J370" s="2" t="s">
        <v>26</v>
      </c>
      <c r="K370" s="2">
        <v>5</v>
      </c>
      <c r="L370" s="2" t="s">
        <v>20</v>
      </c>
      <c r="M370" s="2">
        <v>2000</v>
      </c>
      <c r="N370" s="3" t="s">
        <v>2658</v>
      </c>
      <c r="O370" s="3" t="s">
        <v>2659</v>
      </c>
      <c r="P370" s="3" t="s">
        <v>2660</v>
      </c>
      <c r="Q370" s="2">
        <v>2843</v>
      </c>
    </row>
    <row r="371" spans="1:17" ht="143.25" customHeight="1" x14ac:dyDescent="0.25">
      <c r="A371" s="5" t="str">
        <f>_xll.JChemExcel.Functions.JCSYSStructure("62A5D1AA7582F1023EAB0F031C5A7A34")</f>
        <v/>
      </c>
      <c r="B371" s="3" t="s">
        <v>2661</v>
      </c>
      <c r="C371" s="3" t="s">
        <v>2662</v>
      </c>
      <c r="D371" s="2" t="s">
        <v>2663</v>
      </c>
      <c r="E371" s="2" t="s">
        <v>7537</v>
      </c>
      <c r="F371" s="3" t="s">
        <v>7989</v>
      </c>
      <c r="G371" s="2" t="s">
        <v>2664</v>
      </c>
      <c r="H371" s="8">
        <v>380.4</v>
      </c>
      <c r="I371" s="2" t="s">
        <v>22</v>
      </c>
      <c r="J371" s="2" t="s">
        <v>26</v>
      </c>
      <c r="K371" s="2">
        <v>5</v>
      </c>
      <c r="L371" s="2" t="s">
        <v>20</v>
      </c>
      <c r="M371" s="2">
        <v>1985</v>
      </c>
      <c r="N371" s="3" t="s">
        <v>2665</v>
      </c>
      <c r="O371" s="3" t="s">
        <v>2666</v>
      </c>
      <c r="P371" s="3" t="s">
        <v>53</v>
      </c>
      <c r="Q371" s="2">
        <v>2843</v>
      </c>
    </row>
    <row r="372" spans="1:17" ht="143.25" customHeight="1" x14ac:dyDescent="0.25">
      <c r="A372" s="5" t="str">
        <f>_xll.JChemExcel.Functions.JCSYSStructure("898A9C430CEF4623EB0535D24E3C48A0")</f>
        <v/>
      </c>
      <c r="B372" s="3" t="s">
        <v>2667</v>
      </c>
      <c r="C372" s="3" t="s">
        <v>2668</v>
      </c>
      <c r="D372" s="2" t="s">
        <v>2670</v>
      </c>
      <c r="E372" s="2" t="s">
        <v>7538</v>
      </c>
      <c r="F372" s="3" t="s">
        <v>2669</v>
      </c>
      <c r="G372" s="2" t="s">
        <v>2671</v>
      </c>
      <c r="H372" s="8">
        <v>474.8</v>
      </c>
      <c r="I372" s="2" t="s">
        <v>22</v>
      </c>
      <c r="J372" s="2" t="s">
        <v>26</v>
      </c>
      <c r="K372" s="2">
        <v>5</v>
      </c>
      <c r="L372" s="2" t="s">
        <v>20</v>
      </c>
      <c r="M372" s="2">
        <v>1995</v>
      </c>
      <c r="N372" s="3" t="s">
        <v>676</v>
      </c>
      <c r="O372" s="3" t="s">
        <v>2672</v>
      </c>
      <c r="P372" s="3" t="s">
        <v>2673</v>
      </c>
      <c r="Q372" s="2">
        <v>2843</v>
      </c>
    </row>
    <row r="373" spans="1:17" ht="143.25" customHeight="1" x14ac:dyDescent="0.25">
      <c r="A373" s="5" t="str">
        <f>_xll.JChemExcel.Functions.JCSYSStructure("0AE59E297C977554FBC7DC4ED1BD1A15")</f>
        <v/>
      </c>
      <c r="B373" s="3" t="s">
        <v>2674</v>
      </c>
      <c r="C373" s="3" t="s">
        <v>2675</v>
      </c>
      <c r="D373" s="2" t="s">
        <v>2677</v>
      </c>
      <c r="E373" s="2" t="s">
        <v>7539</v>
      </c>
      <c r="F373" s="3" t="s">
        <v>2676</v>
      </c>
      <c r="G373" s="2" t="s">
        <v>2678</v>
      </c>
      <c r="H373" s="8">
        <v>429.6</v>
      </c>
      <c r="I373" s="2" t="s">
        <v>22</v>
      </c>
      <c r="J373" s="2" t="s">
        <v>26</v>
      </c>
      <c r="K373" s="2">
        <v>5</v>
      </c>
      <c r="L373" s="2" t="s">
        <v>20</v>
      </c>
      <c r="M373" s="2">
        <v>2000</v>
      </c>
      <c r="N373" s="3" t="s">
        <v>2077</v>
      </c>
      <c r="O373" s="3" t="s">
        <v>2679</v>
      </c>
      <c r="P373" s="3" t="s">
        <v>2680</v>
      </c>
      <c r="Q373" s="2">
        <v>2843</v>
      </c>
    </row>
    <row r="374" spans="1:17" ht="143.25" customHeight="1" x14ac:dyDescent="0.25">
      <c r="A374" s="5" t="str">
        <f>_xll.JChemExcel.Functions.JCSYSStructure("DD0134F27DC42E3FF27632BEB22E5EBB")</f>
        <v/>
      </c>
      <c r="B374" s="3" t="s">
        <v>2681</v>
      </c>
      <c r="C374" s="3" t="s">
        <v>2682</v>
      </c>
      <c r="D374" s="2" t="s">
        <v>2684</v>
      </c>
      <c r="E374" s="2" t="s">
        <v>7540</v>
      </c>
      <c r="F374" s="3" t="s">
        <v>2683</v>
      </c>
      <c r="G374" s="2" t="s">
        <v>2685</v>
      </c>
      <c r="H374" s="8">
        <v>384.5</v>
      </c>
      <c r="I374" s="2" t="s">
        <v>22</v>
      </c>
      <c r="J374" s="2" t="s">
        <v>26</v>
      </c>
      <c r="K374" s="2">
        <v>5</v>
      </c>
      <c r="L374" s="2" t="s">
        <v>20</v>
      </c>
      <c r="M374" s="2">
        <v>1971</v>
      </c>
      <c r="N374" s="3" t="s">
        <v>2686</v>
      </c>
      <c r="O374" s="3" t="s">
        <v>2687</v>
      </c>
      <c r="P374" s="3" t="s">
        <v>2688</v>
      </c>
      <c r="Q374" s="2">
        <v>2843</v>
      </c>
    </row>
    <row r="375" spans="1:17" ht="143.25" customHeight="1" x14ac:dyDescent="0.25">
      <c r="A375" s="5" t="str">
        <f>_xll.JChemExcel.Functions.JCSYSStructure("80D0447CDFB17B906CFCE399DA1C7D41")</f>
        <v/>
      </c>
      <c r="B375" s="3" t="s">
        <v>2689</v>
      </c>
      <c r="C375" s="3" t="s">
        <v>2690</v>
      </c>
      <c r="D375" s="2" t="s">
        <v>2691</v>
      </c>
      <c r="E375" s="2">
        <v>550095</v>
      </c>
      <c r="F375" s="3" t="s">
        <v>7990</v>
      </c>
      <c r="G375" s="2" t="s">
        <v>2692</v>
      </c>
      <c r="H375" s="8">
        <v>563.6</v>
      </c>
      <c r="I375" s="2" t="s">
        <v>22</v>
      </c>
      <c r="J375" s="2" t="s">
        <v>26</v>
      </c>
      <c r="K375" s="2">
        <v>5</v>
      </c>
      <c r="L375" s="2" t="s">
        <v>20</v>
      </c>
      <c r="M375" s="2">
        <v>1977</v>
      </c>
      <c r="N375" s="3" t="s">
        <v>563</v>
      </c>
      <c r="O375" s="3" t="s">
        <v>2693</v>
      </c>
      <c r="P375" s="3" t="s">
        <v>2694</v>
      </c>
      <c r="Q375" s="2">
        <v>2843</v>
      </c>
    </row>
    <row r="376" spans="1:17" ht="143.25" customHeight="1" x14ac:dyDescent="0.25">
      <c r="A376" s="5" t="str">
        <f>_xll.JChemExcel.Functions.JCSYSStructure("0A6AE1BC6769438B74FEB8E8B5AC3DE0")</f>
        <v/>
      </c>
      <c r="B376" s="3" t="s">
        <v>2695</v>
      </c>
      <c r="C376" s="3" t="s">
        <v>2696</v>
      </c>
      <c r="D376" s="2" t="s">
        <v>2698</v>
      </c>
      <c r="E376" s="2" t="s">
        <v>7541</v>
      </c>
      <c r="F376" s="3" t="s">
        <v>2697</v>
      </c>
      <c r="G376" s="2" t="s">
        <v>2699</v>
      </c>
      <c r="H376" s="8">
        <v>534.4</v>
      </c>
      <c r="I376" s="2" t="s">
        <v>22</v>
      </c>
      <c r="J376" s="2" t="s">
        <v>26</v>
      </c>
      <c r="K376" s="2">
        <v>5</v>
      </c>
      <c r="L376" s="2" t="s">
        <v>20</v>
      </c>
      <c r="M376" s="2">
        <v>2003</v>
      </c>
      <c r="N376" s="3" t="s">
        <v>1359</v>
      </c>
      <c r="O376" s="3" t="s">
        <v>2700</v>
      </c>
      <c r="P376" s="3" t="s">
        <v>2701</v>
      </c>
      <c r="Q376" s="2">
        <v>2843</v>
      </c>
    </row>
    <row r="377" spans="1:17" ht="143.25" customHeight="1" x14ac:dyDescent="0.25">
      <c r="A377" s="5" t="str">
        <f>_xll.JChemExcel.Functions.JCSYSStructure("94CEC138DE22351C0FBF850EBBDF8850")</f>
        <v/>
      </c>
      <c r="B377" s="3" t="s">
        <v>2702</v>
      </c>
      <c r="C377" s="3" t="s">
        <v>2703</v>
      </c>
      <c r="D377" s="2" t="s">
        <v>2705</v>
      </c>
      <c r="E377" s="2" t="s">
        <v>7542</v>
      </c>
      <c r="F377" s="3" t="s">
        <v>2704</v>
      </c>
      <c r="G377" s="2" t="s">
        <v>2706</v>
      </c>
      <c r="H377" s="8">
        <v>551.6</v>
      </c>
      <c r="I377" s="2" t="s">
        <v>22</v>
      </c>
      <c r="J377" s="2" t="s">
        <v>26</v>
      </c>
      <c r="K377" s="2">
        <v>5</v>
      </c>
      <c r="L377" s="2" t="s">
        <v>20</v>
      </c>
      <c r="M377" s="2">
        <v>2001</v>
      </c>
      <c r="N377" s="3" t="s">
        <v>183</v>
      </c>
      <c r="O377" s="3" t="s">
        <v>2707</v>
      </c>
      <c r="P377" s="3" t="s">
        <v>2708</v>
      </c>
      <c r="Q377" s="2">
        <v>2843</v>
      </c>
    </row>
    <row r="378" spans="1:17" ht="143.25" customHeight="1" x14ac:dyDescent="0.25">
      <c r="A378" s="5" t="str">
        <f>_xll.JChemExcel.Functions.JCSYSStructure("7B7D95713C06E17371542AE6B2BC6B48")</f>
        <v/>
      </c>
      <c r="B378" s="3" t="s">
        <v>2709</v>
      </c>
      <c r="C378" s="3" t="s">
        <v>2710</v>
      </c>
      <c r="D378" s="2" t="s">
        <v>2712</v>
      </c>
      <c r="E378" s="2" t="s">
        <v>7543</v>
      </c>
      <c r="F378" s="3" t="s">
        <v>2711</v>
      </c>
      <c r="G378" s="2" t="s">
        <v>2713</v>
      </c>
      <c r="H378" s="8">
        <v>315.7</v>
      </c>
      <c r="I378" s="2" t="s">
        <v>22</v>
      </c>
      <c r="J378" s="2" t="s">
        <v>26</v>
      </c>
      <c r="K378" s="2">
        <v>5</v>
      </c>
      <c r="L378" s="2" t="s">
        <v>20</v>
      </c>
      <c r="M378" s="2">
        <v>1998</v>
      </c>
      <c r="N378" s="3" t="s">
        <v>207</v>
      </c>
      <c r="O378" s="3" t="s">
        <v>2714</v>
      </c>
      <c r="P378" s="3" t="s">
        <v>2715</v>
      </c>
      <c r="Q378" s="2">
        <v>2843</v>
      </c>
    </row>
    <row r="379" spans="1:17" ht="143.25" customHeight="1" x14ac:dyDescent="0.25">
      <c r="A379" s="5" t="str">
        <f>_xll.JChemExcel.Functions.JCSYSStructure("0A11A1B9BF66A4010B28F56F2A03132D")</f>
        <v/>
      </c>
      <c r="B379" s="3" t="s">
        <v>2716</v>
      </c>
      <c r="C379" s="3" t="s">
        <v>2717</v>
      </c>
      <c r="D379" s="2" t="s">
        <v>2719</v>
      </c>
      <c r="E379" s="2" t="s">
        <v>7544</v>
      </c>
      <c r="F379" s="3" t="s">
        <v>2718</v>
      </c>
      <c r="G379" s="2" t="s">
        <v>2720</v>
      </c>
      <c r="H379" s="8">
        <v>255.7</v>
      </c>
      <c r="I379" s="2" t="s">
        <v>22</v>
      </c>
      <c r="J379" s="2" t="s">
        <v>26</v>
      </c>
      <c r="K379" s="2">
        <v>5</v>
      </c>
      <c r="L379" s="2" t="s">
        <v>20</v>
      </c>
      <c r="M379" s="2" t="s">
        <v>124</v>
      </c>
      <c r="N379" s="3" t="s">
        <v>2721</v>
      </c>
      <c r="O379" s="3" t="s">
        <v>2722</v>
      </c>
      <c r="P379" s="3" t="s">
        <v>2723</v>
      </c>
      <c r="Q379" s="2">
        <v>2843</v>
      </c>
    </row>
    <row r="380" spans="1:17" ht="143.25" customHeight="1" x14ac:dyDescent="0.25">
      <c r="A380" s="5" t="str">
        <f>_xll.JChemExcel.Functions.JCSYSStructure("F5CC9C5B6ECB46614681D99ED704E58D")</f>
        <v/>
      </c>
      <c r="B380" s="3" t="s">
        <v>2724</v>
      </c>
      <c r="C380" s="3" t="s">
        <v>2725</v>
      </c>
      <c r="D380" s="2" t="s">
        <v>2727</v>
      </c>
      <c r="E380" s="2" t="s">
        <v>7545</v>
      </c>
      <c r="F380" s="3" t="s">
        <v>2726</v>
      </c>
      <c r="G380" s="2" t="s">
        <v>2728</v>
      </c>
      <c r="H380" s="8">
        <v>606.79999999999995</v>
      </c>
      <c r="I380" s="2" t="s">
        <v>22</v>
      </c>
      <c r="J380" s="2" t="s">
        <v>26</v>
      </c>
      <c r="K380" s="2">
        <v>5</v>
      </c>
      <c r="L380" s="2" t="s">
        <v>20</v>
      </c>
      <c r="M380" s="2">
        <v>2002</v>
      </c>
      <c r="N380" s="3" t="s">
        <v>1968</v>
      </c>
      <c r="O380" s="3" t="s">
        <v>2729</v>
      </c>
      <c r="P380" s="3" t="s">
        <v>2730</v>
      </c>
      <c r="Q380" s="2">
        <v>2843</v>
      </c>
    </row>
    <row r="381" spans="1:17" ht="143.25" customHeight="1" x14ac:dyDescent="0.25">
      <c r="A381" s="5" t="str">
        <f>_xll.JChemExcel.Functions.JCSYSStructure("0561206033554C9FA2AE4F3DDF78A3C3")</f>
        <v/>
      </c>
      <c r="B381" s="3" t="s">
        <v>2731</v>
      </c>
      <c r="C381" s="3" t="s">
        <v>2732</v>
      </c>
      <c r="D381" s="2" t="s">
        <v>2734</v>
      </c>
      <c r="E381" s="2" t="s">
        <v>7546</v>
      </c>
      <c r="F381" s="3" t="s">
        <v>2733</v>
      </c>
      <c r="G381" s="2" t="s">
        <v>2735</v>
      </c>
      <c r="H381" s="8">
        <v>295.39999999999998</v>
      </c>
      <c r="I381" s="2" t="s">
        <v>22</v>
      </c>
      <c r="J381" s="2" t="s">
        <v>26</v>
      </c>
      <c r="K381" s="2">
        <v>5</v>
      </c>
      <c r="L381" s="2" t="s">
        <v>20</v>
      </c>
      <c r="M381" s="2" t="s">
        <v>124</v>
      </c>
      <c r="N381" s="3" t="s">
        <v>2736</v>
      </c>
      <c r="O381" s="3" t="s">
        <v>2737</v>
      </c>
      <c r="P381" s="3" t="s">
        <v>2738</v>
      </c>
      <c r="Q381" s="2">
        <v>2843</v>
      </c>
    </row>
    <row r="382" spans="1:17" ht="143.25" customHeight="1" x14ac:dyDescent="0.25">
      <c r="A382" s="5" t="str">
        <f>_xll.JChemExcel.Functions.JCSYSStructure("0CAA92078CAEAF9121CEA4B00DE196FD")</f>
        <v/>
      </c>
      <c r="B382" s="3" t="s">
        <v>2739</v>
      </c>
      <c r="C382" s="3" t="s">
        <v>2740</v>
      </c>
      <c r="D382" s="2" t="s">
        <v>2742</v>
      </c>
      <c r="E382" s="2" t="s">
        <v>7547</v>
      </c>
      <c r="F382" s="3" t="s">
        <v>2741</v>
      </c>
      <c r="G382" s="2" t="s">
        <v>2743</v>
      </c>
      <c r="H382" s="8">
        <v>359.4</v>
      </c>
      <c r="I382" s="2" t="s">
        <v>22</v>
      </c>
      <c r="J382" s="2" t="s">
        <v>26</v>
      </c>
      <c r="K382" s="2">
        <v>5</v>
      </c>
      <c r="L382" s="2" t="s">
        <v>20</v>
      </c>
      <c r="M382" s="2">
        <v>1998</v>
      </c>
      <c r="N382" s="3" t="s">
        <v>563</v>
      </c>
      <c r="O382" s="3" t="s">
        <v>2744</v>
      </c>
      <c r="P382" s="3" t="s">
        <v>2745</v>
      </c>
      <c r="Q382" s="2">
        <v>2843</v>
      </c>
    </row>
    <row r="383" spans="1:17" ht="143.25" customHeight="1" x14ac:dyDescent="0.25">
      <c r="A383" s="5" t="str">
        <f>_xll.JChemExcel.Functions.JCSYSStructure("39015EBB56E9F9F7CA41045785A3DA8C")</f>
        <v/>
      </c>
      <c r="B383" s="3" t="s">
        <v>2746</v>
      </c>
      <c r="C383" s="3" t="s">
        <v>2747</v>
      </c>
      <c r="D383" s="2" t="s">
        <v>2749</v>
      </c>
      <c r="E383" s="2" t="s">
        <v>7548</v>
      </c>
      <c r="F383" s="3" t="s">
        <v>2748</v>
      </c>
      <c r="G383" s="2" t="s">
        <v>2750</v>
      </c>
      <c r="H383" s="8">
        <v>397.3</v>
      </c>
      <c r="I383" s="2" t="s">
        <v>22</v>
      </c>
      <c r="J383" s="2" t="s">
        <v>26</v>
      </c>
      <c r="K383" s="2">
        <v>5</v>
      </c>
      <c r="L383" s="2" t="s">
        <v>20</v>
      </c>
      <c r="M383" s="2" t="s">
        <v>124</v>
      </c>
      <c r="N383" s="3" t="s">
        <v>2751</v>
      </c>
      <c r="O383" s="3" t="s">
        <v>2752</v>
      </c>
      <c r="P383" s="3" t="s">
        <v>2753</v>
      </c>
      <c r="Q383" s="2">
        <v>2843</v>
      </c>
    </row>
    <row r="384" spans="1:17" ht="143.25" customHeight="1" x14ac:dyDescent="0.25">
      <c r="A384" s="5" t="str">
        <f>_xll.JChemExcel.Functions.JCSYSStructure("25588C10A8089114C18ADA22C2681757")</f>
        <v/>
      </c>
      <c r="B384" s="3" t="s">
        <v>2754</v>
      </c>
      <c r="C384" s="3" t="s">
        <v>2755</v>
      </c>
      <c r="D384" s="2" t="s">
        <v>2757</v>
      </c>
      <c r="E384" s="2" t="s">
        <v>7549</v>
      </c>
      <c r="F384" s="3" t="s">
        <v>2756</v>
      </c>
      <c r="G384" s="2" t="s">
        <v>2758</v>
      </c>
      <c r="H384" s="8">
        <v>350.9</v>
      </c>
      <c r="I384" s="2" t="s">
        <v>22</v>
      </c>
      <c r="J384" s="2" t="s">
        <v>26</v>
      </c>
      <c r="K384" s="2">
        <v>5</v>
      </c>
      <c r="L384" s="2" t="s">
        <v>20</v>
      </c>
      <c r="M384" s="2">
        <v>1961</v>
      </c>
      <c r="N384" s="3" t="s">
        <v>2759</v>
      </c>
      <c r="O384" s="3" t="s">
        <v>2760</v>
      </c>
      <c r="P384" s="3" t="s">
        <v>53</v>
      </c>
      <c r="Q384" s="2">
        <v>2843</v>
      </c>
    </row>
    <row r="385" spans="1:17" ht="143.25" customHeight="1" x14ac:dyDescent="0.25">
      <c r="A385" s="5" t="str">
        <f>_xll.JChemExcel.Functions.JCSYSStructure("83A2F3D006AE8E1BBBE41294BFDCCF07")</f>
        <v/>
      </c>
      <c r="B385" s="3" t="s">
        <v>7223</v>
      </c>
      <c r="C385" s="3" t="s">
        <v>2761</v>
      </c>
      <c r="D385" s="2" t="s">
        <v>2763</v>
      </c>
      <c r="E385" s="2" t="s">
        <v>7550</v>
      </c>
      <c r="F385" s="3" t="s">
        <v>2762</v>
      </c>
      <c r="G385" s="2" t="s">
        <v>2764</v>
      </c>
      <c r="H385" s="8">
        <v>335.3</v>
      </c>
      <c r="I385" s="2" t="s">
        <v>22</v>
      </c>
      <c r="J385" s="2" t="s">
        <v>26</v>
      </c>
      <c r="K385" s="2">
        <v>6</v>
      </c>
      <c r="L385" s="2" t="s">
        <v>20</v>
      </c>
      <c r="M385" s="2">
        <v>1998</v>
      </c>
      <c r="N385" s="3" t="s">
        <v>207</v>
      </c>
      <c r="O385" s="3" t="s">
        <v>2765</v>
      </c>
      <c r="P385" s="3" t="s">
        <v>2766</v>
      </c>
      <c r="Q385" s="2">
        <v>2843</v>
      </c>
    </row>
    <row r="386" spans="1:17" ht="143.25" customHeight="1" x14ac:dyDescent="0.25">
      <c r="A386" s="5" t="str">
        <f>_xll.JChemExcel.Functions.JCSYSStructure("AB07F7D6172EBBDC005B5783038C4A62")</f>
        <v/>
      </c>
      <c r="B386" s="3" t="s">
        <v>2767</v>
      </c>
      <c r="C386" s="3" t="s">
        <v>2768</v>
      </c>
      <c r="D386" s="2" t="s">
        <v>2770</v>
      </c>
      <c r="E386" s="2" t="s">
        <v>7551</v>
      </c>
      <c r="F386" s="3" t="s">
        <v>2769</v>
      </c>
      <c r="G386" s="2" t="s">
        <v>2771</v>
      </c>
      <c r="H386" s="8">
        <v>200.2</v>
      </c>
      <c r="I386" s="2" t="s">
        <v>22</v>
      </c>
      <c r="J386" s="2" t="s">
        <v>26</v>
      </c>
      <c r="K386" s="2">
        <v>6</v>
      </c>
      <c r="L386" s="2" t="s">
        <v>20</v>
      </c>
      <c r="M386" s="2">
        <v>2004</v>
      </c>
      <c r="N386" s="3" t="s">
        <v>1837</v>
      </c>
      <c r="O386" s="3" t="s">
        <v>2772</v>
      </c>
      <c r="P386" s="3" t="s">
        <v>2773</v>
      </c>
      <c r="Q386" s="2">
        <v>2843</v>
      </c>
    </row>
    <row r="387" spans="1:17" ht="143.25" customHeight="1" x14ac:dyDescent="0.25">
      <c r="A387" s="5" t="str">
        <f>_xll.JChemExcel.Functions.JCSYSStructure("1D0329448290311284558E0FB14E5E81")</f>
        <v/>
      </c>
      <c r="B387" s="3" t="s">
        <v>2774</v>
      </c>
      <c r="C387" s="3" t="s">
        <v>2775</v>
      </c>
      <c r="D387" s="2" t="s">
        <v>2777</v>
      </c>
      <c r="E387" s="2" t="s">
        <v>7552</v>
      </c>
      <c r="F387" s="3" t="s">
        <v>2776</v>
      </c>
      <c r="G387" s="2" t="s">
        <v>2778</v>
      </c>
      <c r="H387" s="8">
        <v>645.60482000000002</v>
      </c>
      <c r="I387" s="2" t="s">
        <v>22</v>
      </c>
      <c r="J387" s="2" t="s">
        <v>26</v>
      </c>
      <c r="K387" s="2">
        <v>6</v>
      </c>
      <c r="L387" s="2" t="s">
        <v>20</v>
      </c>
      <c r="M387" s="2">
        <v>1995</v>
      </c>
      <c r="N387" s="3" t="s">
        <v>2779</v>
      </c>
      <c r="O387" s="3" t="s">
        <v>2780</v>
      </c>
      <c r="P387" s="3" t="s">
        <v>2781</v>
      </c>
      <c r="Q387" s="2">
        <v>2843</v>
      </c>
    </row>
    <row r="388" spans="1:17" ht="143.25" customHeight="1" x14ac:dyDescent="0.25">
      <c r="A388" s="5" t="str">
        <f>_xll.JChemExcel.Functions.JCSYSStructure("F885F36562984DE0B250F0A5EB624720")</f>
        <v/>
      </c>
      <c r="B388" s="3" t="s">
        <v>2782</v>
      </c>
      <c r="C388" s="3" t="s">
        <v>2783</v>
      </c>
      <c r="D388" s="2" t="s">
        <v>2784</v>
      </c>
      <c r="E388" s="2" t="s">
        <v>7553</v>
      </c>
      <c r="F388" s="3" t="s">
        <v>7991</v>
      </c>
      <c r="G388" s="2" t="s">
        <v>2785</v>
      </c>
      <c r="H388" s="8">
        <v>372.88686000000001</v>
      </c>
      <c r="I388" s="2" t="s">
        <v>22</v>
      </c>
      <c r="J388" s="2" t="s">
        <v>26</v>
      </c>
      <c r="K388" s="2">
        <v>6</v>
      </c>
      <c r="L388" s="2" t="s">
        <v>20</v>
      </c>
      <c r="M388" s="2">
        <v>1984</v>
      </c>
      <c r="N388" s="3" t="s">
        <v>183</v>
      </c>
      <c r="O388" s="3" t="s">
        <v>2786</v>
      </c>
      <c r="P388" s="3" t="s">
        <v>2787</v>
      </c>
      <c r="Q388" s="2">
        <v>2843</v>
      </c>
    </row>
    <row r="389" spans="1:17" ht="143.25" customHeight="1" x14ac:dyDescent="0.25">
      <c r="A389" s="5" t="str">
        <f>_xll.JChemExcel.Functions.JCSYSStructure("B76ED80F181DA824C76F786172FCD892")</f>
        <v/>
      </c>
      <c r="B389" s="3" t="s">
        <v>2788</v>
      </c>
      <c r="C389" s="3" t="s">
        <v>2789</v>
      </c>
      <c r="D389" s="2" t="s">
        <v>2791</v>
      </c>
      <c r="E389" s="2" t="s">
        <v>7554</v>
      </c>
      <c r="F389" s="3" t="s">
        <v>2790</v>
      </c>
      <c r="G389" s="2" t="s">
        <v>2792</v>
      </c>
      <c r="H389" s="8">
        <v>151.16256000000001</v>
      </c>
      <c r="I389" s="2" t="s">
        <v>22</v>
      </c>
      <c r="J389" s="2" t="s">
        <v>26</v>
      </c>
      <c r="K389" s="2">
        <v>6</v>
      </c>
      <c r="L389" s="2" t="s">
        <v>20</v>
      </c>
      <c r="M389" s="2" t="s">
        <v>1808</v>
      </c>
      <c r="N389" s="3" t="s">
        <v>950</v>
      </c>
      <c r="O389" s="3" t="s">
        <v>2793</v>
      </c>
      <c r="P389" s="3" t="s">
        <v>2794</v>
      </c>
      <c r="Q389" s="2">
        <v>2843</v>
      </c>
    </row>
    <row r="390" spans="1:17" ht="143.25" customHeight="1" x14ac:dyDescent="0.25">
      <c r="A390" s="5" t="str">
        <f>_xll.JChemExcel.Functions.JCSYSStructure("E6FE8B8A7EA7E920EE90478F1FABF9D4")</f>
        <v/>
      </c>
      <c r="B390" s="3" t="s">
        <v>2795</v>
      </c>
      <c r="C390" s="3" t="s">
        <v>2796</v>
      </c>
      <c r="D390" s="2" t="s">
        <v>2798</v>
      </c>
      <c r="E390" s="2" t="s">
        <v>7555</v>
      </c>
      <c r="F390" s="3" t="s">
        <v>2797</v>
      </c>
      <c r="G390" s="2" t="s">
        <v>2799</v>
      </c>
      <c r="H390" s="8">
        <v>222.24544</v>
      </c>
      <c r="I390" s="2" t="s">
        <v>22</v>
      </c>
      <c r="J390" s="2" t="s">
        <v>26</v>
      </c>
      <c r="K390" s="2">
        <v>6</v>
      </c>
      <c r="L390" s="2" t="s">
        <v>20</v>
      </c>
      <c r="M390" s="2">
        <v>1953</v>
      </c>
      <c r="N390" s="3" t="s">
        <v>2800</v>
      </c>
      <c r="O390" s="3" t="s">
        <v>2801</v>
      </c>
      <c r="P390" s="3" t="s">
        <v>2802</v>
      </c>
      <c r="Q390" s="2">
        <v>2843</v>
      </c>
    </row>
    <row r="391" spans="1:17" ht="143.25" customHeight="1" x14ac:dyDescent="0.25">
      <c r="A391" s="5" t="str">
        <f>_xll.JChemExcel.Functions.JCSYSStructure("C7BD718F4F6B02972CF2231EB318BE9C")</f>
        <v/>
      </c>
      <c r="B391" s="3" t="s">
        <v>2803</v>
      </c>
      <c r="C391" s="3" t="s">
        <v>2804</v>
      </c>
      <c r="D391" s="2" t="s">
        <v>2806</v>
      </c>
      <c r="E391" s="2" t="s">
        <v>7556</v>
      </c>
      <c r="F391" s="3" t="s">
        <v>2805</v>
      </c>
      <c r="G391" s="2" t="s">
        <v>2807</v>
      </c>
      <c r="H391" s="8">
        <v>324.39530000000002</v>
      </c>
      <c r="I391" s="2" t="s">
        <v>22</v>
      </c>
      <c r="J391" s="2" t="s">
        <v>26</v>
      </c>
      <c r="K391" s="2">
        <v>6</v>
      </c>
      <c r="L391" s="2" t="s">
        <v>20</v>
      </c>
      <c r="M391" s="2">
        <v>1964</v>
      </c>
      <c r="N391" s="3" t="s">
        <v>2808</v>
      </c>
      <c r="O391" s="3" t="s">
        <v>2809</v>
      </c>
      <c r="P391" s="3" t="s">
        <v>2810</v>
      </c>
      <c r="Q391" s="2">
        <v>2843</v>
      </c>
    </row>
    <row r="392" spans="1:17" ht="143.25" customHeight="1" x14ac:dyDescent="0.25">
      <c r="A392" s="5" t="str">
        <f>_xll.JChemExcel.Functions.JCSYSStructure("B0D35F79521490B7194EBD1DFC5FCE6C")</f>
        <v/>
      </c>
      <c r="B392" s="3" t="s">
        <v>2811</v>
      </c>
      <c r="C392" s="3" t="s">
        <v>2812</v>
      </c>
      <c r="D392" s="2" t="s">
        <v>2814</v>
      </c>
      <c r="E392" s="2" t="s">
        <v>7557</v>
      </c>
      <c r="F392" s="3" t="s">
        <v>2813</v>
      </c>
      <c r="G392" s="2" t="s">
        <v>2815</v>
      </c>
      <c r="H392" s="8">
        <v>75.066599999999994</v>
      </c>
      <c r="I392" s="2" t="s">
        <v>22</v>
      </c>
      <c r="J392" s="2" t="s">
        <v>26</v>
      </c>
      <c r="K392" s="2">
        <v>6</v>
      </c>
      <c r="L392" s="2" t="s">
        <v>20</v>
      </c>
      <c r="M392" s="2">
        <v>1983</v>
      </c>
      <c r="N392" s="3" t="s">
        <v>1522</v>
      </c>
      <c r="O392" s="3" t="s">
        <v>2816</v>
      </c>
      <c r="P392" s="3" t="s">
        <v>2817</v>
      </c>
      <c r="Q392" s="2">
        <v>2843</v>
      </c>
    </row>
    <row r="393" spans="1:17" ht="143.25" customHeight="1" x14ac:dyDescent="0.25">
      <c r="A393" s="5" t="str">
        <f>_xll.JChemExcel.Functions.JCSYSStructure("4F9D61D99F50D0C2CD2D36DC5BFD73F3")</f>
        <v/>
      </c>
      <c r="B393" s="3" t="s">
        <v>2818</v>
      </c>
      <c r="C393" s="3" t="s">
        <v>2819</v>
      </c>
      <c r="D393" s="2" t="s">
        <v>2820</v>
      </c>
      <c r="E393" s="2">
        <v>105005</v>
      </c>
      <c r="F393" s="3" t="s">
        <v>7992</v>
      </c>
      <c r="G393" s="2" t="s">
        <v>2821</v>
      </c>
      <c r="H393" s="8">
        <v>163.19486000000001</v>
      </c>
      <c r="I393" s="2" t="s">
        <v>22</v>
      </c>
      <c r="J393" s="2" t="s">
        <v>26</v>
      </c>
      <c r="K393" s="2">
        <v>6</v>
      </c>
      <c r="L393" s="2" t="s">
        <v>20</v>
      </c>
      <c r="M393" s="2">
        <v>1963</v>
      </c>
      <c r="N393" s="3" t="s">
        <v>2822</v>
      </c>
      <c r="O393" s="3" t="s">
        <v>2823</v>
      </c>
      <c r="P393" s="3" t="s">
        <v>2824</v>
      </c>
      <c r="Q393" s="2">
        <v>2843</v>
      </c>
    </row>
    <row r="394" spans="1:17" ht="143.25" customHeight="1" x14ac:dyDescent="0.25">
      <c r="A394" s="5" t="str">
        <f>_xll.JChemExcel.Functions.JCSYSStructure("CCA03CE669835E5F0A7FF2276A9B5953")</f>
        <v/>
      </c>
      <c r="B394" s="3" t="s">
        <v>2825</v>
      </c>
      <c r="C394" s="3" t="s">
        <v>2826</v>
      </c>
      <c r="D394" s="2" t="s">
        <v>2828</v>
      </c>
      <c r="E394" s="2" t="s">
        <v>7558</v>
      </c>
      <c r="F394" s="3" t="s">
        <v>2827</v>
      </c>
      <c r="G394" s="2" t="s">
        <v>2829</v>
      </c>
      <c r="H394" s="8">
        <v>348.4</v>
      </c>
      <c r="I394" s="2" t="s">
        <v>2830</v>
      </c>
      <c r="J394" s="2" t="s">
        <v>26</v>
      </c>
      <c r="K394" s="2">
        <v>6</v>
      </c>
      <c r="L394" s="2" t="s">
        <v>20</v>
      </c>
      <c r="M394" s="2">
        <v>1994</v>
      </c>
      <c r="N394" s="3" t="s">
        <v>2831</v>
      </c>
      <c r="O394" s="3" t="s">
        <v>2832</v>
      </c>
      <c r="P394" s="3" t="s">
        <v>2833</v>
      </c>
      <c r="Q394" s="2">
        <v>2843</v>
      </c>
    </row>
    <row r="395" spans="1:17" ht="143.25" customHeight="1" x14ac:dyDescent="0.25">
      <c r="A395" s="5" t="str">
        <f>_xll.JChemExcel.Functions.JCSYSStructure("7F34B10360D8E13038B165A0442709DB")</f>
        <v/>
      </c>
      <c r="B395" s="3" t="s">
        <v>2834</v>
      </c>
      <c r="C395" s="3" t="s">
        <v>2835</v>
      </c>
      <c r="D395" s="2" t="s">
        <v>2837</v>
      </c>
      <c r="E395" s="2" t="s">
        <v>7559</v>
      </c>
      <c r="F395" s="3" t="s">
        <v>2836</v>
      </c>
      <c r="G395" s="2" t="s">
        <v>2838</v>
      </c>
      <c r="H395" s="8">
        <v>501.5</v>
      </c>
      <c r="I395" s="2" t="s">
        <v>22</v>
      </c>
      <c r="J395" s="2" t="s">
        <v>26</v>
      </c>
      <c r="K395" s="2">
        <v>6</v>
      </c>
      <c r="L395" s="2" t="s">
        <v>20</v>
      </c>
      <c r="M395" s="2">
        <v>2002</v>
      </c>
      <c r="N395" s="3" t="s">
        <v>207</v>
      </c>
      <c r="O395" s="3" t="s">
        <v>2765</v>
      </c>
      <c r="P395" s="3" t="s">
        <v>2839</v>
      </c>
      <c r="Q395" s="2">
        <v>2843</v>
      </c>
    </row>
    <row r="396" spans="1:17" ht="143.25" customHeight="1" x14ac:dyDescent="0.25">
      <c r="A396" s="5" t="str">
        <f>_xll.JChemExcel.Functions.JCSYSStructure("B744AABA440BE6E02FBA5B23A2ADBCA1")</f>
        <v/>
      </c>
      <c r="B396" s="3" t="s">
        <v>2840</v>
      </c>
      <c r="C396" s="3" t="s">
        <v>2841</v>
      </c>
      <c r="D396" s="2" t="s">
        <v>2843</v>
      </c>
      <c r="E396" s="2" t="s">
        <v>7560</v>
      </c>
      <c r="F396" s="3" t="s">
        <v>2842</v>
      </c>
      <c r="G396" s="2" t="s">
        <v>2844</v>
      </c>
      <c r="H396" s="8">
        <v>267.2</v>
      </c>
      <c r="I396" s="2" t="s">
        <v>22</v>
      </c>
      <c r="J396" s="2" t="s">
        <v>26</v>
      </c>
      <c r="K396" s="2">
        <v>6</v>
      </c>
      <c r="L396" s="2" t="s">
        <v>20</v>
      </c>
      <c r="M396" s="2">
        <v>1989</v>
      </c>
      <c r="N396" s="3" t="s">
        <v>79</v>
      </c>
      <c r="O396" s="3" t="s">
        <v>2845</v>
      </c>
      <c r="P396" s="3" t="s">
        <v>2846</v>
      </c>
      <c r="Q396" s="2">
        <v>2843</v>
      </c>
    </row>
    <row r="397" spans="1:17" ht="143.25" customHeight="1" x14ac:dyDescent="0.25">
      <c r="D397" s="2" t="s">
        <v>2848</v>
      </c>
      <c r="F397" s="3" t="s">
        <v>2847</v>
      </c>
      <c r="G397" s="2"/>
      <c r="K397" s="2">
        <v>6</v>
      </c>
      <c r="L397" s="2" t="s">
        <v>20</v>
      </c>
      <c r="Q397" s="2">
        <v>2843</v>
      </c>
    </row>
    <row r="398" spans="1:17" ht="143.25" customHeight="1" x14ac:dyDescent="0.25">
      <c r="A398" s="5" t="str">
        <f>_xll.JChemExcel.Functions.JCSYSStructure("F863D6712E89F5F6A62FCC845D04D825")</f>
        <v/>
      </c>
      <c r="B398" s="3" t="s">
        <v>2849</v>
      </c>
      <c r="C398" s="3" t="s">
        <v>2850</v>
      </c>
      <c r="D398" s="2" t="s">
        <v>2851</v>
      </c>
      <c r="E398" s="2" t="s">
        <v>7993</v>
      </c>
      <c r="F398" s="3" t="s">
        <v>7994</v>
      </c>
      <c r="G398" s="4" t="s">
        <v>7149</v>
      </c>
      <c r="H398" s="8">
        <v>300.39999999999998</v>
      </c>
      <c r="I398" s="2" t="s">
        <v>22</v>
      </c>
      <c r="J398" s="2" t="s">
        <v>26</v>
      </c>
      <c r="K398" s="2">
        <v>6</v>
      </c>
      <c r="L398" s="2" t="s">
        <v>20</v>
      </c>
      <c r="M398" s="2" t="s">
        <v>124</v>
      </c>
      <c r="N398" s="3" t="s">
        <v>563</v>
      </c>
      <c r="O398" s="3" t="s">
        <v>2852</v>
      </c>
      <c r="P398" s="3" t="s">
        <v>53</v>
      </c>
      <c r="Q398" s="2">
        <v>2843</v>
      </c>
    </row>
    <row r="399" spans="1:17" ht="143.25" customHeight="1" x14ac:dyDescent="0.25">
      <c r="A399" s="5" t="str">
        <f>_xll.JChemExcel.Functions.JCSYSStructure("31F59367BC5E1E51950412AF8D9FD338")</f>
        <v/>
      </c>
      <c r="B399" s="3" t="s">
        <v>2853</v>
      </c>
      <c r="C399" s="3" t="s">
        <v>2854</v>
      </c>
      <c r="D399" s="2" t="s">
        <v>2856</v>
      </c>
      <c r="E399" s="2" t="s">
        <v>7561</v>
      </c>
      <c r="F399" s="3" t="s">
        <v>2855</v>
      </c>
      <c r="G399" s="2" t="s">
        <v>2857</v>
      </c>
      <c r="H399" s="8">
        <v>469.6</v>
      </c>
      <c r="I399" s="2" t="s">
        <v>22</v>
      </c>
      <c r="J399" s="2" t="s">
        <v>26</v>
      </c>
      <c r="K399" s="2">
        <v>6</v>
      </c>
      <c r="L399" s="2" t="s">
        <v>20</v>
      </c>
      <c r="M399" s="2" t="s">
        <v>124</v>
      </c>
      <c r="N399" s="3" t="s">
        <v>2858</v>
      </c>
      <c r="O399" s="3" t="s">
        <v>2859</v>
      </c>
      <c r="P399" s="3" t="s">
        <v>2860</v>
      </c>
      <c r="Q399" s="2">
        <v>2843</v>
      </c>
    </row>
    <row r="400" spans="1:17" ht="143.25" customHeight="1" x14ac:dyDescent="0.25">
      <c r="A400" s="5" t="str">
        <f>_xll.JChemExcel.Functions.JCSYSStructure("2C65E2F1C47E748A5ACF9ABF487FA0AB")</f>
        <v/>
      </c>
      <c r="B400" s="3" t="s">
        <v>2861</v>
      </c>
      <c r="C400" s="3" t="s">
        <v>2862</v>
      </c>
      <c r="D400" s="2" t="s">
        <v>2864</v>
      </c>
      <c r="E400" s="2" t="s">
        <v>7562</v>
      </c>
      <c r="F400" s="3" t="s">
        <v>2863</v>
      </c>
      <c r="G400" s="2" t="s">
        <v>2865</v>
      </c>
      <c r="H400" s="8">
        <v>330.8</v>
      </c>
      <c r="I400" s="2" t="s">
        <v>22</v>
      </c>
      <c r="J400" s="2" t="s">
        <v>26</v>
      </c>
      <c r="K400" s="2">
        <v>6</v>
      </c>
      <c r="L400" s="2" t="s">
        <v>20</v>
      </c>
      <c r="M400" s="2">
        <v>2000</v>
      </c>
      <c r="N400" s="3" t="s">
        <v>101</v>
      </c>
      <c r="O400" s="3" t="s">
        <v>2866</v>
      </c>
      <c r="P400" s="3" t="s">
        <v>2867</v>
      </c>
      <c r="Q400" s="2">
        <v>2843</v>
      </c>
    </row>
    <row r="401" spans="1:17" ht="143.25" customHeight="1" x14ac:dyDescent="0.25">
      <c r="D401" s="2" t="s">
        <v>2868</v>
      </c>
      <c r="F401" s="3" t="s">
        <v>2847</v>
      </c>
      <c r="G401" s="2"/>
      <c r="K401" s="2">
        <v>6</v>
      </c>
      <c r="L401" s="2" t="s">
        <v>20</v>
      </c>
      <c r="Q401" s="2">
        <v>2843</v>
      </c>
    </row>
    <row r="402" spans="1:17" ht="143.25" customHeight="1" x14ac:dyDescent="0.25">
      <c r="A402" s="5" t="str">
        <f>_xll.JChemExcel.Functions.JCSYSStructure("F38B755A9D2B8EAAB98AED75C9471B86")</f>
        <v/>
      </c>
      <c r="B402" s="3" t="s">
        <v>2869</v>
      </c>
      <c r="C402" s="3" t="s">
        <v>2870</v>
      </c>
      <c r="D402" s="2" t="s">
        <v>2872</v>
      </c>
      <c r="E402" s="2" t="s">
        <v>7563</v>
      </c>
      <c r="F402" s="3" t="s">
        <v>2871</v>
      </c>
      <c r="G402" s="2" t="s">
        <v>2873</v>
      </c>
      <c r="H402" s="8">
        <v>378.4</v>
      </c>
      <c r="I402" s="2" t="s">
        <v>22</v>
      </c>
      <c r="J402" s="2" t="s">
        <v>26</v>
      </c>
      <c r="K402" s="2">
        <v>6</v>
      </c>
      <c r="L402" s="2" t="s">
        <v>20</v>
      </c>
      <c r="M402" s="2">
        <v>2007</v>
      </c>
      <c r="N402" s="3" t="s">
        <v>2874</v>
      </c>
      <c r="O402" s="3" t="s">
        <v>2875</v>
      </c>
      <c r="P402" s="3" t="s">
        <v>2876</v>
      </c>
      <c r="Q402" s="2">
        <v>2843</v>
      </c>
    </row>
    <row r="403" spans="1:17" ht="143.25" customHeight="1" x14ac:dyDescent="0.25">
      <c r="A403" s="5" t="str">
        <f>_xll.JChemExcel.Functions.JCSYSStructure("A306B41D98AC651CB4803351D31A6A31")</f>
        <v/>
      </c>
      <c r="B403" s="3" t="s">
        <v>2877</v>
      </c>
      <c r="C403" s="3" t="s">
        <v>2878</v>
      </c>
      <c r="D403" s="2" t="s">
        <v>2880</v>
      </c>
      <c r="E403" s="2" t="s">
        <v>7564</v>
      </c>
      <c r="F403" s="3" t="s">
        <v>2879</v>
      </c>
      <c r="G403" s="2" t="s">
        <v>2881</v>
      </c>
      <c r="H403" s="8">
        <v>502.6</v>
      </c>
      <c r="I403" s="2" t="s">
        <v>22</v>
      </c>
      <c r="J403" s="2" t="s">
        <v>26</v>
      </c>
      <c r="K403" s="2">
        <v>6</v>
      </c>
      <c r="L403" s="2" t="s">
        <v>20</v>
      </c>
      <c r="M403" s="2">
        <v>1979</v>
      </c>
      <c r="N403" s="3" t="s">
        <v>2882</v>
      </c>
      <c r="O403" s="3" t="s">
        <v>2883</v>
      </c>
      <c r="P403" s="3" t="s">
        <v>2884</v>
      </c>
      <c r="Q403" s="2">
        <v>2843</v>
      </c>
    </row>
    <row r="404" spans="1:17" ht="143.25" customHeight="1" x14ac:dyDescent="0.25">
      <c r="A404" s="5" t="str">
        <f>_xll.JChemExcel.Functions.JCSYSStructure("332AA4934733B007918382BD0A6B4BD9")</f>
        <v/>
      </c>
      <c r="B404" s="3" t="s">
        <v>2885</v>
      </c>
      <c r="C404" s="3" t="s">
        <v>2886</v>
      </c>
      <c r="D404" s="2" t="s">
        <v>2887</v>
      </c>
      <c r="E404" s="2">
        <v>380266</v>
      </c>
      <c r="F404" s="3" t="s">
        <v>7995</v>
      </c>
      <c r="G404" s="2" t="s">
        <v>2888</v>
      </c>
      <c r="H404" s="8">
        <v>781.8</v>
      </c>
      <c r="I404" s="2" t="s">
        <v>22</v>
      </c>
      <c r="J404" s="2" t="s">
        <v>1013</v>
      </c>
      <c r="K404" s="2">
        <v>6</v>
      </c>
      <c r="L404" s="2" t="s">
        <v>20</v>
      </c>
      <c r="M404" s="2">
        <v>1993</v>
      </c>
      <c r="N404" s="3" t="s">
        <v>23</v>
      </c>
      <c r="O404" s="3" t="s">
        <v>2889</v>
      </c>
      <c r="P404" s="3" t="s">
        <v>2890</v>
      </c>
      <c r="Q404" s="2">
        <v>2843</v>
      </c>
    </row>
    <row r="405" spans="1:17" ht="143.25" customHeight="1" x14ac:dyDescent="0.25">
      <c r="A405" s="5" t="str">
        <f>_xll.JChemExcel.Functions.JCSYSStructure("98C8D2C2004B88A4A035AE251FDAFA70")</f>
        <v/>
      </c>
      <c r="B405" s="3" t="s">
        <v>2891</v>
      </c>
      <c r="C405" s="3" t="s">
        <v>2892</v>
      </c>
      <c r="D405" s="2" t="s">
        <v>2893</v>
      </c>
      <c r="E405" s="2" t="s">
        <v>7565</v>
      </c>
      <c r="F405" s="3" t="s">
        <v>7996</v>
      </c>
      <c r="G405" s="2" t="s">
        <v>2894</v>
      </c>
      <c r="H405" s="8">
        <v>131.19999999999999</v>
      </c>
      <c r="I405" s="2" t="s">
        <v>22</v>
      </c>
      <c r="J405" s="2" t="s">
        <v>1013</v>
      </c>
      <c r="K405" s="2">
        <v>6</v>
      </c>
      <c r="L405" s="2" t="s">
        <v>20</v>
      </c>
      <c r="M405" s="2">
        <v>1964</v>
      </c>
      <c r="N405" s="3" t="s">
        <v>2895</v>
      </c>
      <c r="O405" s="3" t="s">
        <v>2896</v>
      </c>
      <c r="P405" s="3" t="s">
        <v>2897</v>
      </c>
      <c r="Q405" s="2">
        <v>2843</v>
      </c>
    </row>
    <row r="406" spans="1:17" ht="143.25" customHeight="1" x14ac:dyDescent="0.25">
      <c r="A406" s="5" t="str">
        <f>_xll.JChemExcel.Functions.JCSYSStructure("F59E1BA09720B0BB63C9D986730F8E28")</f>
        <v/>
      </c>
      <c r="B406" s="3" t="s">
        <v>2898</v>
      </c>
      <c r="C406" s="3" t="s">
        <v>2899</v>
      </c>
      <c r="D406" s="2" t="s">
        <v>2900</v>
      </c>
      <c r="E406" s="2" t="s">
        <v>7566</v>
      </c>
      <c r="F406" s="3" t="s">
        <v>7997</v>
      </c>
      <c r="G406" s="2" t="s">
        <v>2901</v>
      </c>
      <c r="H406" s="8">
        <v>216.2</v>
      </c>
      <c r="I406" s="2" t="s">
        <v>22</v>
      </c>
      <c r="J406" s="2" t="s">
        <v>26</v>
      </c>
      <c r="K406" s="2">
        <v>6</v>
      </c>
      <c r="L406" s="2" t="s">
        <v>20</v>
      </c>
      <c r="M406" s="2">
        <v>1944</v>
      </c>
      <c r="N406" s="3" t="s">
        <v>2902</v>
      </c>
      <c r="O406" s="3" t="s">
        <v>2903</v>
      </c>
      <c r="P406" s="3" t="s">
        <v>2904</v>
      </c>
      <c r="Q406" s="2">
        <v>2843</v>
      </c>
    </row>
    <row r="407" spans="1:17" ht="143.25" customHeight="1" x14ac:dyDescent="0.25">
      <c r="A407" s="5" t="str">
        <f>_xll.JChemExcel.Functions.JCSYSStructure("59057A2194F5C059EE5E56CD496E1608")</f>
        <v/>
      </c>
      <c r="B407" s="3" t="s">
        <v>2905</v>
      </c>
      <c r="C407" s="3" t="s">
        <v>2906</v>
      </c>
      <c r="D407" s="2" t="s">
        <v>2908</v>
      </c>
      <c r="E407" s="2" t="s">
        <v>7567</v>
      </c>
      <c r="F407" s="3" t="s">
        <v>2907</v>
      </c>
      <c r="G407" s="4" t="s">
        <v>7150</v>
      </c>
      <c r="H407" s="8">
        <v>167.6</v>
      </c>
      <c r="I407" s="2" t="s">
        <v>22</v>
      </c>
      <c r="J407" s="2" t="s">
        <v>26</v>
      </c>
      <c r="K407" s="2">
        <v>6</v>
      </c>
      <c r="L407" s="2" t="s">
        <v>20</v>
      </c>
      <c r="M407" s="2" t="s">
        <v>124</v>
      </c>
      <c r="N407" s="3" t="s">
        <v>563</v>
      </c>
      <c r="O407" s="3" t="s">
        <v>2909</v>
      </c>
      <c r="P407" s="3" t="s">
        <v>53</v>
      </c>
      <c r="Q407" s="2">
        <v>2843</v>
      </c>
    </row>
    <row r="408" spans="1:17" ht="143.25" customHeight="1" x14ac:dyDescent="0.25">
      <c r="A408" s="5" t="str">
        <f>_xll.JChemExcel.Functions.JCSYSStructure("E5AC9B0E2E1F099ECA29F033B386977C")</f>
        <v/>
      </c>
      <c r="B408" s="3" t="s">
        <v>2910</v>
      </c>
      <c r="C408" s="3" t="s">
        <v>2911</v>
      </c>
      <c r="D408" s="2" t="s">
        <v>2913</v>
      </c>
      <c r="E408" s="2" t="s">
        <v>7568</v>
      </c>
      <c r="F408" s="3" t="s">
        <v>2912</v>
      </c>
      <c r="G408" s="2" t="s">
        <v>2914</v>
      </c>
      <c r="H408" s="8">
        <v>298.3</v>
      </c>
      <c r="I408" s="2" t="s">
        <v>22</v>
      </c>
      <c r="J408" s="2" t="s">
        <v>26</v>
      </c>
      <c r="K408" s="2">
        <v>6</v>
      </c>
      <c r="L408" s="2" t="s">
        <v>20</v>
      </c>
      <c r="M408" s="2">
        <v>1996</v>
      </c>
      <c r="N408" s="3" t="s">
        <v>2831</v>
      </c>
      <c r="O408" s="3" t="s">
        <v>2915</v>
      </c>
      <c r="P408" s="3" t="s">
        <v>2916</v>
      </c>
      <c r="Q408" s="2">
        <v>2843</v>
      </c>
    </row>
    <row r="409" spans="1:17" ht="143.25" customHeight="1" x14ac:dyDescent="0.25">
      <c r="A409" s="5" t="str">
        <f>_xll.JChemExcel.Functions.JCSYSStructure("CFF5C07B1436DE9EC43B3CEA5B7CFB27")</f>
        <v/>
      </c>
      <c r="B409" s="3" t="s">
        <v>2917</v>
      </c>
      <c r="C409" s="3" t="s">
        <v>2918</v>
      </c>
      <c r="D409" s="2" t="s">
        <v>2920</v>
      </c>
      <c r="E409" s="2">
        <v>380280</v>
      </c>
      <c r="F409" s="3" t="s">
        <v>2919</v>
      </c>
      <c r="G409" s="2" t="s">
        <v>2921</v>
      </c>
      <c r="H409" s="8">
        <v>924.1</v>
      </c>
      <c r="I409" s="2" t="s">
        <v>22</v>
      </c>
      <c r="J409" s="2" t="s">
        <v>26</v>
      </c>
      <c r="K409" s="2">
        <v>6</v>
      </c>
      <c r="L409" s="2" t="s">
        <v>20</v>
      </c>
      <c r="M409" s="2">
        <v>1992</v>
      </c>
      <c r="N409" s="3" t="s">
        <v>676</v>
      </c>
      <c r="O409" s="3" t="s">
        <v>2922</v>
      </c>
      <c r="P409" s="3" t="s">
        <v>2923</v>
      </c>
      <c r="Q409" s="2">
        <v>2843</v>
      </c>
    </row>
    <row r="410" spans="1:17" ht="143.25" customHeight="1" x14ac:dyDescent="0.25">
      <c r="A410" s="5" t="str">
        <f>_xll.JChemExcel.Functions.JCSYSStructure("2D655DCB5D4C8D9EE63927CE4B0367C6")</f>
        <v/>
      </c>
      <c r="B410" s="3" t="s">
        <v>2924</v>
      </c>
      <c r="C410" s="3" t="s">
        <v>2925</v>
      </c>
      <c r="D410" s="2" t="s">
        <v>2927</v>
      </c>
      <c r="E410" s="2" t="s">
        <v>7569</v>
      </c>
      <c r="F410" s="3" t="s">
        <v>2926</v>
      </c>
      <c r="G410" s="2" t="s">
        <v>2928</v>
      </c>
      <c r="H410" s="8">
        <v>197.8</v>
      </c>
      <c r="I410" s="2" t="s">
        <v>22</v>
      </c>
      <c r="J410" s="2" t="s">
        <v>1013</v>
      </c>
      <c r="K410" s="2">
        <v>6</v>
      </c>
      <c r="L410" s="2" t="s">
        <v>20</v>
      </c>
      <c r="M410" s="2">
        <v>2000</v>
      </c>
      <c r="N410" s="3" t="s">
        <v>563</v>
      </c>
      <c r="O410" s="3" t="s">
        <v>2929</v>
      </c>
      <c r="P410" s="3" t="s">
        <v>2930</v>
      </c>
      <c r="Q410" s="2">
        <v>2843</v>
      </c>
    </row>
    <row r="411" spans="1:17" ht="143.25" customHeight="1" x14ac:dyDescent="0.25">
      <c r="A411" s="5" t="str">
        <f>_xll.JChemExcel.Functions.JCSYSStructure("B21649D1DE2B475AF8D4A45199F85BAB")</f>
        <v/>
      </c>
      <c r="B411" s="3" t="s">
        <v>2931</v>
      </c>
      <c r="C411" s="3" t="s">
        <v>2932</v>
      </c>
      <c r="D411" s="2" t="s">
        <v>2934</v>
      </c>
      <c r="E411" s="2" t="s">
        <v>7570</v>
      </c>
      <c r="F411" s="3" t="s">
        <v>2933</v>
      </c>
      <c r="G411" s="2" t="s">
        <v>2935</v>
      </c>
      <c r="H411" s="8">
        <v>298.39999999999998</v>
      </c>
      <c r="I411" s="2" t="s">
        <v>22</v>
      </c>
      <c r="J411" s="2" t="s">
        <v>26</v>
      </c>
      <c r="K411" s="2">
        <v>6</v>
      </c>
      <c r="L411" s="2" t="s">
        <v>20</v>
      </c>
      <c r="M411" s="2">
        <v>2009</v>
      </c>
      <c r="N411" s="3" t="s">
        <v>2936</v>
      </c>
      <c r="O411" s="3" t="s">
        <v>2937</v>
      </c>
      <c r="P411" s="3" t="s">
        <v>2938</v>
      </c>
      <c r="Q411" s="2">
        <v>2843</v>
      </c>
    </row>
    <row r="412" spans="1:17" ht="143.25" customHeight="1" x14ac:dyDescent="0.25">
      <c r="A412" s="5" t="str">
        <f>_xll.JChemExcel.Functions.JCSYSStructure("D8A48E39A874A8F5D3BCA3E0331F1DA1")</f>
        <v/>
      </c>
      <c r="B412" s="3" t="s">
        <v>2939</v>
      </c>
      <c r="C412" s="3" t="s">
        <v>2940</v>
      </c>
      <c r="D412" s="2" t="s">
        <v>2942</v>
      </c>
      <c r="E412" s="2" t="s">
        <v>7571</v>
      </c>
      <c r="F412" s="3" t="s">
        <v>2941</v>
      </c>
      <c r="G412" s="2" t="s">
        <v>2943</v>
      </c>
      <c r="H412" s="8">
        <v>320.8</v>
      </c>
      <c r="I412" s="2" t="s">
        <v>22</v>
      </c>
      <c r="J412" s="2" t="s">
        <v>26</v>
      </c>
      <c r="K412" s="2">
        <v>6</v>
      </c>
      <c r="L412" s="2" t="s">
        <v>20</v>
      </c>
      <c r="M412" s="2">
        <v>2000</v>
      </c>
      <c r="N412" s="3" t="s">
        <v>2944</v>
      </c>
      <c r="O412" s="3" t="s">
        <v>156</v>
      </c>
      <c r="P412" s="3" t="s">
        <v>2945</v>
      </c>
      <c r="Q412" s="2">
        <v>2843</v>
      </c>
    </row>
    <row r="413" spans="1:17" ht="143.25" customHeight="1" x14ac:dyDescent="0.25">
      <c r="A413" s="5" t="str">
        <f>_xll.JChemExcel.Functions.JCSYSStructure("F5BBB26B5E525DE4FD4473C42392A74B")</f>
        <v/>
      </c>
      <c r="B413" s="3" t="s">
        <v>2946</v>
      </c>
      <c r="C413" s="3" t="s">
        <v>2947</v>
      </c>
      <c r="D413" s="2" t="s">
        <v>2949</v>
      </c>
      <c r="E413" s="2">
        <v>460001</v>
      </c>
      <c r="F413" s="3" t="s">
        <v>2948</v>
      </c>
      <c r="G413" s="2" t="s">
        <v>2950</v>
      </c>
      <c r="H413" s="8">
        <v>176.1</v>
      </c>
      <c r="I413" s="2" t="s">
        <v>22</v>
      </c>
      <c r="J413" s="2" t="s">
        <v>26</v>
      </c>
      <c r="K413" s="2">
        <v>6</v>
      </c>
      <c r="L413" s="2" t="s">
        <v>20</v>
      </c>
      <c r="M413" s="2" t="s">
        <v>124</v>
      </c>
      <c r="N413" s="3" t="s">
        <v>2951</v>
      </c>
      <c r="O413" s="3" t="s">
        <v>2952</v>
      </c>
      <c r="P413" s="3" t="s">
        <v>2953</v>
      </c>
      <c r="Q413" s="2">
        <v>2843</v>
      </c>
    </row>
    <row r="414" spans="1:17" ht="143.25" customHeight="1" x14ac:dyDescent="0.25">
      <c r="A414" s="5" t="str">
        <f>_xll.JChemExcel.Functions.JCSYSStructure("8BD8DD92D143EC1C0CE0E6B6E7466ACF")</f>
        <v/>
      </c>
      <c r="B414" s="3" t="s">
        <v>2954</v>
      </c>
      <c r="C414" s="3" t="s">
        <v>2955</v>
      </c>
      <c r="D414" s="2" t="s">
        <v>2957</v>
      </c>
      <c r="E414" s="2" t="s">
        <v>7572</v>
      </c>
      <c r="F414" s="3" t="s">
        <v>2956</v>
      </c>
      <c r="G414" s="2" t="s">
        <v>2958</v>
      </c>
      <c r="H414" s="8">
        <v>401.8</v>
      </c>
      <c r="I414" s="2" t="s">
        <v>22</v>
      </c>
      <c r="J414" s="2" t="s">
        <v>26</v>
      </c>
      <c r="K414" s="2">
        <v>6</v>
      </c>
      <c r="L414" s="2" t="s">
        <v>20</v>
      </c>
      <c r="M414" s="2">
        <v>2009</v>
      </c>
      <c r="N414" s="3" t="s">
        <v>94</v>
      </c>
      <c r="O414" s="3" t="s">
        <v>2959</v>
      </c>
      <c r="P414" s="3" t="s">
        <v>2960</v>
      </c>
      <c r="Q414" s="2">
        <v>2843</v>
      </c>
    </row>
    <row r="415" spans="1:17" ht="143.25" customHeight="1" x14ac:dyDescent="0.25">
      <c r="A415" s="5" t="str">
        <f>_xll.JChemExcel.Functions.JCSYSStructure("ED25611002420A56CAA94782B35FB58D")</f>
        <v/>
      </c>
      <c r="B415" s="3" t="s">
        <v>2961</v>
      </c>
      <c r="C415" s="3" t="s">
        <v>2962</v>
      </c>
      <c r="D415" s="2" t="s">
        <v>2963</v>
      </c>
      <c r="E415" s="2" t="s">
        <v>7573</v>
      </c>
      <c r="F415" s="3" t="s">
        <v>7998</v>
      </c>
      <c r="G415" s="2" t="s">
        <v>2964</v>
      </c>
      <c r="H415" s="8">
        <v>291.81567999999999</v>
      </c>
      <c r="I415" s="2" t="s">
        <v>22</v>
      </c>
      <c r="J415" s="2" t="s">
        <v>26</v>
      </c>
      <c r="K415" s="2">
        <v>6</v>
      </c>
      <c r="L415" s="2" t="s">
        <v>20</v>
      </c>
      <c r="M415" s="2">
        <v>2002</v>
      </c>
      <c r="N415" s="3" t="s">
        <v>2965</v>
      </c>
      <c r="O415" s="3" t="s">
        <v>2966</v>
      </c>
      <c r="P415" s="3" t="s">
        <v>2967</v>
      </c>
      <c r="Q415" s="2">
        <v>2843</v>
      </c>
    </row>
    <row r="416" spans="1:17" ht="143.25" customHeight="1" x14ac:dyDescent="0.25">
      <c r="A416" s="5" t="str">
        <f>_xll.JChemExcel.Functions.JCSYSStructure("31CD48BE7FB6BA61F90DA61340A86D94")</f>
        <v/>
      </c>
      <c r="B416" s="3" t="s">
        <v>2968</v>
      </c>
      <c r="C416" s="3" t="s">
        <v>2969</v>
      </c>
      <c r="D416" s="2" t="s">
        <v>2970</v>
      </c>
      <c r="E416" s="2" t="s">
        <v>8000</v>
      </c>
      <c r="F416" s="3" t="s">
        <v>7999</v>
      </c>
      <c r="G416" s="2" t="s">
        <v>2971</v>
      </c>
      <c r="H416" s="8">
        <v>1155.3</v>
      </c>
      <c r="I416" s="2" t="s">
        <v>22</v>
      </c>
      <c r="J416" s="2" t="s">
        <v>26</v>
      </c>
      <c r="K416" s="2">
        <v>6</v>
      </c>
      <c r="L416" s="2" t="s">
        <v>20</v>
      </c>
      <c r="M416" s="2">
        <v>1996</v>
      </c>
      <c r="N416" s="3" t="s">
        <v>2972</v>
      </c>
      <c r="O416" s="3" t="s">
        <v>2973</v>
      </c>
      <c r="P416" s="3" t="s">
        <v>2974</v>
      </c>
      <c r="Q416" s="2">
        <v>2843</v>
      </c>
    </row>
    <row r="417" spans="1:17" ht="143.25" customHeight="1" x14ac:dyDescent="0.25">
      <c r="A417" s="5" t="str">
        <f>_xll.JChemExcel.Functions.JCSYSStructure("1543E80A03E4D85D4DBE738B9C5FF058")</f>
        <v/>
      </c>
      <c r="B417" s="3" t="s">
        <v>2975</v>
      </c>
      <c r="C417" s="3" t="s">
        <v>2976</v>
      </c>
      <c r="D417" s="2" t="s">
        <v>2977</v>
      </c>
      <c r="E417" s="2" t="s">
        <v>7574</v>
      </c>
      <c r="F417" s="3" t="s">
        <v>8001</v>
      </c>
      <c r="G417" s="2" t="s">
        <v>2978</v>
      </c>
      <c r="H417" s="8">
        <v>244.2</v>
      </c>
      <c r="I417" s="2" t="s">
        <v>22</v>
      </c>
      <c r="J417" s="2" t="s">
        <v>26</v>
      </c>
      <c r="K417" s="2">
        <v>6</v>
      </c>
      <c r="L417" s="2" t="s">
        <v>20</v>
      </c>
      <c r="M417" s="2">
        <v>2004</v>
      </c>
      <c r="N417" s="3" t="s">
        <v>563</v>
      </c>
      <c r="O417" s="3" t="s">
        <v>2979</v>
      </c>
      <c r="P417" s="3" t="s">
        <v>2980</v>
      </c>
      <c r="Q417" s="2">
        <v>2843</v>
      </c>
    </row>
    <row r="418" spans="1:17" ht="143.25" customHeight="1" x14ac:dyDescent="0.25">
      <c r="A418" s="5" t="str">
        <f>_xll.JChemExcel.Functions.JCSYSStructure("EB834F77A00BAED7995F7F376B30EC26")</f>
        <v/>
      </c>
      <c r="B418" s="3" t="s">
        <v>2981</v>
      </c>
      <c r="C418" s="3" t="s">
        <v>2982</v>
      </c>
      <c r="D418" s="2" t="s">
        <v>2984</v>
      </c>
      <c r="E418" s="2" t="s">
        <v>7575</v>
      </c>
      <c r="F418" s="3" t="s">
        <v>2983</v>
      </c>
      <c r="G418" s="2" t="s">
        <v>2985</v>
      </c>
      <c r="H418" s="8">
        <v>188.2</v>
      </c>
      <c r="I418" s="2" t="s">
        <v>22</v>
      </c>
      <c r="J418" s="2" t="s">
        <v>26</v>
      </c>
      <c r="K418" s="2">
        <v>6</v>
      </c>
      <c r="L418" s="2" t="s">
        <v>20</v>
      </c>
      <c r="M418" s="2">
        <v>1995</v>
      </c>
      <c r="N418" s="3" t="s">
        <v>2986</v>
      </c>
      <c r="O418" s="3" t="s">
        <v>2987</v>
      </c>
      <c r="P418" s="3" t="s">
        <v>2988</v>
      </c>
      <c r="Q418" s="2">
        <v>2843</v>
      </c>
    </row>
    <row r="419" spans="1:17" ht="143.25" customHeight="1" x14ac:dyDescent="0.25">
      <c r="A419" s="5" t="str">
        <f>_xll.JChemExcel.Functions.JCSYSStructure("041BFBE8619AC639EF4017C0D05E3A16")</f>
        <v/>
      </c>
      <c r="B419" s="3" t="s">
        <v>2989</v>
      </c>
      <c r="C419" s="3" t="s">
        <v>2990</v>
      </c>
      <c r="D419" s="2" t="s">
        <v>2992</v>
      </c>
      <c r="E419" s="2" t="s">
        <v>7576</v>
      </c>
      <c r="F419" s="3" t="s">
        <v>2991</v>
      </c>
      <c r="G419" s="2" t="s">
        <v>2993</v>
      </c>
      <c r="H419" s="8">
        <v>418.4</v>
      </c>
      <c r="I419" s="2" t="s">
        <v>22</v>
      </c>
      <c r="J419" s="2" t="s">
        <v>26</v>
      </c>
      <c r="K419" s="2">
        <v>6</v>
      </c>
      <c r="L419" s="2" t="s">
        <v>20</v>
      </c>
      <c r="M419" s="2">
        <v>1996</v>
      </c>
      <c r="N419" s="3" t="s">
        <v>2831</v>
      </c>
      <c r="O419" s="3" t="s">
        <v>2994</v>
      </c>
      <c r="P419" s="3" t="s">
        <v>2995</v>
      </c>
      <c r="Q419" s="2">
        <v>2843</v>
      </c>
    </row>
    <row r="420" spans="1:17" ht="143.25" customHeight="1" x14ac:dyDescent="0.25">
      <c r="A420" s="5" t="str">
        <f>_xll.JChemExcel.Functions.JCSYSStructure("715CCAF3964233D0ED9AF087F84E71CF")</f>
        <v/>
      </c>
      <c r="B420" s="3" t="s">
        <v>2996</v>
      </c>
      <c r="C420" s="3" t="s">
        <v>2997</v>
      </c>
      <c r="D420" s="2" t="s">
        <v>2999</v>
      </c>
      <c r="E420" s="2" t="s">
        <v>7577</v>
      </c>
      <c r="F420" s="3" t="s">
        <v>2998</v>
      </c>
      <c r="G420" s="6" t="s">
        <v>8002</v>
      </c>
      <c r="H420" s="8">
        <v>1422.7</v>
      </c>
      <c r="I420" s="2" t="s">
        <v>22</v>
      </c>
      <c r="J420" s="2" t="s">
        <v>26</v>
      </c>
      <c r="K420" s="2">
        <v>6</v>
      </c>
      <c r="L420" s="2" t="s">
        <v>20</v>
      </c>
      <c r="M420" s="2">
        <v>1972</v>
      </c>
      <c r="N420" s="3" t="s">
        <v>23</v>
      </c>
      <c r="O420" s="3" t="s">
        <v>3000</v>
      </c>
      <c r="P420" s="3" t="s">
        <v>3001</v>
      </c>
      <c r="Q420" s="2">
        <v>2843</v>
      </c>
    </row>
    <row r="421" spans="1:17" ht="143.25" customHeight="1" x14ac:dyDescent="0.25">
      <c r="A421" s="5" t="str">
        <f>_xll.JChemExcel.Functions.JCSYSStructure("EA78BE5F2DD387673C6A9E81493002DB")</f>
        <v/>
      </c>
      <c r="B421" s="3" t="s">
        <v>3002</v>
      </c>
      <c r="C421" s="3" t="s">
        <v>3003</v>
      </c>
      <c r="D421" s="2" t="s">
        <v>3004</v>
      </c>
      <c r="E421" s="2" t="s">
        <v>7578</v>
      </c>
      <c r="F421" s="3" t="s">
        <v>7226</v>
      </c>
      <c r="G421" s="2" t="s">
        <v>3005</v>
      </c>
      <c r="H421" s="8">
        <v>213.7</v>
      </c>
      <c r="I421" s="2" t="s">
        <v>22</v>
      </c>
      <c r="J421" s="2" t="s">
        <v>26</v>
      </c>
      <c r="K421" s="2">
        <v>6</v>
      </c>
      <c r="L421" s="2" t="s">
        <v>20</v>
      </c>
      <c r="M421" s="2">
        <v>1977</v>
      </c>
      <c r="N421" s="3" t="s">
        <v>2564</v>
      </c>
      <c r="O421" s="3" t="s">
        <v>3006</v>
      </c>
      <c r="P421" s="3" t="s">
        <v>3007</v>
      </c>
      <c r="Q421" s="2">
        <v>2843</v>
      </c>
    </row>
    <row r="422" spans="1:17" ht="143.25" customHeight="1" x14ac:dyDescent="0.25">
      <c r="A422" s="5" t="str">
        <f>_xll.JChemExcel.Functions.JCSYSStructure("13499C612E503D4B013CC2CA62213D41")</f>
        <v/>
      </c>
      <c r="B422" s="3" t="s">
        <v>3008</v>
      </c>
      <c r="C422" s="3" t="s">
        <v>3009</v>
      </c>
      <c r="D422" s="2" t="s">
        <v>3011</v>
      </c>
      <c r="E422" s="2" t="s">
        <v>7579</v>
      </c>
      <c r="F422" s="3" t="s">
        <v>3010</v>
      </c>
      <c r="G422" s="2" t="s">
        <v>3012</v>
      </c>
      <c r="H422" s="8">
        <v>357.3</v>
      </c>
      <c r="I422" s="2" t="s">
        <v>22</v>
      </c>
      <c r="J422" s="2" t="s">
        <v>26</v>
      </c>
      <c r="K422" s="2">
        <v>6</v>
      </c>
      <c r="L422" s="2" t="s">
        <v>20</v>
      </c>
      <c r="M422" s="2" t="s">
        <v>124</v>
      </c>
      <c r="N422" s="3" t="s">
        <v>3013</v>
      </c>
      <c r="O422" s="3" t="s">
        <v>3014</v>
      </c>
      <c r="P422" s="3" t="s">
        <v>53</v>
      </c>
      <c r="Q422" s="2">
        <v>2843</v>
      </c>
    </row>
    <row r="423" spans="1:17" ht="143.25" customHeight="1" x14ac:dyDescent="0.25">
      <c r="A423" s="5" t="str">
        <f>_xll.JChemExcel.Functions.JCSYSStructure("2A83D789B5C0DE24F318CD11B9EC0D96")</f>
        <v/>
      </c>
      <c r="B423" s="3" t="s">
        <v>3015</v>
      </c>
      <c r="C423" s="3" t="s">
        <v>3016</v>
      </c>
      <c r="D423" s="2" t="s">
        <v>3018</v>
      </c>
      <c r="E423" s="2" t="s">
        <v>7580</v>
      </c>
      <c r="F423" s="3" t="s">
        <v>3017</v>
      </c>
      <c r="G423" s="4" t="s">
        <v>7151</v>
      </c>
      <c r="H423" s="8">
        <v>521</v>
      </c>
      <c r="I423" s="2" t="s">
        <v>22</v>
      </c>
      <c r="J423" s="2" t="s">
        <v>26</v>
      </c>
      <c r="K423" s="2">
        <v>6</v>
      </c>
      <c r="L423" s="2" t="s">
        <v>20</v>
      </c>
      <c r="M423" s="2" t="s">
        <v>124</v>
      </c>
      <c r="N423" s="3" t="s">
        <v>3019</v>
      </c>
      <c r="O423" s="3" t="s">
        <v>3020</v>
      </c>
      <c r="P423" s="3" t="s">
        <v>53</v>
      </c>
      <c r="Q423" s="2">
        <v>2843</v>
      </c>
    </row>
    <row r="424" spans="1:17" ht="143.25" customHeight="1" x14ac:dyDescent="0.25">
      <c r="A424" s="5" t="str">
        <f>_xll.JChemExcel.Functions.JCSYSStructure("9F47F649C9DEEB4236FF25A423ACF280")</f>
        <v/>
      </c>
      <c r="B424" s="3" t="s">
        <v>3021</v>
      </c>
      <c r="C424" s="3" t="s">
        <v>3022</v>
      </c>
      <c r="D424" s="2" t="s">
        <v>3024</v>
      </c>
      <c r="E424" s="2" t="s">
        <v>7581</v>
      </c>
      <c r="F424" s="3" t="s">
        <v>3023</v>
      </c>
      <c r="G424" s="2" t="s">
        <v>3025</v>
      </c>
      <c r="H424" s="8">
        <v>461</v>
      </c>
      <c r="I424" s="2" t="s">
        <v>22</v>
      </c>
      <c r="J424" s="2" t="s">
        <v>26</v>
      </c>
      <c r="K424" s="2">
        <v>6</v>
      </c>
      <c r="L424" s="2" t="s">
        <v>20</v>
      </c>
      <c r="M424" s="2">
        <v>1991</v>
      </c>
      <c r="N424" s="3" t="s">
        <v>183</v>
      </c>
      <c r="O424" s="3" t="s">
        <v>3026</v>
      </c>
      <c r="P424" s="3" t="s">
        <v>3027</v>
      </c>
      <c r="Q424" s="2">
        <v>2843</v>
      </c>
    </row>
    <row r="425" spans="1:17" ht="143.25" customHeight="1" x14ac:dyDescent="0.25">
      <c r="A425" s="5" t="str">
        <f>_xll.JChemExcel.Functions.JCSYSStructure("92755EC2CB157955C87D979716F23605")</f>
        <v/>
      </c>
      <c r="B425" s="3" t="s">
        <v>3028</v>
      </c>
      <c r="C425" s="3" t="s">
        <v>3029</v>
      </c>
      <c r="D425" s="2" t="s">
        <v>3030</v>
      </c>
      <c r="E425" s="2" t="s">
        <v>7582</v>
      </c>
      <c r="F425" s="3" t="s">
        <v>8003</v>
      </c>
      <c r="G425" s="2" t="s">
        <v>3031</v>
      </c>
      <c r="H425" s="8">
        <v>394.72377999999998</v>
      </c>
      <c r="I425" s="2" t="s">
        <v>22</v>
      </c>
      <c r="J425" s="2" t="s">
        <v>26</v>
      </c>
      <c r="K425" s="2">
        <v>6</v>
      </c>
      <c r="L425" s="2" t="s">
        <v>20</v>
      </c>
      <c r="M425" s="2">
        <v>2008</v>
      </c>
      <c r="N425" s="3" t="s">
        <v>563</v>
      </c>
      <c r="O425" s="3" t="s">
        <v>1530</v>
      </c>
      <c r="P425" s="3" t="s">
        <v>3032</v>
      </c>
      <c r="Q425" s="2">
        <v>2843</v>
      </c>
    </row>
    <row r="426" spans="1:17" ht="143.25" customHeight="1" x14ac:dyDescent="0.25">
      <c r="A426" s="5" t="str">
        <f>_xll.JChemExcel.Functions.JCSYSStructure("8C34FAA1CF30C5896A2AB44E234D1B5E")</f>
        <v/>
      </c>
      <c r="B426" s="3" t="s">
        <v>3033</v>
      </c>
      <c r="C426" s="3" t="s">
        <v>3034</v>
      </c>
      <c r="D426" s="2" t="s">
        <v>3036</v>
      </c>
      <c r="E426" s="2" t="s">
        <v>7583</v>
      </c>
      <c r="F426" s="3" t="s">
        <v>3035</v>
      </c>
      <c r="G426" s="2" t="s">
        <v>3037</v>
      </c>
      <c r="H426" s="8">
        <v>421.4</v>
      </c>
      <c r="I426" s="2" t="s">
        <v>22</v>
      </c>
      <c r="J426" s="2" t="s">
        <v>26</v>
      </c>
      <c r="K426" s="2">
        <v>6</v>
      </c>
      <c r="L426" s="2" t="s">
        <v>20</v>
      </c>
      <c r="M426" s="2">
        <v>1959</v>
      </c>
      <c r="N426" s="3" t="s">
        <v>3038</v>
      </c>
      <c r="O426" s="3" t="s">
        <v>3039</v>
      </c>
      <c r="P426" s="3" t="s">
        <v>3040</v>
      </c>
      <c r="Q426" s="2">
        <v>2843</v>
      </c>
    </row>
    <row r="427" spans="1:17" ht="143.25" customHeight="1" x14ac:dyDescent="0.25">
      <c r="A427" s="5" t="str">
        <f>_xll.JChemExcel.Functions.JCSYSStructure("61A71F960D66D793E8F61F4533B2AC32")</f>
        <v/>
      </c>
      <c r="B427" s="3" t="s">
        <v>3041</v>
      </c>
      <c r="C427" s="3" t="s">
        <v>3042</v>
      </c>
      <c r="D427" s="2" t="s">
        <v>3043</v>
      </c>
      <c r="E427" s="2">
        <v>550143</v>
      </c>
      <c r="F427" s="3" t="s">
        <v>8004</v>
      </c>
      <c r="G427" s="2" t="s">
        <v>3044</v>
      </c>
      <c r="H427" s="8">
        <v>403.5</v>
      </c>
      <c r="I427" s="2" t="s">
        <v>22</v>
      </c>
      <c r="J427" s="2" t="s">
        <v>26</v>
      </c>
      <c r="K427" s="2">
        <v>6</v>
      </c>
      <c r="L427" s="2" t="s">
        <v>20</v>
      </c>
      <c r="M427" s="2">
        <v>1954</v>
      </c>
      <c r="N427" s="3" t="s">
        <v>702</v>
      </c>
      <c r="O427" s="3" t="s">
        <v>3045</v>
      </c>
      <c r="P427" s="3" t="s">
        <v>3046</v>
      </c>
      <c r="Q427" s="2">
        <v>2843</v>
      </c>
    </row>
    <row r="428" spans="1:17" ht="143.25" customHeight="1" x14ac:dyDescent="0.25">
      <c r="A428" s="5" t="str">
        <f>_xll.JChemExcel.Functions.JCSYSStructure("C8CD1306851BC9A18B8767B3A104E57C")</f>
        <v/>
      </c>
      <c r="B428" s="3" t="s">
        <v>3047</v>
      </c>
      <c r="C428" s="3" t="s">
        <v>3048</v>
      </c>
      <c r="D428" s="2" t="s">
        <v>3050</v>
      </c>
      <c r="E428" s="2" t="s">
        <v>7584</v>
      </c>
      <c r="F428" s="3" t="s">
        <v>3049</v>
      </c>
      <c r="G428" s="2" t="s">
        <v>3051</v>
      </c>
      <c r="H428" s="8">
        <v>117.14634</v>
      </c>
      <c r="I428" s="2" t="s">
        <v>22</v>
      </c>
      <c r="J428" s="2" t="s">
        <v>26</v>
      </c>
      <c r="K428" s="2">
        <v>6</v>
      </c>
      <c r="L428" s="2" t="s">
        <v>20</v>
      </c>
      <c r="M428" s="2">
        <v>1996</v>
      </c>
      <c r="N428" s="3" t="s">
        <v>3052</v>
      </c>
      <c r="O428" s="3" t="s">
        <v>3053</v>
      </c>
      <c r="P428" s="3" t="s">
        <v>3054</v>
      </c>
      <c r="Q428" s="2">
        <v>2843</v>
      </c>
    </row>
    <row r="429" spans="1:17" ht="143.25" customHeight="1" x14ac:dyDescent="0.25">
      <c r="A429" s="5" t="str">
        <f>_xll.JChemExcel.Functions.JCSYSStructure("0648BCFD31C3A7C5F684F68F1B998C6B")</f>
        <v/>
      </c>
      <c r="B429" s="3" t="s">
        <v>3055</v>
      </c>
      <c r="C429" s="3" t="s">
        <v>3056</v>
      </c>
      <c r="D429" s="2" t="s">
        <v>3058</v>
      </c>
      <c r="E429" s="2" t="s">
        <v>7585</v>
      </c>
      <c r="F429" s="3" t="s">
        <v>3057</v>
      </c>
      <c r="G429" s="2" t="s">
        <v>3059</v>
      </c>
      <c r="H429" s="8">
        <v>196.7</v>
      </c>
      <c r="I429" s="2" t="s">
        <v>22</v>
      </c>
      <c r="J429" s="2" t="s">
        <v>26</v>
      </c>
      <c r="K429" s="2">
        <v>6</v>
      </c>
      <c r="L429" s="2" t="s">
        <v>20</v>
      </c>
      <c r="M429" s="2">
        <v>1948</v>
      </c>
      <c r="N429" s="3" t="s">
        <v>3060</v>
      </c>
      <c r="O429" s="3" t="s">
        <v>3061</v>
      </c>
      <c r="P429" s="3" t="s">
        <v>3062</v>
      </c>
      <c r="Q429" s="2">
        <v>2843</v>
      </c>
    </row>
    <row r="430" spans="1:17" ht="143.25" customHeight="1" x14ac:dyDescent="0.25">
      <c r="A430" s="5" t="str">
        <f>_xll.JChemExcel.Functions.JCSYSStructure("BB919F343EA3500849E56C6E0F6A3E25")</f>
        <v/>
      </c>
      <c r="B430" s="3" t="s">
        <v>3063</v>
      </c>
      <c r="C430" s="3" t="s">
        <v>3064</v>
      </c>
      <c r="D430" s="2" t="s">
        <v>3066</v>
      </c>
      <c r="E430" s="2" t="s">
        <v>7586</v>
      </c>
      <c r="F430" s="3" t="s">
        <v>3065</v>
      </c>
      <c r="G430" s="2" t="s">
        <v>3067</v>
      </c>
      <c r="H430" s="8">
        <v>415.56558000000001</v>
      </c>
      <c r="I430" s="2" t="s">
        <v>22</v>
      </c>
      <c r="J430" s="2" t="s">
        <v>26</v>
      </c>
      <c r="K430" s="2">
        <v>6</v>
      </c>
      <c r="L430" s="2" t="s">
        <v>20</v>
      </c>
      <c r="M430" s="2">
        <v>2001</v>
      </c>
      <c r="N430" s="3" t="s">
        <v>3068</v>
      </c>
      <c r="O430" s="3" t="s">
        <v>3069</v>
      </c>
      <c r="P430" s="3" t="s">
        <v>3070</v>
      </c>
      <c r="Q430" s="2">
        <v>2843</v>
      </c>
    </row>
    <row r="431" spans="1:17" ht="143.25" customHeight="1" x14ac:dyDescent="0.25">
      <c r="A431" s="5" t="str">
        <f>_xll.JChemExcel.Functions.JCSYSStructure("046C83C551E46BC2A85EDA7F7B99F47B")</f>
        <v/>
      </c>
      <c r="B431" s="3" t="s">
        <v>3071</v>
      </c>
      <c r="C431" s="3" t="s">
        <v>3072</v>
      </c>
      <c r="D431" s="2" t="s">
        <v>3074</v>
      </c>
      <c r="E431" s="2" t="s">
        <v>7587</v>
      </c>
      <c r="F431" s="3" t="s">
        <v>3073</v>
      </c>
      <c r="G431" s="2" t="s">
        <v>3075</v>
      </c>
      <c r="H431" s="8">
        <v>347.9</v>
      </c>
      <c r="I431" s="2" t="s">
        <v>22</v>
      </c>
      <c r="J431" s="2" t="s">
        <v>26</v>
      </c>
      <c r="K431" s="2">
        <v>6</v>
      </c>
      <c r="L431" s="2" t="s">
        <v>20</v>
      </c>
      <c r="M431" s="2">
        <v>1959</v>
      </c>
      <c r="N431" s="3" t="s">
        <v>3076</v>
      </c>
      <c r="O431" s="3" t="s">
        <v>3077</v>
      </c>
      <c r="P431" s="3" t="s">
        <v>3078</v>
      </c>
      <c r="Q431" s="2">
        <v>2843</v>
      </c>
    </row>
    <row r="432" spans="1:17" ht="143.25" customHeight="1" x14ac:dyDescent="0.25">
      <c r="A432" s="5" t="str">
        <f>_xll.JChemExcel.Functions.JCSYSStructure("51C94D7D45C097B56464327A394B69FC")</f>
        <v/>
      </c>
      <c r="B432" s="3" t="s">
        <v>3079</v>
      </c>
      <c r="C432" s="3" t="s">
        <v>3080</v>
      </c>
      <c r="D432" s="2" t="s">
        <v>3082</v>
      </c>
      <c r="E432" s="2" t="s">
        <v>7588</v>
      </c>
      <c r="F432" s="3" t="s">
        <v>3081</v>
      </c>
      <c r="G432" s="2" t="s">
        <v>3083</v>
      </c>
      <c r="H432" s="8">
        <v>767</v>
      </c>
      <c r="I432" s="2" t="s">
        <v>22</v>
      </c>
      <c r="J432" s="2" t="s">
        <v>26</v>
      </c>
      <c r="K432" s="2">
        <v>6</v>
      </c>
      <c r="L432" s="2" t="s">
        <v>20</v>
      </c>
      <c r="M432" s="2">
        <v>1992</v>
      </c>
      <c r="N432" s="3" t="s">
        <v>214</v>
      </c>
      <c r="O432" s="3" t="s">
        <v>3084</v>
      </c>
      <c r="P432" s="3" t="s">
        <v>3085</v>
      </c>
      <c r="Q432" s="2">
        <v>2843</v>
      </c>
    </row>
    <row r="433" spans="1:17" ht="143.25" customHeight="1" x14ac:dyDescent="0.25">
      <c r="A433" s="5" t="str">
        <f>_xll.JChemExcel.Functions.JCSYSStructure("C9678D9B58E189B609A38C03FCEF8ED7")</f>
        <v/>
      </c>
      <c r="B433" s="3" t="s">
        <v>3086</v>
      </c>
      <c r="C433" s="3" t="s">
        <v>3087</v>
      </c>
      <c r="D433" s="2" t="s">
        <v>3089</v>
      </c>
      <c r="E433" s="2" t="s">
        <v>7589</v>
      </c>
      <c r="F433" s="3" t="s">
        <v>3088</v>
      </c>
      <c r="G433" s="2" t="s">
        <v>3090</v>
      </c>
      <c r="H433" s="8">
        <v>292.10000000000002</v>
      </c>
      <c r="I433" s="2" t="s">
        <v>22</v>
      </c>
      <c r="J433" s="2" t="s">
        <v>26</v>
      </c>
      <c r="K433" s="2">
        <v>6</v>
      </c>
      <c r="L433" s="2" t="s">
        <v>20</v>
      </c>
      <c r="M433" s="2">
        <v>1997</v>
      </c>
      <c r="N433" s="3" t="s">
        <v>3091</v>
      </c>
      <c r="O433" s="3" t="s">
        <v>3092</v>
      </c>
      <c r="P433" s="3" t="s">
        <v>3093</v>
      </c>
      <c r="Q433" s="2">
        <v>2843</v>
      </c>
    </row>
    <row r="434" spans="1:17" ht="143.25" customHeight="1" x14ac:dyDescent="0.25">
      <c r="A434" s="5" t="str">
        <f>_xll.JChemExcel.Functions.JCSYSStructure("A26435C604C57BABD47B3EFEF9453EA5")</f>
        <v/>
      </c>
      <c r="B434" s="3" t="s">
        <v>3094</v>
      </c>
      <c r="C434" s="3" t="s">
        <v>3095</v>
      </c>
      <c r="D434" s="2" t="s">
        <v>3097</v>
      </c>
      <c r="E434" s="2" t="s">
        <v>7590</v>
      </c>
      <c r="F434" s="3" t="s">
        <v>3096</v>
      </c>
      <c r="G434" s="2" t="s">
        <v>3098</v>
      </c>
      <c r="H434" s="8">
        <v>334.2</v>
      </c>
      <c r="I434" s="2" t="s">
        <v>22</v>
      </c>
      <c r="J434" s="2" t="s">
        <v>26</v>
      </c>
      <c r="K434" s="2">
        <v>6</v>
      </c>
      <c r="L434" s="2" t="s">
        <v>20</v>
      </c>
      <c r="M434" s="2">
        <v>2005</v>
      </c>
      <c r="N434" s="3" t="s">
        <v>950</v>
      </c>
      <c r="O434" s="3" t="s">
        <v>3099</v>
      </c>
      <c r="P434" s="3" t="s">
        <v>3100</v>
      </c>
      <c r="Q434" s="2">
        <v>2843</v>
      </c>
    </row>
    <row r="435" spans="1:17" ht="143.25" customHeight="1" x14ac:dyDescent="0.25">
      <c r="A435" s="5" t="str">
        <f>_xll.JChemExcel.Functions.JCSYSStructure("5B21F3841E68E5426D86E7539C7C5925")</f>
        <v/>
      </c>
      <c r="B435" s="3" t="s">
        <v>3101</v>
      </c>
      <c r="C435" s="3" t="s">
        <v>3102</v>
      </c>
      <c r="D435" s="2" t="s">
        <v>3104</v>
      </c>
      <c r="E435" s="2" t="s">
        <v>7591</v>
      </c>
      <c r="F435" s="3" t="s">
        <v>3103</v>
      </c>
      <c r="G435" s="2" t="s">
        <v>3105</v>
      </c>
      <c r="H435" s="8">
        <v>435.31162</v>
      </c>
      <c r="I435" s="2" t="s">
        <v>22</v>
      </c>
      <c r="J435" s="2" t="s">
        <v>26</v>
      </c>
      <c r="K435" s="2">
        <v>6</v>
      </c>
      <c r="L435" s="2" t="s">
        <v>20</v>
      </c>
      <c r="M435" s="2">
        <v>1957</v>
      </c>
      <c r="N435" s="3" t="s">
        <v>3106</v>
      </c>
      <c r="O435" s="3" t="s">
        <v>3107</v>
      </c>
      <c r="P435" s="3" t="s">
        <v>3108</v>
      </c>
      <c r="Q435" s="2">
        <v>2843</v>
      </c>
    </row>
    <row r="436" spans="1:17" ht="143.25" customHeight="1" x14ac:dyDescent="0.25">
      <c r="A436" s="5" t="str">
        <f>_xll.JChemExcel.Functions.JCSYSStructure("A1123EC00670CB6C69775A64A8F2D203")</f>
        <v/>
      </c>
      <c r="B436" s="3" t="s">
        <v>3109</v>
      </c>
      <c r="C436" s="3" t="s">
        <v>3110</v>
      </c>
      <c r="D436" s="2" t="s">
        <v>3112</v>
      </c>
      <c r="E436" s="2" t="s">
        <v>7592</v>
      </c>
      <c r="F436" s="3" t="s">
        <v>3111</v>
      </c>
      <c r="G436" s="2" t="s">
        <v>3113</v>
      </c>
      <c r="H436" s="8">
        <v>430.5</v>
      </c>
      <c r="I436" s="2" t="s">
        <v>22</v>
      </c>
      <c r="J436" s="2" t="s">
        <v>26</v>
      </c>
      <c r="K436" s="2">
        <v>6</v>
      </c>
      <c r="L436" s="2" t="s">
        <v>20</v>
      </c>
      <c r="M436" s="2">
        <v>1997</v>
      </c>
      <c r="N436" s="3" t="s">
        <v>3114</v>
      </c>
      <c r="O436" s="3" t="s">
        <v>3115</v>
      </c>
      <c r="P436" s="3" t="s">
        <v>3116</v>
      </c>
      <c r="Q436" s="2">
        <v>2843</v>
      </c>
    </row>
    <row r="437" spans="1:17" ht="143.25" customHeight="1" x14ac:dyDescent="0.25">
      <c r="A437" s="5" t="str">
        <f>_xll.JChemExcel.Functions.JCSYSStructure("631C7095CD1F939E3BB9E6B2A60AACEF")</f>
        <v/>
      </c>
      <c r="B437" s="3" t="s">
        <v>3117</v>
      </c>
      <c r="C437" s="3" t="s">
        <v>3118</v>
      </c>
      <c r="D437" s="2" t="s">
        <v>3120</v>
      </c>
      <c r="E437" s="2" t="s">
        <v>7593</v>
      </c>
      <c r="F437" s="3" t="s">
        <v>3119</v>
      </c>
      <c r="G437" s="2" t="s">
        <v>3121</v>
      </c>
      <c r="H437" s="8">
        <v>239.74112</v>
      </c>
      <c r="I437" s="2" t="s">
        <v>22</v>
      </c>
      <c r="J437" s="2" t="s">
        <v>26</v>
      </c>
      <c r="K437" s="2">
        <v>6</v>
      </c>
      <c r="L437" s="2" t="s">
        <v>20</v>
      </c>
      <c r="M437" s="2" t="s">
        <v>1488</v>
      </c>
      <c r="N437" s="3" t="s">
        <v>269</v>
      </c>
      <c r="O437" s="3" t="s">
        <v>3122</v>
      </c>
      <c r="P437" s="3" t="s">
        <v>3123</v>
      </c>
      <c r="Q437" s="2">
        <v>2843</v>
      </c>
    </row>
    <row r="438" spans="1:17" ht="143.25" customHeight="1" x14ac:dyDescent="0.25">
      <c r="A438" s="5" t="str">
        <f>_xll.JChemExcel.Functions.JCSYSStructure("8D5B366CB410C38B1F4D0AB0A9E0F5CC")</f>
        <v/>
      </c>
      <c r="B438" s="3" t="s">
        <v>3124</v>
      </c>
      <c r="C438" s="3" t="s">
        <v>3125</v>
      </c>
      <c r="D438" s="2" t="s">
        <v>3127</v>
      </c>
      <c r="E438" s="2">
        <v>400048</v>
      </c>
      <c r="F438" s="3" t="s">
        <v>3126</v>
      </c>
      <c r="G438" s="2" t="s">
        <v>3128</v>
      </c>
      <c r="H438" s="8">
        <v>246.3</v>
      </c>
      <c r="I438" s="2" t="s">
        <v>22</v>
      </c>
      <c r="J438" s="2" t="s">
        <v>26</v>
      </c>
      <c r="K438" s="2">
        <v>6</v>
      </c>
      <c r="L438" s="2" t="s">
        <v>20</v>
      </c>
      <c r="M438" s="2">
        <v>1954</v>
      </c>
      <c r="N438" s="3" t="s">
        <v>563</v>
      </c>
      <c r="O438" s="3" t="s">
        <v>3129</v>
      </c>
      <c r="P438" s="3" t="s">
        <v>3130</v>
      </c>
      <c r="Q438" s="2">
        <v>2843</v>
      </c>
    </row>
    <row r="439" spans="1:17" ht="143.25" customHeight="1" x14ac:dyDescent="0.25">
      <c r="D439" s="2" t="s">
        <v>3131</v>
      </c>
      <c r="F439" s="3" t="s">
        <v>2847</v>
      </c>
      <c r="G439" s="2"/>
      <c r="K439" s="2">
        <v>6</v>
      </c>
      <c r="L439" s="2" t="s">
        <v>20</v>
      </c>
      <c r="Q439" s="2">
        <v>2843</v>
      </c>
    </row>
    <row r="440" spans="1:17" ht="143.25" customHeight="1" x14ac:dyDescent="0.25">
      <c r="A440" s="5" t="str">
        <f>_xll.JChemExcel.Functions.JCSYSStructure("CE8EFAF11112F3A5A7DC1D111DBC005D")</f>
        <v/>
      </c>
      <c r="B440" s="3" t="s">
        <v>7228</v>
      </c>
      <c r="C440" s="3" t="s">
        <v>7227</v>
      </c>
      <c r="D440" s="2" t="s">
        <v>3132</v>
      </c>
      <c r="E440" s="2" t="s">
        <v>7594</v>
      </c>
      <c r="F440" s="3" t="s">
        <v>8005</v>
      </c>
      <c r="G440" s="2" t="s">
        <v>8006</v>
      </c>
      <c r="H440" s="8">
        <v>752.8</v>
      </c>
      <c r="I440" s="2" t="s">
        <v>22</v>
      </c>
      <c r="J440" s="2" t="s">
        <v>1013</v>
      </c>
      <c r="K440" s="2">
        <v>6</v>
      </c>
      <c r="L440" s="2" t="s">
        <v>20</v>
      </c>
      <c r="M440" s="2">
        <v>1971</v>
      </c>
      <c r="N440" s="3" t="s">
        <v>23</v>
      </c>
      <c r="O440" s="3" t="s">
        <v>3133</v>
      </c>
      <c r="P440" s="3" t="s">
        <v>3134</v>
      </c>
      <c r="Q440" s="2">
        <v>2843</v>
      </c>
    </row>
    <row r="441" spans="1:17" ht="143.25" customHeight="1" x14ac:dyDescent="0.25">
      <c r="A441" s="5" t="str">
        <f>_xll.JChemExcel.Functions.JCSYSStructure("B2E87954F0DE8D1E1E879CFBF5FDD698")</f>
        <v/>
      </c>
      <c r="B441" s="3" t="s">
        <v>3135</v>
      </c>
      <c r="C441" s="3" t="s">
        <v>3136</v>
      </c>
      <c r="D441" s="2" t="s">
        <v>3138</v>
      </c>
      <c r="E441" s="2" t="s">
        <v>7595</v>
      </c>
      <c r="F441" s="3" t="s">
        <v>3137</v>
      </c>
      <c r="G441" s="2" t="s">
        <v>3139</v>
      </c>
      <c r="H441" s="8">
        <v>406.86002000000002</v>
      </c>
      <c r="I441" s="2" t="s">
        <v>22</v>
      </c>
      <c r="J441" s="2" t="s">
        <v>26</v>
      </c>
      <c r="K441" s="2">
        <v>6</v>
      </c>
      <c r="L441" s="2" t="s">
        <v>20</v>
      </c>
      <c r="M441" s="2">
        <v>1954</v>
      </c>
      <c r="N441" s="3" t="s">
        <v>3140</v>
      </c>
      <c r="O441" s="3" t="s">
        <v>3141</v>
      </c>
      <c r="P441" s="3" t="s">
        <v>3142</v>
      </c>
      <c r="Q441" s="2">
        <v>2843</v>
      </c>
    </row>
    <row r="442" spans="1:17" ht="143.25" customHeight="1" x14ac:dyDescent="0.25">
      <c r="A442" s="5" t="str">
        <f>_xll.JChemExcel.Functions.JCSYSStructure("A14FB261BD3BBE0E160A7482AF3AD400")</f>
        <v/>
      </c>
      <c r="B442" s="3" t="s">
        <v>3143</v>
      </c>
      <c r="C442" s="3" t="s">
        <v>3144</v>
      </c>
      <c r="D442" s="2" t="s">
        <v>3146</v>
      </c>
      <c r="E442" s="2" t="s">
        <v>7596</v>
      </c>
      <c r="F442" s="3" t="s">
        <v>3145</v>
      </c>
      <c r="G442" s="2" t="s">
        <v>3147</v>
      </c>
      <c r="H442" s="8">
        <v>190.2</v>
      </c>
      <c r="I442" s="2" t="s">
        <v>22</v>
      </c>
      <c r="J442" s="2" t="s">
        <v>26</v>
      </c>
      <c r="K442" s="2">
        <v>6</v>
      </c>
      <c r="L442" s="2" t="s">
        <v>20</v>
      </c>
      <c r="M442" s="2">
        <v>2010</v>
      </c>
      <c r="N442" s="3" t="s">
        <v>3148</v>
      </c>
      <c r="O442" s="3" t="s">
        <v>3149</v>
      </c>
      <c r="P442" s="3" t="s">
        <v>3150</v>
      </c>
      <c r="Q442" s="2">
        <v>2843</v>
      </c>
    </row>
    <row r="443" spans="1:17" ht="143.25" customHeight="1" x14ac:dyDescent="0.25">
      <c r="D443" s="2" t="s">
        <v>3151</v>
      </c>
      <c r="F443" s="3" t="s">
        <v>2847</v>
      </c>
      <c r="G443" s="2"/>
      <c r="K443" s="2">
        <v>6</v>
      </c>
      <c r="L443" s="2" t="s">
        <v>20</v>
      </c>
      <c r="Q443" s="2">
        <v>2843</v>
      </c>
    </row>
    <row r="444" spans="1:17" ht="143.25" customHeight="1" x14ac:dyDescent="0.25">
      <c r="A444" s="5" t="str">
        <f>_xll.JChemExcel.Functions.JCSYSStructure("CAF1B4BC5FE055B5DBDEA571599CEDA4")</f>
        <v/>
      </c>
      <c r="B444" s="3" t="s">
        <v>3152</v>
      </c>
      <c r="C444" s="3" t="s">
        <v>3153</v>
      </c>
      <c r="D444" s="2" t="s">
        <v>3155</v>
      </c>
      <c r="E444" s="2">
        <v>400037</v>
      </c>
      <c r="F444" s="3" t="s">
        <v>3154</v>
      </c>
      <c r="G444" s="2" t="s">
        <v>3156</v>
      </c>
      <c r="H444" s="8">
        <v>214</v>
      </c>
      <c r="I444" s="2" t="s">
        <v>22</v>
      </c>
      <c r="J444" s="2" t="s">
        <v>26</v>
      </c>
      <c r="K444" s="2">
        <v>6</v>
      </c>
      <c r="L444" s="2" t="s">
        <v>20</v>
      </c>
      <c r="M444" s="2">
        <v>1977</v>
      </c>
      <c r="N444" s="3" t="s">
        <v>563</v>
      </c>
      <c r="O444" s="3" t="s">
        <v>3157</v>
      </c>
      <c r="P444" s="3" t="s">
        <v>3158</v>
      </c>
      <c r="Q444" s="2">
        <v>2843</v>
      </c>
    </row>
    <row r="445" spans="1:17" ht="143.25" customHeight="1" x14ac:dyDescent="0.25">
      <c r="A445" s="5" t="str">
        <f>_xll.JChemExcel.Functions.JCSYSStructure("A95F4EAA578DCC1D0CFA86E6F6F07DC3")</f>
        <v/>
      </c>
      <c r="B445" s="3" t="s">
        <v>3159</v>
      </c>
      <c r="C445" s="3" t="s">
        <v>3160</v>
      </c>
      <c r="D445" s="2" t="s">
        <v>3162</v>
      </c>
      <c r="E445" s="2">
        <v>380016</v>
      </c>
      <c r="F445" s="3" t="s">
        <v>3161</v>
      </c>
      <c r="G445" s="2" t="s">
        <v>3163</v>
      </c>
      <c r="H445" s="8">
        <v>367.8</v>
      </c>
      <c r="I445" s="2" t="s">
        <v>22</v>
      </c>
      <c r="J445" s="2" t="s">
        <v>26</v>
      </c>
      <c r="K445" s="2">
        <v>6</v>
      </c>
      <c r="L445" s="2" t="s">
        <v>20</v>
      </c>
      <c r="M445" s="2">
        <v>1979</v>
      </c>
      <c r="N445" s="3" t="s">
        <v>23</v>
      </c>
      <c r="O445" s="3" t="s">
        <v>3164</v>
      </c>
      <c r="P445" s="3" t="s">
        <v>3165</v>
      </c>
      <c r="Q445" s="2">
        <v>2843</v>
      </c>
    </row>
    <row r="446" spans="1:17" ht="143.25" customHeight="1" x14ac:dyDescent="0.25">
      <c r="A446" s="5" t="str">
        <f>_xll.JChemExcel.Functions.JCSYSStructure("305C4977DA62B705A4E1C3D1D812AE4F")</f>
        <v/>
      </c>
      <c r="B446" s="3" t="s">
        <v>3166</v>
      </c>
      <c r="C446" s="3" t="s">
        <v>3167</v>
      </c>
      <c r="D446" s="2" t="s">
        <v>3169</v>
      </c>
      <c r="E446" s="2" t="s">
        <v>7597</v>
      </c>
      <c r="F446" s="3" t="s">
        <v>3168</v>
      </c>
      <c r="G446" s="2" t="s">
        <v>3170</v>
      </c>
      <c r="H446" s="8">
        <v>381.4</v>
      </c>
      <c r="I446" s="2" t="s">
        <v>22</v>
      </c>
      <c r="J446" s="2" t="s">
        <v>26</v>
      </c>
      <c r="K446" s="2">
        <v>6</v>
      </c>
      <c r="L446" s="2" t="s">
        <v>20</v>
      </c>
      <c r="M446" s="2">
        <v>1978</v>
      </c>
      <c r="N446" s="3" t="s">
        <v>23</v>
      </c>
      <c r="O446" s="3" t="s">
        <v>3171</v>
      </c>
      <c r="P446" s="3" t="s">
        <v>3165</v>
      </c>
      <c r="Q446" s="2">
        <v>2843</v>
      </c>
    </row>
    <row r="447" spans="1:17" ht="143.25" customHeight="1" x14ac:dyDescent="0.25">
      <c r="A447" s="5" t="str">
        <f>_xll.JChemExcel.Functions.JCSYSStructure("57F16B8733E05487CBF704A68352A5A6")</f>
        <v/>
      </c>
      <c r="B447" s="3" t="s">
        <v>3172</v>
      </c>
      <c r="C447" s="3" t="s">
        <v>3173</v>
      </c>
      <c r="D447" s="2" t="s">
        <v>3174</v>
      </c>
      <c r="E447" s="2">
        <v>380444</v>
      </c>
      <c r="F447" s="3" t="s">
        <v>8007</v>
      </c>
      <c r="G447" s="2" t="s">
        <v>3175</v>
      </c>
      <c r="H447" s="8">
        <v>476.5</v>
      </c>
      <c r="I447" s="2" t="s">
        <v>22</v>
      </c>
      <c r="J447" s="2" t="s">
        <v>26</v>
      </c>
      <c r="K447" s="2">
        <v>6</v>
      </c>
      <c r="L447" s="2" t="s">
        <v>20</v>
      </c>
      <c r="M447" s="2">
        <v>1973</v>
      </c>
      <c r="N447" s="3" t="s">
        <v>23</v>
      </c>
      <c r="O447" s="3" t="s">
        <v>3171</v>
      </c>
      <c r="P447" s="3" t="s">
        <v>3165</v>
      </c>
      <c r="Q447" s="2">
        <v>2843</v>
      </c>
    </row>
    <row r="448" spans="1:17" ht="143.25" customHeight="1" x14ac:dyDescent="0.25">
      <c r="A448" s="5" t="str">
        <f>_xll.JChemExcel.Functions.JCSYSStructure("1F70095121D82CCD0AFBCD697DA355CD")</f>
        <v/>
      </c>
      <c r="B448" s="3" t="s">
        <v>3176</v>
      </c>
      <c r="C448" s="3" t="s">
        <v>3177</v>
      </c>
      <c r="D448" s="2" t="s">
        <v>3179</v>
      </c>
      <c r="E448" s="2" t="s">
        <v>7598</v>
      </c>
      <c r="F448" s="3" t="s">
        <v>3178</v>
      </c>
      <c r="G448" s="2" t="s">
        <v>3180</v>
      </c>
      <c r="H448" s="8">
        <v>395.4</v>
      </c>
      <c r="I448" s="2" t="s">
        <v>22</v>
      </c>
      <c r="J448" s="2" t="s">
        <v>26</v>
      </c>
      <c r="K448" s="2">
        <v>6</v>
      </c>
      <c r="L448" s="2" t="s">
        <v>20</v>
      </c>
      <c r="M448" s="2">
        <v>1997</v>
      </c>
      <c r="N448" s="3" t="s">
        <v>23</v>
      </c>
      <c r="O448" s="3" t="s">
        <v>3181</v>
      </c>
      <c r="P448" s="3" t="s">
        <v>3165</v>
      </c>
      <c r="Q448" s="2">
        <v>2843</v>
      </c>
    </row>
    <row r="449" spans="1:17" ht="143.25" customHeight="1" x14ac:dyDescent="0.25">
      <c r="A449" s="5" t="str">
        <f>_xll.JChemExcel.Functions.JCSYSStructure("EB2D16F269A172C539B9E0AA60AB657F")</f>
        <v/>
      </c>
      <c r="B449" s="3" t="s">
        <v>3182</v>
      </c>
      <c r="C449" s="3" t="s">
        <v>3183</v>
      </c>
      <c r="D449" s="2" t="s">
        <v>3185</v>
      </c>
      <c r="E449" s="2" t="s">
        <v>7599</v>
      </c>
      <c r="F449" s="3" t="s">
        <v>3184</v>
      </c>
      <c r="G449" s="2" t="s">
        <v>3186</v>
      </c>
      <c r="H449" s="8">
        <v>620.70000000000005</v>
      </c>
      <c r="I449" s="2" t="s">
        <v>22</v>
      </c>
      <c r="J449" s="2" t="s">
        <v>26</v>
      </c>
      <c r="K449" s="2">
        <v>6</v>
      </c>
      <c r="L449" s="2" t="s">
        <v>20</v>
      </c>
      <c r="M449" s="2">
        <v>2001</v>
      </c>
      <c r="N449" s="3" t="s">
        <v>23</v>
      </c>
      <c r="O449" s="3" t="s">
        <v>3181</v>
      </c>
      <c r="P449" s="3" t="s">
        <v>3165</v>
      </c>
      <c r="Q449" s="2">
        <v>2843</v>
      </c>
    </row>
    <row r="450" spans="1:17" ht="143.25" customHeight="1" x14ac:dyDescent="0.25">
      <c r="A450" s="5" t="str">
        <f>_xll.JChemExcel.Functions.JCSYSStructure("2C4989E415EA2A14135FA68FAEFC3EF9")</f>
        <v/>
      </c>
      <c r="B450" s="3" t="s">
        <v>3187</v>
      </c>
      <c r="C450" s="3" t="s">
        <v>3188</v>
      </c>
      <c r="D450" s="2" t="s">
        <v>3190</v>
      </c>
      <c r="E450" s="2" t="s">
        <v>7600</v>
      </c>
      <c r="F450" s="3" t="s">
        <v>3189</v>
      </c>
      <c r="G450" s="2" t="s">
        <v>3191</v>
      </c>
      <c r="H450" s="8">
        <v>453.44959999999998</v>
      </c>
      <c r="I450" s="2" t="s">
        <v>22</v>
      </c>
      <c r="J450" s="2" t="s">
        <v>26</v>
      </c>
      <c r="K450" s="2">
        <v>6</v>
      </c>
      <c r="L450" s="2" t="s">
        <v>20</v>
      </c>
      <c r="M450" s="2">
        <v>1989</v>
      </c>
      <c r="N450" s="3" t="s">
        <v>23</v>
      </c>
      <c r="O450" s="3" t="s">
        <v>3181</v>
      </c>
      <c r="P450" s="3" t="s">
        <v>3165</v>
      </c>
      <c r="Q450" s="2">
        <v>2843</v>
      </c>
    </row>
    <row r="451" spans="1:17" ht="143.25" customHeight="1" x14ac:dyDescent="0.25">
      <c r="A451" s="5" t="str">
        <f>_xll.JChemExcel.Functions.JCSYSStructure("A4E8855C9FF11C8B3C25DDE734479AB0")</f>
        <v/>
      </c>
      <c r="B451" s="3" t="s">
        <v>3192</v>
      </c>
      <c r="C451" s="3" t="s">
        <v>3193</v>
      </c>
      <c r="D451" s="2" t="s">
        <v>3195</v>
      </c>
      <c r="E451" s="2" t="s">
        <v>7601</v>
      </c>
      <c r="F451" s="3" t="s">
        <v>3194</v>
      </c>
      <c r="G451" s="2" t="s">
        <v>3196</v>
      </c>
      <c r="H451" s="8">
        <v>619.6</v>
      </c>
      <c r="I451" s="2" t="s">
        <v>22</v>
      </c>
      <c r="J451" s="2" t="s">
        <v>1013</v>
      </c>
      <c r="K451" s="2">
        <v>6</v>
      </c>
      <c r="L451" s="2" t="s">
        <v>20</v>
      </c>
      <c r="M451" s="2">
        <v>1985</v>
      </c>
      <c r="N451" s="3" t="s">
        <v>23</v>
      </c>
      <c r="O451" s="3" t="s">
        <v>3197</v>
      </c>
      <c r="P451" s="3" t="s">
        <v>3165</v>
      </c>
      <c r="Q451" s="2">
        <v>2843</v>
      </c>
    </row>
    <row r="452" spans="1:17" ht="143.25" customHeight="1" x14ac:dyDescent="0.25">
      <c r="A452" s="5" t="str">
        <f>_xll.JChemExcel.Functions.JCSYSStructure("3A2E3AC39836503EC4B96BA2C55DA9F2")</f>
        <v/>
      </c>
      <c r="B452" s="3" t="s">
        <v>3198</v>
      </c>
      <c r="C452" s="3" t="s">
        <v>3199</v>
      </c>
      <c r="D452" s="2" t="s">
        <v>3201</v>
      </c>
      <c r="E452" s="2" t="s">
        <v>7602</v>
      </c>
      <c r="F452" s="3" t="s">
        <v>3200</v>
      </c>
      <c r="G452" s="2" t="s">
        <v>3202</v>
      </c>
      <c r="H452" s="8">
        <v>449.4</v>
      </c>
      <c r="I452" s="2" t="s">
        <v>22</v>
      </c>
      <c r="J452" s="2" t="s">
        <v>26</v>
      </c>
      <c r="K452" s="2">
        <v>6</v>
      </c>
      <c r="L452" s="2" t="s">
        <v>20</v>
      </c>
      <c r="M452" s="2">
        <v>1978</v>
      </c>
      <c r="N452" s="3" t="s">
        <v>23</v>
      </c>
      <c r="O452" s="3" t="s">
        <v>3164</v>
      </c>
      <c r="P452" s="3" t="s">
        <v>3165</v>
      </c>
      <c r="Q452" s="2">
        <v>2843</v>
      </c>
    </row>
    <row r="453" spans="1:17" ht="143.25" customHeight="1" x14ac:dyDescent="0.25">
      <c r="A453" s="5" t="str">
        <f>_xll.JChemExcel.Functions.JCSYSStructure("60329F34E6ED8C6EC62521FB849BC2D3")</f>
        <v/>
      </c>
      <c r="B453" s="3" t="s">
        <v>3203</v>
      </c>
      <c r="C453" s="3" t="s">
        <v>3204</v>
      </c>
      <c r="D453" s="2" t="s">
        <v>3206</v>
      </c>
      <c r="E453" s="2" t="s">
        <v>7603</v>
      </c>
      <c r="F453" s="3" t="s">
        <v>3205</v>
      </c>
      <c r="G453" s="2" t="s">
        <v>3207</v>
      </c>
      <c r="H453" s="8">
        <v>557.6</v>
      </c>
      <c r="I453" s="2" t="s">
        <v>22</v>
      </c>
      <c r="J453" s="2" t="s">
        <v>26</v>
      </c>
      <c r="K453" s="2">
        <v>6</v>
      </c>
      <c r="L453" s="2" t="s">
        <v>20</v>
      </c>
      <c r="M453" s="2">
        <v>1992</v>
      </c>
      <c r="N453" s="3" t="s">
        <v>23</v>
      </c>
      <c r="O453" s="3" t="s">
        <v>3181</v>
      </c>
      <c r="P453" s="3" t="s">
        <v>3165</v>
      </c>
      <c r="Q453" s="2">
        <v>2843</v>
      </c>
    </row>
    <row r="454" spans="1:17" ht="143.25" customHeight="1" x14ac:dyDescent="0.25">
      <c r="A454" s="5" t="str">
        <f>_xll.JChemExcel.Functions.JCSYSStructure("FC0C5440245543B1712BC4C841BF7E3D")</f>
        <v/>
      </c>
      <c r="B454" s="3" t="s">
        <v>3208</v>
      </c>
      <c r="C454" s="3" t="s">
        <v>3209</v>
      </c>
      <c r="D454" s="2" t="s">
        <v>3211</v>
      </c>
      <c r="E454" s="2" t="s">
        <v>7604</v>
      </c>
      <c r="F454" s="3" t="s">
        <v>3210</v>
      </c>
      <c r="G454" s="2" t="s">
        <v>3212</v>
      </c>
      <c r="H454" s="8">
        <v>389.42556000000002</v>
      </c>
      <c r="I454" s="2" t="s">
        <v>22</v>
      </c>
      <c r="J454" s="2" t="s">
        <v>26</v>
      </c>
      <c r="K454" s="2">
        <v>6</v>
      </c>
      <c r="L454" s="2" t="s">
        <v>20</v>
      </c>
      <c r="M454" s="2">
        <v>1991</v>
      </c>
      <c r="N454" s="3" t="s">
        <v>23</v>
      </c>
      <c r="O454" s="3" t="s">
        <v>3164</v>
      </c>
      <c r="P454" s="3" t="s">
        <v>3165</v>
      </c>
      <c r="Q454" s="2">
        <v>2843</v>
      </c>
    </row>
    <row r="455" spans="1:17" ht="143.25" customHeight="1" x14ac:dyDescent="0.25">
      <c r="A455" s="5" t="str">
        <f>_xll.JChemExcel.Functions.JCSYSStructure("BA1A9B46FFEE887B51BF3A5FD1DEBDD5")</f>
        <v/>
      </c>
      <c r="B455" s="3" t="s">
        <v>3213</v>
      </c>
      <c r="C455" s="3" t="s">
        <v>3214</v>
      </c>
      <c r="D455" s="2" t="s">
        <v>3216</v>
      </c>
      <c r="E455" s="2" t="s">
        <v>7605</v>
      </c>
      <c r="F455" s="3" t="s">
        <v>3215</v>
      </c>
      <c r="G455" s="2" t="s">
        <v>3217</v>
      </c>
      <c r="H455" s="8">
        <v>410.42486000000002</v>
      </c>
      <c r="I455" s="2" t="s">
        <v>22</v>
      </c>
      <c r="J455" s="2" t="s">
        <v>26</v>
      </c>
      <c r="K455" s="2">
        <v>6</v>
      </c>
      <c r="L455" s="2" t="s">
        <v>20</v>
      </c>
      <c r="M455" s="2">
        <v>2009</v>
      </c>
      <c r="N455" s="3" t="s">
        <v>23</v>
      </c>
      <c r="O455" s="3" t="s">
        <v>3181</v>
      </c>
      <c r="P455" s="3" t="s">
        <v>3165</v>
      </c>
      <c r="Q455" s="2">
        <v>2843</v>
      </c>
    </row>
    <row r="456" spans="1:17" ht="143.25" customHeight="1" x14ac:dyDescent="0.25">
      <c r="A456" s="5" t="str">
        <f>_xll.JChemExcel.Functions.JCSYSStructure("6DB51F3D97CE18B1A904579145BFB3A5")</f>
        <v/>
      </c>
      <c r="B456" s="3" t="s">
        <v>3218</v>
      </c>
      <c r="C456" s="3" t="s">
        <v>3219</v>
      </c>
      <c r="D456" s="2" t="s">
        <v>3221</v>
      </c>
      <c r="E456" s="2" t="s">
        <v>7606</v>
      </c>
      <c r="F456" s="3" t="s">
        <v>3220</v>
      </c>
      <c r="G456" s="2" t="s">
        <v>3222</v>
      </c>
      <c r="H456" s="8">
        <v>405.4</v>
      </c>
      <c r="I456" s="2" t="s">
        <v>22</v>
      </c>
      <c r="J456" s="2" t="s">
        <v>26</v>
      </c>
      <c r="K456" s="2">
        <v>6</v>
      </c>
      <c r="L456" s="2" t="s">
        <v>20</v>
      </c>
      <c r="M456" s="2" t="s">
        <v>124</v>
      </c>
      <c r="N456" s="3" t="s">
        <v>23</v>
      </c>
      <c r="O456" s="3" t="s">
        <v>3181</v>
      </c>
      <c r="P456" s="3" t="s">
        <v>3165</v>
      </c>
      <c r="Q456" s="2">
        <v>2843</v>
      </c>
    </row>
    <row r="457" spans="1:17" ht="143.25" customHeight="1" x14ac:dyDescent="0.25">
      <c r="A457" s="5" t="str">
        <f>_xll.JChemExcel.Functions.JCSYSStructure("503D39B0D083662D28EC6B79AFC1F779")</f>
        <v/>
      </c>
      <c r="B457" s="3" t="s">
        <v>3223</v>
      </c>
      <c r="C457" s="3" t="s">
        <v>3224</v>
      </c>
      <c r="D457" s="2" t="s">
        <v>3226</v>
      </c>
      <c r="E457" s="2" t="s">
        <v>7607</v>
      </c>
      <c r="F457" s="3" t="s">
        <v>3225</v>
      </c>
      <c r="G457" s="2" t="s">
        <v>3227</v>
      </c>
      <c r="H457" s="8">
        <v>576.56174899999996</v>
      </c>
      <c r="I457" s="2" t="s">
        <v>22</v>
      </c>
      <c r="J457" s="2" t="s">
        <v>26</v>
      </c>
      <c r="K457" s="2">
        <v>6</v>
      </c>
      <c r="L457" s="2" t="s">
        <v>20</v>
      </c>
      <c r="M457" s="2">
        <v>1984</v>
      </c>
      <c r="N457" s="3" t="s">
        <v>23</v>
      </c>
      <c r="O457" s="3" t="s">
        <v>3181</v>
      </c>
      <c r="P457" s="3" t="s">
        <v>3228</v>
      </c>
      <c r="Q457" s="2">
        <v>2843</v>
      </c>
    </row>
    <row r="458" spans="1:17" ht="143.25" customHeight="1" x14ac:dyDescent="0.25">
      <c r="A458" s="5" t="str">
        <f>_xll.JChemExcel.Functions.JCSYSStructure("572BDBE679797AAA1C0380158E361712")</f>
        <v/>
      </c>
      <c r="B458" s="3" t="s">
        <v>3229</v>
      </c>
      <c r="C458" s="3" t="s">
        <v>3230</v>
      </c>
      <c r="D458" s="2" t="s">
        <v>3232</v>
      </c>
      <c r="E458" s="2" t="s">
        <v>7608</v>
      </c>
      <c r="F458" s="3" t="s">
        <v>3231</v>
      </c>
      <c r="G458" s="2" t="s">
        <v>3233</v>
      </c>
      <c r="H458" s="8">
        <v>510.5</v>
      </c>
      <c r="I458" s="2" t="s">
        <v>22</v>
      </c>
      <c r="J458" s="2" t="s">
        <v>26</v>
      </c>
      <c r="K458" s="2">
        <v>6</v>
      </c>
      <c r="L458" s="2" t="s">
        <v>20</v>
      </c>
      <c r="M458" s="2">
        <v>1987</v>
      </c>
      <c r="N458" s="3" t="s">
        <v>23</v>
      </c>
      <c r="O458" s="3" t="s">
        <v>3164</v>
      </c>
      <c r="P458" s="3" t="s">
        <v>3165</v>
      </c>
      <c r="Q458" s="2">
        <v>2843</v>
      </c>
    </row>
    <row r="459" spans="1:17" ht="143.25" customHeight="1" x14ac:dyDescent="0.25">
      <c r="A459" s="5" t="str">
        <f>_xll.JChemExcel.Functions.JCSYSStructure("774257CDE6A211F560E3037CEEB28760")</f>
        <v/>
      </c>
      <c r="B459" s="3" t="s">
        <v>3234</v>
      </c>
      <c r="C459" s="3" t="s">
        <v>3235</v>
      </c>
      <c r="D459" s="2" t="s">
        <v>3237</v>
      </c>
      <c r="E459" s="2" t="s">
        <v>7609</v>
      </c>
      <c r="F459" s="3" t="s">
        <v>3236</v>
      </c>
      <c r="G459" s="2" t="s">
        <v>3238</v>
      </c>
      <c r="H459" s="8">
        <v>446.4</v>
      </c>
      <c r="I459" s="2" t="s">
        <v>22</v>
      </c>
      <c r="J459" s="2" t="s">
        <v>26</v>
      </c>
      <c r="K459" s="2">
        <v>6</v>
      </c>
      <c r="L459" s="2" t="s">
        <v>20</v>
      </c>
      <c r="M459" s="2">
        <v>1983</v>
      </c>
      <c r="N459" s="3" t="s">
        <v>23</v>
      </c>
      <c r="O459" s="3" t="s">
        <v>3164</v>
      </c>
      <c r="P459" s="3" t="s">
        <v>3165</v>
      </c>
      <c r="Q459" s="2">
        <v>2843</v>
      </c>
    </row>
    <row r="460" spans="1:17" ht="143.25" customHeight="1" x14ac:dyDescent="0.25">
      <c r="A460" s="5" t="str">
        <f>_xll.JChemExcel.Functions.JCSYSStructure("2F53F9E31A457511BEA0C06CFB1F5FAC")</f>
        <v/>
      </c>
      <c r="B460" s="3" t="s">
        <v>3239</v>
      </c>
      <c r="C460" s="3" t="s">
        <v>3240</v>
      </c>
      <c r="D460" s="2" t="s">
        <v>3242</v>
      </c>
      <c r="E460" s="2" t="s">
        <v>7610</v>
      </c>
      <c r="F460" s="3" t="s">
        <v>3241</v>
      </c>
      <c r="G460" s="2" t="s">
        <v>3243</v>
      </c>
      <c r="H460" s="8">
        <v>365.40415999999999</v>
      </c>
      <c r="I460" s="2" t="s">
        <v>22</v>
      </c>
      <c r="J460" s="2" t="s">
        <v>26</v>
      </c>
      <c r="K460" s="2">
        <v>6</v>
      </c>
      <c r="L460" s="2" t="s">
        <v>20</v>
      </c>
      <c r="M460" s="2" t="e">
        <v>#N/A</v>
      </c>
      <c r="N460" s="3" t="s">
        <v>23</v>
      </c>
      <c r="O460" s="3" t="s">
        <v>3171</v>
      </c>
      <c r="P460" s="3" t="s">
        <v>3165</v>
      </c>
      <c r="Q460" s="2">
        <v>2843</v>
      </c>
    </row>
    <row r="461" spans="1:17" ht="143.25" customHeight="1" x14ac:dyDescent="0.25">
      <c r="A461" s="5" t="str">
        <f>_xll.JChemExcel.Functions.JCSYSStructure("818E59A970A2ED9D547436C8C0F168CB")</f>
        <v/>
      </c>
      <c r="B461" s="3" t="s">
        <v>3244</v>
      </c>
      <c r="C461" s="3" t="s">
        <v>3245</v>
      </c>
      <c r="D461" s="2" t="s">
        <v>3246</v>
      </c>
      <c r="E461" s="2" t="s">
        <v>7611</v>
      </c>
      <c r="F461" s="3" t="s">
        <v>8008</v>
      </c>
      <c r="G461" s="2" t="s">
        <v>3247</v>
      </c>
      <c r="H461" s="8">
        <v>392.6</v>
      </c>
      <c r="I461" s="2" t="s">
        <v>22</v>
      </c>
      <c r="J461" s="2" t="s">
        <v>26</v>
      </c>
      <c r="K461" s="2">
        <v>6</v>
      </c>
      <c r="L461" s="2" t="s">
        <v>20</v>
      </c>
      <c r="M461" s="2">
        <v>1983</v>
      </c>
      <c r="N461" s="3" t="s">
        <v>3248</v>
      </c>
      <c r="O461" s="3" t="s">
        <v>3249</v>
      </c>
      <c r="P461" s="3" t="s">
        <v>3250</v>
      </c>
      <c r="Q461" s="2">
        <v>2843</v>
      </c>
    </row>
    <row r="462" spans="1:17" ht="143.25" customHeight="1" x14ac:dyDescent="0.25">
      <c r="D462" s="2" t="s">
        <v>3251</v>
      </c>
      <c r="F462" s="3" t="s">
        <v>2847</v>
      </c>
      <c r="G462" s="2"/>
      <c r="K462" s="2">
        <v>6</v>
      </c>
      <c r="L462" s="2" t="s">
        <v>20</v>
      </c>
      <c r="Q462" s="2">
        <v>2843</v>
      </c>
    </row>
    <row r="463" spans="1:17" ht="143.25" customHeight="1" x14ac:dyDescent="0.25">
      <c r="A463" s="5" t="str">
        <f>_xll.JChemExcel.Functions.JCSYSStructure("FAE05068B18E3A2ED06E03005DACD74C")</f>
        <v/>
      </c>
      <c r="B463" s="3" t="s">
        <v>3252</v>
      </c>
      <c r="C463" s="3" t="s">
        <v>3253</v>
      </c>
      <c r="D463" s="2" t="s">
        <v>3255</v>
      </c>
      <c r="E463" s="2" t="s">
        <v>7612</v>
      </c>
      <c r="F463" s="3" t="s">
        <v>3254</v>
      </c>
      <c r="G463" s="2" t="s">
        <v>3256</v>
      </c>
      <c r="H463" s="8">
        <v>578.36847999999998</v>
      </c>
      <c r="I463" s="2" t="s">
        <v>22</v>
      </c>
      <c r="J463" s="2" t="s">
        <v>26</v>
      </c>
      <c r="K463" s="2">
        <v>6</v>
      </c>
      <c r="L463" s="2" t="s">
        <v>20</v>
      </c>
      <c r="M463" s="2">
        <v>1976</v>
      </c>
      <c r="N463" s="3" t="s">
        <v>3257</v>
      </c>
      <c r="O463" s="3" t="s">
        <v>3258</v>
      </c>
      <c r="P463" s="3" t="s">
        <v>3259</v>
      </c>
      <c r="Q463" s="2">
        <v>2843</v>
      </c>
    </row>
    <row r="464" spans="1:17" ht="143.25" customHeight="1" x14ac:dyDescent="0.25">
      <c r="A464" s="5" t="str">
        <f>_xll.JChemExcel.Functions.JCSYSStructure("668CFF8ABDDCE1EDCE9499B7A18892E6")</f>
        <v/>
      </c>
      <c r="B464" s="3" t="s">
        <v>3260</v>
      </c>
      <c r="C464" s="3" t="s">
        <v>3261</v>
      </c>
      <c r="D464" s="2" t="s">
        <v>3263</v>
      </c>
      <c r="E464" s="2">
        <v>550086</v>
      </c>
      <c r="F464" s="3" t="s">
        <v>3262</v>
      </c>
      <c r="G464" s="2" t="s">
        <v>3264</v>
      </c>
      <c r="H464" s="8">
        <v>295.7</v>
      </c>
      <c r="I464" s="2" t="s">
        <v>22</v>
      </c>
      <c r="J464" s="2" t="s">
        <v>26</v>
      </c>
      <c r="K464" s="2">
        <v>6</v>
      </c>
      <c r="L464" s="2" t="s">
        <v>20</v>
      </c>
      <c r="M464" s="2">
        <v>1958</v>
      </c>
      <c r="N464" s="3" t="s">
        <v>3038</v>
      </c>
      <c r="O464" s="3" t="s">
        <v>3265</v>
      </c>
      <c r="P464" s="3" t="s">
        <v>3266</v>
      </c>
      <c r="Q464" s="2">
        <v>2843</v>
      </c>
    </row>
    <row r="465" spans="1:17" ht="143.25" customHeight="1" x14ac:dyDescent="0.25">
      <c r="A465" s="5" t="str">
        <f>_xll.JChemExcel.Functions.JCSYSStructure("3C75146B98BA4F02007C3ECB3B5D99B5")</f>
        <v/>
      </c>
      <c r="B465" s="3" t="s">
        <v>3267</v>
      </c>
      <c r="C465" s="3" t="s">
        <v>3268</v>
      </c>
      <c r="D465" s="2" t="s">
        <v>3270</v>
      </c>
      <c r="E465" s="2" t="s">
        <v>7613</v>
      </c>
      <c r="F465" s="3" t="s">
        <v>3269</v>
      </c>
      <c r="G465" s="2" t="s">
        <v>3271</v>
      </c>
      <c r="H465" s="8">
        <v>276.7</v>
      </c>
      <c r="I465" s="2" t="s">
        <v>22</v>
      </c>
      <c r="J465" s="2" t="s">
        <v>26</v>
      </c>
      <c r="K465" s="2">
        <v>7</v>
      </c>
      <c r="L465" s="2" t="s">
        <v>20</v>
      </c>
      <c r="M465" s="2">
        <v>1958</v>
      </c>
      <c r="N465" s="3" t="s">
        <v>3272</v>
      </c>
      <c r="O465" s="3" t="s">
        <v>3273</v>
      </c>
      <c r="P465" s="3" t="s">
        <v>3274</v>
      </c>
      <c r="Q465" s="2">
        <v>2843</v>
      </c>
    </row>
    <row r="466" spans="1:17" ht="143.25" customHeight="1" x14ac:dyDescent="0.25">
      <c r="A466" s="5" t="str">
        <f>_xll.JChemExcel.Functions.JCSYSStructure("1241D196BA5E75360471BD156A030233")</f>
        <v/>
      </c>
      <c r="B466" s="3" t="s">
        <v>3275</v>
      </c>
      <c r="C466" s="3" t="s">
        <v>3276</v>
      </c>
      <c r="D466" s="2" t="s">
        <v>3278</v>
      </c>
      <c r="E466" s="2" t="s">
        <v>7614</v>
      </c>
      <c r="F466" s="3" t="s">
        <v>3277</v>
      </c>
      <c r="G466" s="2" t="s">
        <v>3279</v>
      </c>
      <c r="H466" s="8">
        <v>338.8</v>
      </c>
      <c r="I466" s="2" t="s">
        <v>22</v>
      </c>
      <c r="J466" s="2" t="s">
        <v>26</v>
      </c>
      <c r="K466" s="2">
        <v>7</v>
      </c>
      <c r="L466" s="2" t="s">
        <v>20</v>
      </c>
      <c r="M466" s="2">
        <v>1960</v>
      </c>
      <c r="N466" s="3" t="s">
        <v>2062</v>
      </c>
      <c r="O466" s="3" t="s">
        <v>3280</v>
      </c>
      <c r="P466" s="3" t="s">
        <v>3281</v>
      </c>
      <c r="Q466" s="2">
        <v>2843</v>
      </c>
    </row>
    <row r="467" spans="1:17" ht="143.25" customHeight="1" x14ac:dyDescent="0.25">
      <c r="A467" s="5" t="str">
        <f>_xll.JChemExcel.Functions.JCSYSStructure("52F2EF9565A70960243C7E55739CEFC7")</f>
        <v/>
      </c>
      <c r="B467" s="3" t="s">
        <v>3282</v>
      </c>
      <c r="C467" s="3" t="s">
        <v>3283</v>
      </c>
      <c r="D467" s="2" t="s">
        <v>3285</v>
      </c>
      <c r="E467" s="2" t="s">
        <v>7615</v>
      </c>
      <c r="F467" s="3" t="s">
        <v>3284</v>
      </c>
      <c r="G467" s="2" t="s">
        <v>3286</v>
      </c>
      <c r="H467" s="8">
        <v>169.6</v>
      </c>
      <c r="I467" s="2" t="s">
        <v>22</v>
      </c>
      <c r="J467" s="2" t="s">
        <v>26</v>
      </c>
      <c r="K467" s="2">
        <v>7</v>
      </c>
      <c r="L467" s="2" t="s">
        <v>20</v>
      </c>
      <c r="M467" s="2">
        <v>1958</v>
      </c>
      <c r="N467" s="3" t="s">
        <v>3287</v>
      </c>
      <c r="O467" s="3" t="s">
        <v>3288</v>
      </c>
      <c r="P467" s="3" t="s">
        <v>3289</v>
      </c>
      <c r="Q467" s="2">
        <v>2843</v>
      </c>
    </row>
    <row r="468" spans="1:17" ht="143.25" customHeight="1" x14ac:dyDescent="0.25">
      <c r="A468" s="5" t="str">
        <f>_xll.JChemExcel.Functions.JCSYSStructure("EFEC7D74A7B399176308A367E085B703")</f>
        <v/>
      </c>
      <c r="B468" s="3" t="s">
        <v>3290</v>
      </c>
      <c r="C468" s="3" t="s">
        <v>3291</v>
      </c>
      <c r="D468" s="2" t="s">
        <v>3293</v>
      </c>
      <c r="E468" s="2" t="s">
        <v>7616</v>
      </c>
      <c r="F468" s="3" t="s">
        <v>3292</v>
      </c>
      <c r="G468" s="2" t="s">
        <v>3294</v>
      </c>
      <c r="H468" s="8">
        <v>540.70000000000005</v>
      </c>
      <c r="I468" s="2" t="s">
        <v>22</v>
      </c>
      <c r="J468" s="2" t="s">
        <v>26</v>
      </c>
      <c r="K468" s="2">
        <v>7</v>
      </c>
      <c r="L468" s="2" t="s">
        <v>20</v>
      </c>
      <c r="M468" s="2" t="s">
        <v>124</v>
      </c>
      <c r="N468" s="3" t="s">
        <v>3295</v>
      </c>
      <c r="O468" s="3" t="s">
        <v>3296</v>
      </c>
      <c r="P468" s="3" t="s">
        <v>53</v>
      </c>
      <c r="Q468" s="2">
        <v>2843</v>
      </c>
    </row>
    <row r="469" spans="1:17" ht="143.25" customHeight="1" x14ac:dyDescent="0.25">
      <c r="A469" s="5" t="str">
        <f>_xll.JChemExcel.Functions.JCSYSStructure("10F8215EBB19D37E2538E607BAED2F0B")</f>
        <v/>
      </c>
      <c r="B469" s="3" t="s">
        <v>3297</v>
      </c>
      <c r="C469" s="3" t="s">
        <v>3298</v>
      </c>
      <c r="D469" s="2" t="s">
        <v>3300</v>
      </c>
      <c r="E469" s="2" t="s">
        <v>7617</v>
      </c>
      <c r="F469" s="3" t="s">
        <v>3299</v>
      </c>
      <c r="G469" s="2" t="s">
        <v>3301</v>
      </c>
      <c r="H469" s="8">
        <v>207.3</v>
      </c>
      <c r="I469" s="2" t="s">
        <v>22</v>
      </c>
      <c r="J469" s="2" t="s">
        <v>26</v>
      </c>
      <c r="K469" s="2">
        <v>7</v>
      </c>
      <c r="L469" s="2" t="s">
        <v>20</v>
      </c>
      <c r="M469" s="2">
        <v>1982</v>
      </c>
      <c r="N469" s="3" t="s">
        <v>676</v>
      </c>
      <c r="O469" s="3" t="s">
        <v>3302</v>
      </c>
      <c r="P469" s="3" t="s">
        <v>3303</v>
      </c>
      <c r="Q469" s="2">
        <v>2843</v>
      </c>
    </row>
    <row r="470" spans="1:17" ht="143.25" customHeight="1" x14ac:dyDescent="0.25">
      <c r="A470" s="5" t="str">
        <f>_xll.JChemExcel.Functions.JCSYSStructure("BDA320609E415405A33F064AD571E59F")</f>
        <v/>
      </c>
      <c r="B470" s="3" t="s">
        <v>3304</v>
      </c>
      <c r="C470" s="3" t="s">
        <v>3305</v>
      </c>
      <c r="D470" s="2" t="s">
        <v>3307</v>
      </c>
      <c r="E470" s="2" t="s">
        <v>7618</v>
      </c>
      <c r="F470" s="3" t="s">
        <v>3306</v>
      </c>
      <c r="G470" s="2" t="s">
        <v>3308</v>
      </c>
      <c r="H470" s="8">
        <v>279.2</v>
      </c>
      <c r="I470" s="2" t="s">
        <v>22</v>
      </c>
      <c r="J470" s="2" t="s">
        <v>1013</v>
      </c>
      <c r="K470" s="2">
        <v>7</v>
      </c>
      <c r="L470" s="2" t="s">
        <v>20</v>
      </c>
      <c r="M470" s="2">
        <v>1996</v>
      </c>
      <c r="N470" s="3" t="s">
        <v>207</v>
      </c>
      <c r="O470" s="3" t="s">
        <v>3309</v>
      </c>
      <c r="P470" s="3" t="s">
        <v>3310</v>
      </c>
      <c r="Q470" s="2">
        <v>2843</v>
      </c>
    </row>
    <row r="471" spans="1:17" ht="143.25" customHeight="1" x14ac:dyDescent="0.25">
      <c r="A471" s="5" t="str">
        <f>_xll.JChemExcel.Functions.JCSYSStructure("4DF5F0791F12B8A6A351BCE0439488EC")</f>
        <v/>
      </c>
      <c r="B471" s="3" t="s">
        <v>3311</v>
      </c>
      <c r="C471" s="3" t="s">
        <v>3312</v>
      </c>
      <c r="D471" s="2" t="s">
        <v>3314</v>
      </c>
      <c r="E471" s="2" t="s">
        <v>7619</v>
      </c>
      <c r="F471" s="3" t="s">
        <v>3313</v>
      </c>
      <c r="G471" s="2" t="s">
        <v>3315</v>
      </c>
      <c r="H471" s="8">
        <v>369.5</v>
      </c>
      <c r="I471" s="2" t="s">
        <v>22</v>
      </c>
      <c r="J471" s="2" t="s">
        <v>26</v>
      </c>
      <c r="K471" s="2">
        <v>7</v>
      </c>
      <c r="L471" s="2" t="s">
        <v>20</v>
      </c>
      <c r="M471" s="2">
        <v>1999</v>
      </c>
      <c r="N471" s="3" t="s">
        <v>3316</v>
      </c>
      <c r="O471" s="3" t="s">
        <v>3317</v>
      </c>
      <c r="P471" s="3" t="s">
        <v>3318</v>
      </c>
      <c r="Q471" s="2">
        <v>2843</v>
      </c>
    </row>
    <row r="472" spans="1:17" ht="143.25" customHeight="1" x14ac:dyDescent="0.25">
      <c r="A472" s="5" t="str">
        <f>_xll.JChemExcel.Functions.JCSYSStructure("1D0D32120A86121B6E02AD504CDA094F")</f>
        <v/>
      </c>
      <c r="B472" s="3" t="s">
        <v>3319</v>
      </c>
      <c r="C472" s="3" t="s">
        <v>3320</v>
      </c>
      <c r="D472" s="2" t="s">
        <v>3322</v>
      </c>
      <c r="E472" s="2" t="s">
        <v>7620</v>
      </c>
      <c r="F472" s="3" t="s">
        <v>3321</v>
      </c>
      <c r="G472" s="2" t="s">
        <v>3323</v>
      </c>
      <c r="H472" s="8">
        <v>393.9</v>
      </c>
      <c r="I472" s="2" t="s">
        <v>22</v>
      </c>
      <c r="J472" s="2" t="s">
        <v>26</v>
      </c>
      <c r="K472" s="2">
        <v>7</v>
      </c>
      <c r="L472" s="2" t="s">
        <v>20</v>
      </c>
      <c r="M472" s="2">
        <v>2004</v>
      </c>
      <c r="N472" s="3" t="s">
        <v>3324</v>
      </c>
      <c r="O472" s="3" t="s">
        <v>3325</v>
      </c>
      <c r="P472" s="3" t="s">
        <v>3326</v>
      </c>
      <c r="Q472" s="2">
        <v>2843</v>
      </c>
    </row>
    <row r="473" spans="1:17" ht="143.25" customHeight="1" x14ac:dyDescent="0.25">
      <c r="A473" s="5" t="str">
        <f>_xll.JChemExcel.Functions.JCSYSStructure("9F6E31AE9D1972EE07E0D0C89BD639B4")</f>
        <v/>
      </c>
      <c r="B473" s="3" t="s">
        <v>3327</v>
      </c>
      <c r="C473" s="3" t="s">
        <v>3328</v>
      </c>
      <c r="D473" s="2" t="s">
        <v>3330</v>
      </c>
      <c r="E473" s="2" t="s">
        <v>7621</v>
      </c>
      <c r="F473" s="3" t="s">
        <v>3329</v>
      </c>
      <c r="G473" s="2" t="s">
        <v>3331</v>
      </c>
      <c r="H473" s="8">
        <v>1243.5</v>
      </c>
      <c r="I473" s="2" t="s">
        <v>22</v>
      </c>
      <c r="J473" s="2" t="s">
        <v>26</v>
      </c>
      <c r="K473" s="2">
        <v>7</v>
      </c>
      <c r="L473" s="2" t="s">
        <v>20</v>
      </c>
      <c r="M473" s="2">
        <v>1995</v>
      </c>
      <c r="N473" s="3" t="s">
        <v>3332</v>
      </c>
      <c r="O473" s="3" t="s">
        <v>3333</v>
      </c>
      <c r="P473" s="3" t="s">
        <v>3334</v>
      </c>
      <c r="Q473" s="2">
        <v>2843</v>
      </c>
    </row>
    <row r="474" spans="1:17" ht="143.25" customHeight="1" x14ac:dyDescent="0.25">
      <c r="A474" s="5" t="str">
        <f>_xll.JChemExcel.Functions.JCSYSStructure("5A5332E5383A940C987700F874E8B313")</f>
        <v/>
      </c>
      <c r="B474" s="3" t="s">
        <v>3335</v>
      </c>
      <c r="C474" s="3" t="s">
        <v>3336</v>
      </c>
      <c r="D474" s="2" t="s">
        <v>3337</v>
      </c>
      <c r="E474" s="2">
        <v>400040</v>
      </c>
      <c r="F474" s="3" t="s">
        <v>8009</v>
      </c>
      <c r="G474" s="2" t="s">
        <v>3338</v>
      </c>
      <c r="H474" s="8">
        <v>298</v>
      </c>
      <c r="I474" s="2" t="s">
        <v>22</v>
      </c>
      <c r="J474" s="2" t="s">
        <v>26</v>
      </c>
      <c r="K474" s="2">
        <v>7</v>
      </c>
      <c r="L474" s="2" t="s">
        <v>20</v>
      </c>
      <c r="M474" s="2" t="s">
        <v>124</v>
      </c>
      <c r="N474" s="3" t="s">
        <v>563</v>
      </c>
      <c r="O474" s="3" t="s">
        <v>3339</v>
      </c>
      <c r="P474" s="3" t="s">
        <v>3340</v>
      </c>
      <c r="Q474" s="2">
        <v>2843</v>
      </c>
    </row>
    <row r="475" spans="1:17" ht="143.25" customHeight="1" x14ac:dyDescent="0.25">
      <c r="A475" s="5" t="str">
        <f>_xll.JChemExcel.Functions.JCSYSStructure("B60662BCDA5E028CEA8680AA4DD4A780")</f>
        <v/>
      </c>
      <c r="B475" s="3" t="s">
        <v>3341</v>
      </c>
      <c r="C475" s="3" t="s">
        <v>3342</v>
      </c>
      <c r="D475" s="2" t="s">
        <v>3344</v>
      </c>
      <c r="E475" s="2" t="s">
        <v>7622</v>
      </c>
      <c r="F475" s="3" t="s">
        <v>3343</v>
      </c>
      <c r="G475" s="2" t="s">
        <v>3345</v>
      </c>
      <c r="H475" s="8">
        <v>285.7</v>
      </c>
      <c r="I475" s="2" t="s">
        <v>22</v>
      </c>
      <c r="J475" s="2" t="s">
        <v>26</v>
      </c>
      <c r="K475" s="2">
        <v>7</v>
      </c>
      <c r="L475" s="2" t="s">
        <v>20</v>
      </c>
      <c r="M475" s="2">
        <v>1993</v>
      </c>
      <c r="N475" s="3" t="s">
        <v>563</v>
      </c>
      <c r="O475" s="3" t="s">
        <v>3346</v>
      </c>
      <c r="P475" s="3" t="s">
        <v>3347</v>
      </c>
      <c r="Q475" s="2">
        <v>2843</v>
      </c>
    </row>
    <row r="476" spans="1:17" ht="143.25" customHeight="1" x14ac:dyDescent="0.25">
      <c r="A476" s="5" t="str">
        <f>_xll.JChemExcel.Functions.JCSYSStructure("FFA6AE717D83FDBBC11CF5FEE1F70327")</f>
        <v/>
      </c>
      <c r="B476" s="3" t="s">
        <v>3348</v>
      </c>
      <c r="C476" s="3" t="s">
        <v>3349</v>
      </c>
      <c r="D476" s="2" t="s">
        <v>3351</v>
      </c>
      <c r="E476" s="2" t="s">
        <v>7623</v>
      </c>
      <c r="F476" s="3" t="s">
        <v>3350</v>
      </c>
      <c r="G476" s="2" t="s">
        <v>3352</v>
      </c>
      <c r="H476" s="8">
        <v>237.3</v>
      </c>
      <c r="I476" s="2" t="s">
        <v>22</v>
      </c>
      <c r="J476" s="2" t="s">
        <v>26</v>
      </c>
      <c r="K476" s="2">
        <v>7</v>
      </c>
      <c r="L476" s="2" t="s">
        <v>20</v>
      </c>
      <c r="M476" s="2">
        <v>1984</v>
      </c>
      <c r="N476" s="3" t="s">
        <v>2665</v>
      </c>
      <c r="O476" s="3" t="s">
        <v>3353</v>
      </c>
      <c r="P476" s="3" t="s">
        <v>3354</v>
      </c>
      <c r="Q476" s="2">
        <v>2843</v>
      </c>
    </row>
    <row r="477" spans="1:17" ht="143.25" customHeight="1" x14ac:dyDescent="0.25">
      <c r="D477" s="2" t="s">
        <v>3355</v>
      </c>
      <c r="F477" s="3" t="s">
        <v>2847</v>
      </c>
      <c r="G477" s="2"/>
      <c r="K477" s="2">
        <v>7</v>
      </c>
      <c r="L477" s="2" t="s">
        <v>20</v>
      </c>
      <c r="Q477" s="2">
        <v>2843</v>
      </c>
    </row>
    <row r="478" spans="1:17" ht="143.25" customHeight="1" x14ac:dyDescent="0.25">
      <c r="A478" s="5" t="str">
        <f>_xll.JChemExcel.Functions.JCSYSStructure("978D4A23FE184DE896A61A086C2FCD7E")</f>
        <v/>
      </c>
      <c r="B478" s="3" t="s">
        <v>3356</v>
      </c>
      <c r="C478" s="3" t="s">
        <v>3357</v>
      </c>
      <c r="D478" s="2" t="s">
        <v>3359</v>
      </c>
      <c r="E478" s="2" t="s">
        <v>7624</v>
      </c>
      <c r="F478" s="3" t="s">
        <v>3358</v>
      </c>
      <c r="G478" s="2" t="s">
        <v>3360</v>
      </c>
      <c r="H478" s="8">
        <v>473.4</v>
      </c>
      <c r="I478" s="2" t="s">
        <v>22</v>
      </c>
      <c r="J478" s="2" t="s">
        <v>26</v>
      </c>
      <c r="K478" s="2">
        <v>7</v>
      </c>
      <c r="L478" s="2" t="s">
        <v>20</v>
      </c>
      <c r="M478" s="2">
        <v>1986</v>
      </c>
      <c r="N478" s="3" t="s">
        <v>3361</v>
      </c>
      <c r="O478" s="3" t="s">
        <v>3362</v>
      </c>
      <c r="P478" s="3" t="s">
        <v>3363</v>
      </c>
      <c r="Q478" s="2">
        <v>2843</v>
      </c>
    </row>
    <row r="479" spans="1:17" ht="143.25" customHeight="1" x14ac:dyDescent="0.25">
      <c r="A479" s="5" t="str">
        <f>_xll.JChemExcel.Functions.JCSYSStructure("90A9A9DF6F28D4FE5E0BF4E965D0294E")</f>
        <v/>
      </c>
      <c r="B479" s="3" t="s">
        <v>3364</v>
      </c>
      <c r="C479" s="3" t="s">
        <v>3365</v>
      </c>
      <c r="D479" s="2" t="s">
        <v>3367</v>
      </c>
      <c r="E479" s="2" t="s">
        <v>7625</v>
      </c>
      <c r="F479" s="3" t="s">
        <v>3366</v>
      </c>
      <c r="G479" s="2" t="s">
        <v>3368</v>
      </c>
      <c r="H479" s="8">
        <v>351.3</v>
      </c>
      <c r="I479" s="2" t="s">
        <v>22</v>
      </c>
      <c r="J479" s="2" t="s">
        <v>26</v>
      </c>
      <c r="K479" s="2">
        <v>7</v>
      </c>
      <c r="L479" s="2" t="s">
        <v>20</v>
      </c>
      <c r="M479" s="2">
        <v>1989</v>
      </c>
      <c r="N479" s="3" t="s">
        <v>269</v>
      </c>
      <c r="O479" s="3" t="s">
        <v>3369</v>
      </c>
      <c r="P479" s="3" t="s">
        <v>3370</v>
      </c>
      <c r="Q479" s="2">
        <v>2843</v>
      </c>
    </row>
    <row r="480" spans="1:17" ht="143.25" customHeight="1" x14ac:dyDescent="0.25">
      <c r="D480" s="2" t="s">
        <v>3371</v>
      </c>
      <c r="F480" s="3" t="s">
        <v>2847</v>
      </c>
      <c r="G480" s="2"/>
      <c r="K480" s="2">
        <v>7</v>
      </c>
      <c r="L480" s="2" t="s">
        <v>20</v>
      </c>
      <c r="Q480" s="2">
        <v>2843</v>
      </c>
    </row>
    <row r="481" spans="1:17" ht="143.25" customHeight="1" x14ac:dyDescent="0.25">
      <c r="A481" s="5" t="str">
        <f>_xll.JChemExcel.Functions.JCSYSStructure("E04266AB6145CB1E7F93DAD98DA05425")</f>
        <v/>
      </c>
      <c r="B481" s="3" t="s">
        <v>3372</v>
      </c>
      <c r="C481" s="3" t="s">
        <v>3373</v>
      </c>
      <c r="D481" s="2" t="s">
        <v>3375</v>
      </c>
      <c r="E481" s="2" t="s">
        <v>7626</v>
      </c>
      <c r="F481" s="3" t="s">
        <v>3374</v>
      </c>
      <c r="G481" s="2" t="s">
        <v>3376</v>
      </c>
      <c r="H481" s="8">
        <v>344.8</v>
      </c>
      <c r="I481" s="2" t="s">
        <v>22</v>
      </c>
      <c r="J481" s="2" t="s">
        <v>26</v>
      </c>
      <c r="K481" s="2">
        <v>7</v>
      </c>
      <c r="L481" s="2" t="s">
        <v>20</v>
      </c>
      <c r="M481" s="2">
        <v>1975</v>
      </c>
      <c r="N481" s="3" t="s">
        <v>3377</v>
      </c>
      <c r="O481" s="3" t="s">
        <v>3378</v>
      </c>
      <c r="P481" s="3" t="s">
        <v>3379</v>
      </c>
      <c r="Q481" s="2">
        <v>2843</v>
      </c>
    </row>
    <row r="482" spans="1:17" ht="143.25" customHeight="1" x14ac:dyDescent="0.25">
      <c r="A482" s="5" t="str">
        <f>_xll.JChemExcel.Functions.JCSYSStructure("B083552AB00C54639D3E0F403B85FDD7")</f>
        <v/>
      </c>
      <c r="B482" s="3" t="s">
        <v>3380</v>
      </c>
      <c r="C482" s="3" t="s">
        <v>3381</v>
      </c>
      <c r="D482" s="2" t="s">
        <v>3383</v>
      </c>
      <c r="E482" s="2" t="s">
        <v>7627</v>
      </c>
      <c r="F482" s="3" t="s">
        <v>3382</v>
      </c>
      <c r="G482" s="2" t="s">
        <v>3384</v>
      </c>
      <c r="H482" s="8">
        <v>475.9</v>
      </c>
      <c r="I482" s="2" t="s">
        <v>22</v>
      </c>
      <c r="J482" s="2" t="s">
        <v>26</v>
      </c>
      <c r="K482" s="2">
        <v>7</v>
      </c>
      <c r="L482" s="2" t="s">
        <v>20</v>
      </c>
      <c r="M482" s="2" t="s">
        <v>124</v>
      </c>
      <c r="N482" s="3" t="s">
        <v>23</v>
      </c>
      <c r="O482" s="3" t="s">
        <v>3385</v>
      </c>
      <c r="P482" s="3" t="s">
        <v>53</v>
      </c>
      <c r="Q482" s="2">
        <v>2843</v>
      </c>
    </row>
    <row r="483" spans="1:17" ht="143.25" customHeight="1" x14ac:dyDescent="0.25">
      <c r="A483" s="5" t="str">
        <f>_xll.JChemExcel.Functions.JCSYSStructure("99423EE8C9E7606CCDCE76640AE51B4C")</f>
        <v/>
      </c>
      <c r="B483" s="3" t="s">
        <v>3386</v>
      </c>
      <c r="C483" s="3" t="s">
        <v>3387</v>
      </c>
      <c r="D483" s="2" t="s">
        <v>3389</v>
      </c>
      <c r="E483" s="2">
        <v>380033</v>
      </c>
      <c r="F483" s="3" t="s">
        <v>3388</v>
      </c>
      <c r="G483" s="2" t="s">
        <v>3390</v>
      </c>
      <c r="H483" s="8">
        <v>399.4</v>
      </c>
      <c r="I483" s="2" t="s">
        <v>22</v>
      </c>
      <c r="J483" s="2" t="s">
        <v>26</v>
      </c>
      <c r="K483" s="2">
        <v>7</v>
      </c>
      <c r="L483" s="2" t="s">
        <v>20</v>
      </c>
      <c r="M483" s="2">
        <v>1961</v>
      </c>
      <c r="N483" s="3" t="s">
        <v>3391</v>
      </c>
      <c r="O483" s="3" t="s">
        <v>3392</v>
      </c>
      <c r="P483" s="3" t="s">
        <v>3393</v>
      </c>
      <c r="Q483" s="2">
        <v>2843</v>
      </c>
    </row>
    <row r="484" spans="1:17" ht="143.25" customHeight="1" x14ac:dyDescent="0.25">
      <c r="A484" s="5" t="str">
        <f>_xll.JChemExcel.Functions.JCSYSStructure("AED1895D3C13F5700457E58357C78014")</f>
        <v/>
      </c>
      <c r="B484" s="3" t="s">
        <v>3394</v>
      </c>
      <c r="C484" s="3" t="s">
        <v>3395</v>
      </c>
      <c r="D484" s="2" t="s">
        <v>3397</v>
      </c>
      <c r="E484" s="2" t="s">
        <v>7628</v>
      </c>
      <c r="F484" s="3" t="s">
        <v>3396</v>
      </c>
      <c r="G484" s="2" t="s">
        <v>3398</v>
      </c>
      <c r="H484" s="8">
        <v>1749.8</v>
      </c>
      <c r="I484" s="2" t="s">
        <v>22</v>
      </c>
      <c r="J484" s="2" t="s">
        <v>26</v>
      </c>
      <c r="K484" s="2">
        <v>7</v>
      </c>
      <c r="L484" s="2" t="s">
        <v>20</v>
      </c>
      <c r="M484" s="2">
        <v>1970</v>
      </c>
      <c r="N484" s="3" t="s">
        <v>23</v>
      </c>
      <c r="O484" s="3" t="s">
        <v>3399</v>
      </c>
      <c r="P484" s="3" t="s">
        <v>3400</v>
      </c>
      <c r="Q484" s="2">
        <v>2843</v>
      </c>
    </row>
    <row r="485" spans="1:17" ht="143.25" customHeight="1" x14ac:dyDescent="0.25">
      <c r="A485" s="5" t="str">
        <f>_xll.JChemExcel.Functions.JCSYSStructure("722BF4CFC50A27C37A12A543E3375B09")</f>
        <v/>
      </c>
      <c r="B485" s="3" t="s">
        <v>3401</v>
      </c>
      <c r="C485" s="3" t="s">
        <v>3402</v>
      </c>
      <c r="D485" s="2" t="s">
        <v>3403</v>
      </c>
      <c r="E485" s="2">
        <v>380272</v>
      </c>
      <c r="F485" s="3" t="s">
        <v>8010</v>
      </c>
      <c r="G485" s="2" t="s">
        <v>3404</v>
      </c>
      <c r="H485" s="9">
        <v>1253.5</v>
      </c>
      <c r="I485" s="2" t="s">
        <v>22</v>
      </c>
      <c r="J485" s="2" t="s">
        <v>26</v>
      </c>
      <c r="K485" s="2">
        <v>7</v>
      </c>
      <c r="L485" s="2" t="s">
        <v>20</v>
      </c>
      <c r="M485" s="2">
        <v>1962</v>
      </c>
      <c r="N485" s="3" t="s">
        <v>51</v>
      </c>
      <c r="O485" s="3" t="s">
        <v>3405</v>
      </c>
      <c r="P485" s="3" t="s">
        <v>3400</v>
      </c>
      <c r="Q485" s="2">
        <v>2843</v>
      </c>
    </row>
    <row r="486" spans="1:17" ht="143.25" customHeight="1" x14ac:dyDescent="0.25">
      <c r="A486" s="5" t="str">
        <f>_xll.JChemExcel.Functions.JCSYSStructure("85345BDBCF3D078B3D5A8CF9E6A08D8B")</f>
        <v/>
      </c>
      <c r="B486" s="3" t="s">
        <v>3406</v>
      </c>
      <c r="C486" s="3" t="s">
        <v>3407</v>
      </c>
      <c r="D486" s="2" t="s">
        <v>3409</v>
      </c>
      <c r="E486" s="2" t="s">
        <v>7629</v>
      </c>
      <c r="F486" s="3" t="s">
        <v>3408</v>
      </c>
      <c r="G486" s="2" t="s">
        <v>3410</v>
      </c>
      <c r="H486" s="8">
        <v>402.5</v>
      </c>
      <c r="I486" s="2" t="s">
        <v>22</v>
      </c>
      <c r="J486" s="2" t="s">
        <v>26</v>
      </c>
      <c r="K486" s="2">
        <v>7</v>
      </c>
      <c r="L486" s="2" t="s">
        <v>20</v>
      </c>
      <c r="M486" s="2">
        <v>1950</v>
      </c>
      <c r="N486" s="3" t="s">
        <v>1750</v>
      </c>
      <c r="O486" s="3" t="s">
        <v>3411</v>
      </c>
      <c r="P486" s="3" t="s">
        <v>3412</v>
      </c>
      <c r="Q486" s="2">
        <v>2843</v>
      </c>
    </row>
    <row r="487" spans="1:17" ht="143.25" customHeight="1" x14ac:dyDescent="0.25">
      <c r="A487" s="5" t="str">
        <f>_xll.JChemExcel.Functions.JCSYSStructure("C7C13CFBF9FA66FB0D16A5A7118E202E")</f>
        <v/>
      </c>
      <c r="B487" s="3" t="s">
        <v>3413</v>
      </c>
      <c r="C487" s="3" t="s">
        <v>3414</v>
      </c>
      <c r="D487" s="2" t="s">
        <v>3416</v>
      </c>
      <c r="E487" s="2" t="s">
        <v>7630</v>
      </c>
      <c r="F487" s="3" t="s">
        <v>3415</v>
      </c>
      <c r="G487" s="2" t="s">
        <v>3417</v>
      </c>
      <c r="H487" s="8">
        <v>311.8</v>
      </c>
      <c r="I487" s="2" t="s">
        <v>22</v>
      </c>
      <c r="J487" s="2" t="s">
        <v>26</v>
      </c>
      <c r="K487" s="2">
        <v>7</v>
      </c>
      <c r="L487" s="2" t="s">
        <v>20</v>
      </c>
      <c r="M487" s="2">
        <v>1977</v>
      </c>
      <c r="N487" s="3" t="s">
        <v>719</v>
      </c>
      <c r="O487" s="3" t="s">
        <v>3418</v>
      </c>
      <c r="P487" s="3" t="s">
        <v>3419</v>
      </c>
      <c r="Q487" s="2">
        <v>2843</v>
      </c>
    </row>
    <row r="488" spans="1:17" ht="143.25" customHeight="1" x14ac:dyDescent="0.25">
      <c r="A488" s="5" t="str">
        <f>_xll.JChemExcel.Functions.JCSYSStructure("16C0F332BDD968D6BF7A8F455DCC05D2")</f>
        <v/>
      </c>
      <c r="B488" s="3" t="s">
        <v>3420</v>
      </c>
      <c r="C488" s="3" t="s">
        <v>3421</v>
      </c>
      <c r="D488" s="2" t="s">
        <v>3423</v>
      </c>
      <c r="E488" s="2" t="s">
        <v>7631</v>
      </c>
      <c r="F488" s="3" t="s">
        <v>3422</v>
      </c>
      <c r="G488" s="2" t="s">
        <v>3424</v>
      </c>
      <c r="H488" s="8">
        <v>291.39999999999998</v>
      </c>
      <c r="I488" s="2" t="s">
        <v>22</v>
      </c>
      <c r="J488" s="2" t="s">
        <v>26</v>
      </c>
      <c r="K488" s="2">
        <v>7</v>
      </c>
      <c r="L488" s="2" t="s">
        <v>20</v>
      </c>
      <c r="M488" s="2" t="s">
        <v>124</v>
      </c>
      <c r="N488" s="3" t="s">
        <v>3425</v>
      </c>
      <c r="O488" s="3" t="s">
        <v>3426</v>
      </c>
      <c r="P488" s="3" t="s">
        <v>3427</v>
      </c>
      <c r="Q488" s="2">
        <v>2843</v>
      </c>
    </row>
    <row r="489" spans="1:17" ht="143.25" customHeight="1" x14ac:dyDescent="0.25">
      <c r="A489" s="5" t="str">
        <f>_xll.JChemExcel.Functions.JCSYSStructure("60883F653F6177EB1802EE33C667DD5B")</f>
        <v/>
      </c>
      <c r="B489" s="3" t="s">
        <v>3428</v>
      </c>
      <c r="C489" s="3" t="s">
        <v>3429</v>
      </c>
      <c r="D489" s="2" t="s">
        <v>3431</v>
      </c>
      <c r="E489" s="2" t="s">
        <v>7632</v>
      </c>
      <c r="F489" s="3" t="s">
        <v>3430</v>
      </c>
      <c r="G489" s="2" t="s">
        <v>3432</v>
      </c>
      <c r="H489" s="8">
        <v>102.1</v>
      </c>
      <c r="I489" s="2" t="s">
        <v>22</v>
      </c>
      <c r="J489" s="2" t="s">
        <v>26</v>
      </c>
      <c r="K489" s="2">
        <v>7</v>
      </c>
      <c r="L489" s="2" t="s">
        <v>20</v>
      </c>
      <c r="M489" s="2">
        <v>1964</v>
      </c>
      <c r="N489" s="3" t="s">
        <v>23</v>
      </c>
      <c r="O489" s="3" t="s">
        <v>3433</v>
      </c>
      <c r="P489" s="3" t="s">
        <v>3434</v>
      </c>
      <c r="Q489" s="2">
        <v>2843</v>
      </c>
    </row>
    <row r="490" spans="1:17" ht="143.25" customHeight="1" x14ac:dyDescent="0.25">
      <c r="A490" s="5" t="str">
        <f>_xll.JChemExcel.Functions.JCSYSStructure("F2ABB6F74F47D5B46AB34E92DE271414")</f>
        <v/>
      </c>
      <c r="B490" s="3" t="s">
        <v>3435</v>
      </c>
      <c r="C490" s="3" t="s">
        <v>3436</v>
      </c>
      <c r="D490" s="2" t="s">
        <v>3438</v>
      </c>
      <c r="E490" s="2" t="s">
        <v>7633</v>
      </c>
      <c r="F490" s="3" t="s">
        <v>3437</v>
      </c>
      <c r="G490" s="2" t="s">
        <v>3439</v>
      </c>
      <c r="H490" s="8">
        <v>113.6</v>
      </c>
      <c r="I490" s="2" t="s">
        <v>22</v>
      </c>
      <c r="J490" s="2" t="s">
        <v>26</v>
      </c>
      <c r="K490" s="2">
        <v>7</v>
      </c>
      <c r="L490" s="2" t="s">
        <v>20</v>
      </c>
      <c r="M490" s="2">
        <v>1994</v>
      </c>
      <c r="N490" s="3" t="s">
        <v>3440</v>
      </c>
      <c r="O490" s="3" t="s">
        <v>3441</v>
      </c>
      <c r="P490" s="3" t="s">
        <v>3442</v>
      </c>
      <c r="Q490" s="2">
        <v>2843</v>
      </c>
    </row>
    <row r="491" spans="1:17" ht="143.25" customHeight="1" x14ac:dyDescent="0.25">
      <c r="A491" s="5" t="str">
        <f>_xll.JChemExcel.Functions.JCSYSStructure("18020367430F4DE4AFA4A84777687204")</f>
        <v/>
      </c>
      <c r="B491" s="3" t="s">
        <v>3443</v>
      </c>
      <c r="C491" s="3" t="s">
        <v>3444</v>
      </c>
      <c r="D491" s="2" t="s">
        <v>3445</v>
      </c>
      <c r="E491" s="2" t="s">
        <v>7634</v>
      </c>
      <c r="F491" s="3" t="s">
        <v>8011</v>
      </c>
      <c r="G491" s="2" t="s">
        <v>3446</v>
      </c>
      <c r="H491" s="8">
        <v>1255.4000000000001</v>
      </c>
      <c r="I491" s="2" t="s">
        <v>22</v>
      </c>
      <c r="J491" s="2" t="s">
        <v>26</v>
      </c>
      <c r="K491" s="2">
        <v>7</v>
      </c>
      <c r="L491" s="2" t="s">
        <v>20</v>
      </c>
      <c r="M491" s="2">
        <v>1964</v>
      </c>
      <c r="N491" s="3" t="s">
        <v>563</v>
      </c>
      <c r="O491" s="3" t="s">
        <v>3447</v>
      </c>
      <c r="P491" s="3" t="s">
        <v>3448</v>
      </c>
      <c r="Q491" s="2">
        <v>2843</v>
      </c>
    </row>
    <row r="492" spans="1:17" ht="143.25" customHeight="1" x14ac:dyDescent="0.25">
      <c r="A492" s="5" t="str">
        <f>_xll.JChemExcel.Functions.JCSYSStructure("7DBB864C352CC1CD1ED557CAF51972FA")</f>
        <v/>
      </c>
      <c r="B492" s="3" t="s">
        <v>3449</v>
      </c>
      <c r="C492" s="3" t="s">
        <v>3450</v>
      </c>
      <c r="D492" s="2" t="s">
        <v>3451</v>
      </c>
      <c r="E492" s="2">
        <v>550141</v>
      </c>
      <c r="F492" s="3" t="s">
        <v>8012</v>
      </c>
      <c r="G492" s="2" t="s">
        <v>3452</v>
      </c>
      <c r="H492" s="8">
        <v>94.1</v>
      </c>
      <c r="I492" s="2" t="s">
        <v>22</v>
      </c>
      <c r="J492" s="2" t="s">
        <v>26</v>
      </c>
      <c r="K492" s="2">
        <v>7</v>
      </c>
      <c r="L492" s="2" t="s">
        <v>20</v>
      </c>
      <c r="M492" s="2">
        <v>2010</v>
      </c>
      <c r="N492" s="3" t="s">
        <v>3453</v>
      </c>
      <c r="O492" s="3" t="s">
        <v>3454</v>
      </c>
      <c r="P492" s="3" t="s">
        <v>3455</v>
      </c>
      <c r="Q492" s="2">
        <v>2843</v>
      </c>
    </row>
    <row r="493" spans="1:17" ht="143.25" customHeight="1" x14ac:dyDescent="0.25">
      <c r="A493" s="5" t="str">
        <f>_xll.JChemExcel.Functions.JCSYSStructure("A754C21F4EEA2D19312F940EB8ED9FEE")</f>
        <v/>
      </c>
      <c r="B493" s="3" t="s">
        <v>3456</v>
      </c>
      <c r="C493" s="3" t="s">
        <v>3457</v>
      </c>
      <c r="D493" s="2" t="s">
        <v>3458</v>
      </c>
      <c r="E493" s="2">
        <v>550072</v>
      </c>
      <c r="F493" s="3" t="s">
        <v>8013</v>
      </c>
      <c r="G493" s="2" t="s">
        <v>3459</v>
      </c>
      <c r="H493" s="8">
        <v>336.2</v>
      </c>
      <c r="I493" s="2" t="s">
        <v>22</v>
      </c>
      <c r="J493" s="2" t="s">
        <v>26</v>
      </c>
      <c r="K493" s="2">
        <v>7</v>
      </c>
      <c r="L493" s="2" t="s">
        <v>20</v>
      </c>
      <c r="M493" s="2">
        <v>1974</v>
      </c>
      <c r="N493" s="3" t="s">
        <v>719</v>
      </c>
      <c r="O493" s="3" t="s">
        <v>3460</v>
      </c>
      <c r="P493" s="3" t="s">
        <v>3461</v>
      </c>
      <c r="Q493" s="2">
        <v>2843</v>
      </c>
    </row>
    <row r="494" spans="1:17" ht="143.25" customHeight="1" x14ac:dyDescent="0.25">
      <c r="A494" s="5" t="str">
        <f>_xll.JChemExcel.Functions.JCSYSStructure("E429BD3242A73D2790C20E3A3E472CD3")</f>
        <v/>
      </c>
      <c r="B494" s="3" t="s">
        <v>3462</v>
      </c>
      <c r="C494" s="3" t="s">
        <v>3463</v>
      </c>
      <c r="D494" s="2" t="s">
        <v>3465</v>
      </c>
      <c r="E494" s="2">
        <v>270090</v>
      </c>
      <c r="F494" s="3" t="s">
        <v>3464</v>
      </c>
      <c r="G494" s="2" t="s">
        <v>3466</v>
      </c>
      <c r="H494" s="8">
        <v>248.3</v>
      </c>
      <c r="I494" s="2" t="s">
        <v>22</v>
      </c>
      <c r="J494" s="2" t="s">
        <v>26</v>
      </c>
      <c r="K494" s="2">
        <v>7</v>
      </c>
      <c r="L494" s="2" t="s">
        <v>20</v>
      </c>
      <c r="M494" s="2" t="s">
        <v>124</v>
      </c>
      <c r="N494" s="3" t="s">
        <v>3467</v>
      </c>
      <c r="O494" s="3" t="s">
        <v>3468</v>
      </c>
      <c r="P494" s="3" t="s">
        <v>3469</v>
      </c>
      <c r="Q494" s="2">
        <v>2843</v>
      </c>
    </row>
    <row r="495" spans="1:17" ht="143.25" customHeight="1" x14ac:dyDescent="0.25">
      <c r="A495" s="5" t="str">
        <f>_xll.JChemExcel.Functions.JCSYSStructure("6EFC26177D7A3743CFB9BCB9ED78EFE5")</f>
        <v/>
      </c>
      <c r="B495" s="3" t="s">
        <v>3470</v>
      </c>
      <c r="C495" s="3" t="s">
        <v>3471</v>
      </c>
      <c r="D495" s="2" t="s">
        <v>3473</v>
      </c>
      <c r="E495" s="2" t="s">
        <v>7635</v>
      </c>
      <c r="F495" s="3" t="s">
        <v>3472</v>
      </c>
      <c r="G495" s="2" t="s">
        <v>3474</v>
      </c>
      <c r="H495" s="8">
        <v>1620.7</v>
      </c>
      <c r="I495" s="2" t="s">
        <v>22</v>
      </c>
      <c r="J495" s="2" t="s">
        <v>26</v>
      </c>
      <c r="K495" s="2">
        <v>7</v>
      </c>
      <c r="L495" s="2" t="s">
        <v>20</v>
      </c>
      <c r="M495" s="2">
        <v>2003</v>
      </c>
      <c r="N495" s="3" t="s">
        <v>23</v>
      </c>
      <c r="O495" s="3" t="s">
        <v>3475</v>
      </c>
      <c r="P495" s="3" t="s">
        <v>3476</v>
      </c>
      <c r="Q495" s="2">
        <v>2843</v>
      </c>
    </row>
    <row r="496" spans="1:17" ht="143.25" customHeight="1" x14ac:dyDescent="0.25">
      <c r="A496" s="5" t="str">
        <f>_xll.JChemExcel.Functions.JCSYSStructure("D932CE4278D4C058628D3AD0BCCA043C")</f>
        <v/>
      </c>
      <c r="B496" s="3" t="s">
        <v>3477</v>
      </c>
      <c r="C496" s="3" t="s">
        <v>3478</v>
      </c>
      <c r="D496" s="2" t="s">
        <v>3480</v>
      </c>
      <c r="E496" s="2" t="s">
        <v>7636</v>
      </c>
      <c r="F496" s="3" t="s">
        <v>3479</v>
      </c>
      <c r="G496" s="2" t="s">
        <v>3481</v>
      </c>
      <c r="H496" s="8">
        <v>507.5</v>
      </c>
      <c r="I496" s="2" t="s">
        <v>22</v>
      </c>
      <c r="J496" s="2" t="s">
        <v>26</v>
      </c>
      <c r="K496" s="2">
        <v>7</v>
      </c>
      <c r="L496" s="2" t="s">
        <v>20</v>
      </c>
      <c r="M496" s="2">
        <v>2004</v>
      </c>
      <c r="N496" s="3" t="s">
        <v>3482</v>
      </c>
      <c r="O496" s="3" t="s">
        <v>3483</v>
      </c>
      <c r="P496" s="3" t="s">
        <v>3484</v>
      </c>
      <c r="Q496" s="2">
        <v>2843</v>
      </c>
    </row>
    <row r="497" spans="1:17" ht="143.25" customHeight="1" x14ac:dyDescent="0.25">
      <c r="A497" s="5" t="str">
        <f>_xll.JChemExcel.Functions.JCSYSStructure("6F53C2DBB99BB09C2F7C466976280096")</f>
        <v/>
      </c>
      <c r="B497" s="3" t="s">
        <v>3485</v>
      </c>
      <c r="C497" s="3" t="s">
        <v>3486</v>
      </c>
      <c r="D497" s="2" t="s">
        <v>3488</v>
      </c>
      <c r="E497" s="2" t="s">
        <v>7637</v>
      </c>
      <c r="F497" s="3" t="s">
        <v>3487</v>
      </c>
      <c r="G497" s="2" t="s">
        <v>3489</v>
      </c>
      <c r="H497" s="8">
        <v>547.70000000000005</v>
      </c>
      <c r="I497" s="2" t="s">
        <v>22</v>
      </c>
      <c r="J497" s="2" t="s">
        <v>26</v>
      </c>
      <c r="K497" s="2">
        <v>7</v>
      </c>
      <c r="L497" s="2" t="s">
        <v>20</v>
      </c>
      <c r="M497" s="2">
        <v>2006</v>
      </c>
      <c r="N497" s="3" t="s">
        <v>207</v>
      </c>
      <c r="O497" s="3" t="s">
        <v>3490</v>
      </c>
      <c r="P497" s="3" t="s">
        <v>3491</v>
      </c>
      <c r="Q497" s="2">
        <v>2843</v>
      </c>
    </row>
    <row r="498" spans="1:17" ht="143.25" customHeight="1" x14ac:dyDescent="0.25">
      <c r="A498" s="5" t="str">
        <f>_xll.JChemExcel.Functions.JCSYSStructure("9E282F3CA4BB37DDEA7FBF177D934712")</f>
        <v/>
      </c>
      <c r="B498" s="3" t="s">
        <v>3492</v>
      </c>
      <c r="C498" s="3" t="s">
        <v>3493</v>
      </c>
      <c r="D498" s="2" t="s">
        <v>3495</v>
      </c>
      <c r="E498" s="2" t="s">
        <v>8014</v>
      </c>
      <c r="F498" s="3" t="s">
        <v>3494</v>
      </c>
      <c r="G498" s="2" t="s">
        <v>3496</v>
      </c>
      <c r="H498" s="8">
        <v>488</v>
      </c>
      <c r="I498" s="2" t="s">
        <v>22</v>
      </c>
      <c r="J498" s="2" t="s">
        <v>26</v>
      </c>
      <c r="K498" s="2">
        <v>7</v>
      </c>
      <c r="L498" s="2" t="s">
        <v>20</v>
      </c>
      <c r="M498" s="2">
        <v>2006</v>
      </c>
      <c r="N498" s="3" t="s">
        <v>1931</v>
      </c>
      <c r="O498" s="3" t="s">
        <v>3497</v>
      </c>
      <c r="P498" s="3" t="s">
        <v>3498</v>
      </c>
      <c r="Q498" s="2">
        <v>2843</v>
      </c>
    </row>
    <row r="499" spans="1:17" ht="143.25" customHeight="1" x14ac:dyDescent="0.25">
      <c r="A499" s="5" t="str">
        <f>_xll.JChemExcel.Functions.JCSYSStructure("18EB6D41C5CBB0D6F99857995072DC23")</f>
        <v/>
      </c>
      <c r="B499" s="3" t="s">
        <v>3499</v>
      </c>
      <c r="C499" s="3" t="s">
        <v>3500</v>
      </c>
      <c r="D499" s="2" t="s">
        <v>3502</v>
      </c>
      <c r="E499" s="2" t="s">
        <v>7638</v>
      </c>
      <c r="F499" s="3" t="s">
        <v>3501</v>
      </c>
      <c r="G499" s="2" t="s">
        <v>3503</v>
      </c>
      <c r="H499" s="8">
        <v>228.2</v>
      </c>
      <c r="I499" s="2" t="s">
        <v>22</v>
      </c>
      <c r="J499" s="2" t="s">
        <v>26</v>
      </c>
      <c r="K499" s="2">
        <v>7</v>
      </c>
      <c r="L499" s="2" t="s">
        <v>20</v>
      </c>
      <c r="M499" s="2">
        <v>2006</v>
      </c>
      <c r="N499" s="3" t="s">
        <v>3504</v>
      </c>
      <c r="O499" s="3" t="s">
        <v>3505</v>
      </c>
      <c r="P499" s="3" t="s">
        <v>3506</v>
      </c>
      <c r="Q499" s="2">
        <v>2843</v>
      </c>
    </row>
    <row r="500" spans="1:17" ht="143.25" customHeight="1" x14ac:dyDescent="0.25">
      <c r="A500" s="5" t="str">
        <f>_xll.JChemExcel.Functions.JCSYSStructure("935494DA71099AE5FEC882B227E8E122")</f>
        <v/>
      </c>
      <c r="B500" s="3" t="s">
        <v>3507</v>
      </c>
      <c r="C500" s="3" t="s">
        <v>3508</v>
      </c>
      <c r="D500" s="2" t="s">
        <v>3510</v>
      </c>
      <c r="E500" s="2" t="s">
        <v>7639</v>
      </c>
      <c r="F500" s="3" t="s">
        <v>3509</v>
      </c>
      <c r="G500" s="2" t="s">
        <v>3511</v>
      </c>
      <c r="H500" s="8">
        <v>373.4</v>
      </c>
      <c r="I500" s="2" t="s">
        <v>22</v>
      </c>
      <c r="J500" s="2" t="s">
        <v>26</v>
      </c>
      <c r="K500" s="2">
        <v>7</v>
      </c>
      <c r="L500" s="2" t="s">
        <v>20</v>
      </c>
      <c r="M500" s="2">
        <v>2005</v>
      </c>
      <c r="N500" s="3" t="s">
        <v>3512</v>
      </c>
      <c r="O500" s="3" t="s">
        <v>3513</v>
      </c>
      <c r="P500" s="3" t="s">
        <v>3514</v>
      </c>
      <c r="Q500" s="2">
        <v>2843</v>
      </c>
    </row>
    <row r="501" spans="1:17" ht="143.25" customHeight="1" x14ac:dyDescent="0.25">
      <c r="A501" s="5" t="str">
        <f>_xll.JChemExcel.Functions.JCSYSStructure("BEBF87C9749F683AF2195E3E43DFD75B")</f>
        <v/>
      </c>
      <c r="B501" s="3" t="s">
        <v>3515</v>
      </c>
      <c r="C501" s="3" t="s">
        <v>3516</v>
      </c>
      <c r="D501" s="2" t="s">
        <v>3518</v>
      </c>
      <c r="E501" s="2" t="s">
        <v>7640</v>
      </c>
      <c r="F501" s="3" t="s">
        <v>3517</v>
      </c>
      <c r="G501" s="2" t="s">
        <v>3519</v>
      </c>
      <c r="H501" s="8">
        <v>656.8</v>
      </c>
      <c r="I501" s="2" t="s">
        <v>22</v>
      </c>
      <c r="J501" s="2" t="s">
        <v>26</v>
      </c>
      <c r="K501" s="2">
        <v>7</v>
      </c>
      <c r="L501" s="2" t="s">
        <v>20</v>
      </c>
      <c r="M501" s="2">
        <v>1968</v>
      </c>
      <c r="N501" s="3" t="s">
        <v>3520</v>
      </c>
      <c r="O501" s="3" t="s">
        <v>3521</v>
      </c>
      <c r="P501" s="3" t="s">
        <v>3522</v>
      </c>
      <c r="Q501" s="2">
        <v>2843</v>
      </c>
    </row>
    <row r="502" spans="1:17" ht="143.25" customHeight="1" x14ac:dyDescent="0.25">
      <c r="A502" s="5" t="str">
        <f>_xll.JChemExcel.Functions.JCSYSStructure("82FE34453363421669F0EB0D3C5A9568")</f>
        <v/>
      </c>
      <c r="B502" s="3" t="s">
        <v>3523</v>
      </c>
      <c r="C502" s="3" t="s">
        <v>3524</v>
      </c>
      <c r="D502" s="2" t="s">
        <v>3526</v>
      </c>
      <c r="E502" s="2" t="s">
        <v>7641</v>
      </c>
      <c r="F502" s="3" t="s">
        <v>3525</v>
      </c>
      <c r="G502" s="2" t="s">
        <v>3527</v>
      </c>
      <c r="H502" s="8">
        <v>501.3</v>
      </c>
      <c r="I502" s="2" t="s">
        <v>22</v>
      </c>
      <c r="J502" s="2" t="s">
        <v>26</v>
      </c>
      <c r="K502" s="2">
        <v>7</v>
      </c>
      <c r="L502" s="2" t="s">
        <v>20</v>
      </c>
      <c r="M502" s="2">
        <v>1960</v>
      </c>
      <c r="N502" s="3" t="s">
        <v>2437</v>
      </c>
      <c r="O502" s="3" t="s">
        <v>3528</v>
      </c>
      <c r="P502" s="3" t="s">
        <v>3529</v>
      </c>
      <c r="Q502" s="2">
        <v>2843</v>
      </c>
    </row>
    <row r="503" spans="1:17" ht="143.25" customHeight="1" x14ac:dyDescent="0.25">
      <c r="A503" s="5" t="str">
        <f>_xll.JChemExcel.Functions.JCSYSStructure("52B13378B4EAD9BA133D6A91E7BC6CBB")</f>
        <v/>
      </c>
      <c r="B503" s="3" t="s">
        <v>3530</v>
      </c>
      <c r="C503" s="3" t="s">
        <v>3531</v>
      </c>
      <c r="D503" s="2" t="s">
        <v>3533</v>
      </c>
      <c r="E503" s="2" t="s">
        <v>7642</v>
      </c>
      <c r="F503" s="3" t="s">
        <v>3532</v>
      </c>
      <c r="G503" s="2" t="s">
        <v>3534</v>
      </c>
      <c r="H503" s="8">
        <v>302.8</v>
      </c>
      <c r="I503" s="2" t="s">
        <v>22</v>
      </c>
      <c r="J503" s="2" t="s">
        <v>26</v>
      </c>
      <c r="K503" s="2">
        <v>7</v>
      </c>
      <c r="L503" s="2" t="s">
        <v>20</v>
      </c>
      <c r="M503" s="2">
        <v>1964</v>
      </c>
      <c r="N503" s="3" t="s">
        <v>269</v>
      </c>
      <c r="O503" s="3" t="s">
        <v>3535</v>
      </c>
      <c r="P503" s="3" t="s">
        <v>3536</v>
      </c>
      <c r="Q503" s="2">
        <v>2843</v>
      </c>
    </row>
    <row r="504" spans="1:17" ht="143.25" customHeight="1" x14ac:dyDescent="0.25">
      <c r="A504" s="5" t="str">
        <f>_xll.JChemExcel.Functions.JCSYSStructure("B378C76CCE65067B595DB44E4A524BE8")</f>
        <v/>
      </c>
      <c r="B504" s="3" t="s">
        <v>3537</v>
      </c>
      <c r="C504" s="3" t="s">
        <v>3538</v>
      </c>
      <c r="D504" s="2" t="s">
        <v>3540</v>
      </c>
      <c r="E504" s="2" t="s">
        <v>7643</v>
      </c>
      <c r="F504" s="3" t="s">
        <v>3539</v>
      </c>
      <c r="G504" s="2" t="s">
        <v>3541</v>
      </c>
      <c r="H504" s="8">
        <v>310.5</v>
      </c>
      <c r="I504" s="2" t="s">
        <v>22</v>
      </c>
      <c r="J504" s="2" t="s">
        <v>26</v>
      </c>
      <c r="K504" s="2">
        <v>7</v>
      </c>
      <c r="L504" s="2" t="s">
        <v>20</v>
      </c>
      <c r="M504" s="2">
        <v>1992</v>
      </c>
      <c r="N504" s="3" t="s">
        <v>3542</v>
      </c>
      <c r="O504" s="3" t="s">
        <v>3543</v>
      </c>
      <c r="P504" s="3" t="s">
        <v>3544</v>
      </c>
      <c r="Q504" s="2">
        <v>2843</v>
      </c>
    </row>
    <row r="505" spans="1:17" ht="143.25" customHeight="1" x14ac:dyDescent="0.25">
      <c r="A505" s="5" t="str">
        <f>_xll.JChemExcel.Functions.JCSYSStructure("5D70F02AD10E9DF324D74F21415A0C43")</f>
        <v/>
      </c>
      <c r="B505" s="3" t="s">
        <v>3545</v>
      </c>
      <c r="C505" s="3" t="s">
        <v>3546</v>
      </c>
      <c r="D505" s="2" t="s">
        <v>3548</v>
      </c>
      <c r="E505" s="2" t="s">
        <v>7644</v>
      </c>
      <c r="F505" s="3" t="s">
        <v>3547</v>
      </c>
      <c r="G505" s="2" t="s">
        <v>3549</v>
      </c>
      <c r="H505" s="8">
        <v>416.5</v>
      </c>
      <c r="I505" s="2" t="s">
        <v>22</v>
      </c>
      <c r="J505" s="2" t="s">
        <v>26</v>
      </c>
      <c r="K505" s="2">
        <v>7</v>
      </c>
      <c r="L505" s="2" t="s">
        <v>20</v>
      </c>
      <c r="M505" s="2">
        <v>1994</v>
      </c>
      <c r="N505" s="3" t="s">
        <v>3550</v>
      </c>
      <c r="O505" s="3" t="s">
        <v>3551</v>
      </c>
      <c r="P505" s="3" t="s">
        <v>3552</v>
      </c>
      <c r="Q505" s="2">
        <v>2843</v>
      </c>
    </row>
    <row r="506" spans="1:17" ht="143.25" customHeight="1" x14ac:dyDescent="0.25">
      <c r="A506" s="5" t="str">
        <f>_xll.JChemExcel.Functions.JCSYSStructure("F2DF3F551AFB7F01AFC79EF595303E52")</f>
        <v/>
      </c>
      <c r="B506" s="3" t="s">
        <v>3553</v>
      </c>
      <c r="C506" s="3" t="s">
        <v>3554</v>
      </c>
      <c r="D506" s="2" t="s">
        <v>3556</v>
      </c>
      <c r="E506" s="2" t="s">
        <v>7645</v>
      </c>
      <c r="F506" s="3" t="s">
        <v>3555</v>
      </c>
      <c r="G506" s="2" t="s">
        <v>3557</v>
      </c>
      <c r="H506" s="8">
        <v>376.5</v>
      </c>
      <c r="I506" s="2" t="s">
        <v>22</v>
      </c>
      <c r="J506" s="2" t="s">
        <v>26</v>
      </c>
      <c r="K506" s="2">
        <v>7</v>
      </c>
      <c r="L506" s="2" t="s">
        <v>20</v>
      </c>
      <c r="M506" s="2">
        <v>1977</v>
      </c>
      <c r="N506" s="3" t="s">
        <v>3558</v>
      </c>
      <c r="O506" s="3" t="s">
        <v>3559</v>
      </c>
      <c r="P506" s="3" t="s">
        <v>3560</v>
      </c>
      <c r="Q506" s="2">
        <v>2843</v>
      </c>
    </row>
    <row r="507" spans="1:17" ht="143.25" customHeight="1" x14ac:dyDescent="0.25">
      <c r="A507" s="5" t="str">
        <f>_xll.JChemExcel.Functions.JCSYSStructure("EB19B2EC5C54404C34F78E9EF020B772")</f>
        <v/>
      </c>
      <c r="B507" s="3" t="s">
        <v>3561</v>
      </c>
      <c r="C507" s="3" t="s">
        <v>3562</v>
      </c>
      <c r="D507" s="2" t="s">
        <v>3564</v>
      </c>
      <c r="E507" s="2" t="s">
        <v>7646</v>
      </c>
      <c r="F507" s="3" t="s">
        <v>3563</v>
      </c>
      <c r="G507" s="2" t="s">
        <v>3565</v>
      </c>
      <c r="H507" s="8">
        <v>399.5</v>
      </c>
      <c r="I507" s="2" t="s">
        <v>22</v>
      </c>
      <c r="J507" s="2" t="s">
        <v>26</v>
      </c>
      <c r="K507" s="2">
        <v>7</v>
      </c>
      <c r="L507" s="2" t="s">
        <v>20</v>
      </c>
      <c r="M507" s="2">
        <v>2008</v>
      </c>
      <c r="N507" s="3" t="s">
        <v>3566</v>
      </c>
      <c r="O507" s="3" t="s">
        <v>3567</v>
      </c>
      <c r="P507" s="3" t="s">
        <v>3568</v>
      </c>
      <c r="Q507" s="2">
        <v>2843</v>
      </c>
    </row>
    <row r="508" spans="1:17" ht="143.25" customHeight="1" x14ac:dyDescent="0.25">
      <c r="A508" s="5" t="str">
        <f>_xll.JChemExcel.Functions.JCSYSStructure("6A9FE948EC59EF9749579740934FFC9F")</f>
        <v/>
      </c>
      <c r="B508" s="3" t="s">
        <v>3569</v>
      </c>
      <c r="C508" s="3" t="s">
        <v>3570</v>
      </c>
      <c r="D508" s="2" t="s">
        <v>3572</v>
      </c>
      <c r="E508" s="2" t="s">
        <v>7647</v>
      </c>
      <c r="F508" s="3" t="s">
        <v>3571</v>
      </c>
      <c r="G508" s="2" t="s">
        <v>3573</v>
      </c>
      <c r="H508" s="8">
        <v>390.9</v>
      </c>
      <c r="I508" s="2" t="s">
        <v>22</v>
      </c>
      <c r="J508" s="2" t="s">
        <v>26</v>
      </c>
      <c r="K508" s="2">
        <v>7</v>
      </c>
      <c r="L508" s="2" t="s">
        <v>20</v>
      </c>
      <c r="M508" s="2">
        <v>1981</v>
      </c>
      <c r="N508" s="3" t="s">
        <v>3574</v>
      </c>
      <c r="O508" s="3" t="s">
        <v>3575</v>
      </c>
      <c r="P508" s="3" t="s">
        <v>3576</v>
      </c>
      <c r="Q508" s="2">
        <v>2843</v>
      </c>
    </row>
    <row r="509" spans="1:17" ht="143.25" customHeight="1" x14ac:dyDescent="0.25">
      <c r="A509" s="5" t="str">
        <f>_xll.JChemExcel.Functions.JCSYSStructure("E06727872F37D7459E6003A3D4033327")</f>
        <v/>
      </c>
      <c r="B509" s="3" t="s">
        <v>3577</v>
      </c>
      <c r="C509" s="3" t="s">
        <v>3578</v>
      </c>
      <c r="D509" s="2" t="s">
        <v>3580</v>
      </c>
      <c r="E509" s="2" t="s">
        <v>7648</v>
      </c>
      <c r="F509" s="3" t="s">
        <v>3579</v>
      </c>
      <c r="G509" s="2" t="s">
        <v>3581</v>
      </c>
      <c r="H509" s="8">
        <v>236.7</v>
      </c>
      <c r="I509" s="2" t="s">
        <v>22</v>
      </c>
      <c r="J509" s="2" t="s">
        <v>26</v>
      </c>
      <c r="K509" s="2">
        <v>7</v>
      </c>
      <c r="L509" s="2" t="s">
        <v>20</v>
      </c>
      <c r="M509" s="2">
        <v>1999</v>
      </c>
      <c r="N509" s="3" t="s">
        <v>3582</v>
      </c>
      <c r="O509" s="3" t="s">
        <v>3583</v>
      </c>
      <c r="P509" s="3" t="s">
        <v>3584</v>
      </c>
      <c r="Q509" s="2">
        <v>2843</v>
      </c>
    </row>
    <row r="510" spans="1:17" ht="143.25" customHeight="1" x14ac:dyDescent="0.25">
      <c r="D510" s="2" t="s">
        <v>3585</v>
      </c>
      <c r="F510" s="3" t="s">
        <v>2847</v>
      </c>
      <c r="G510" s="2"/>
      <c r="K510" s="2">
        <v>7</v>
      </c>
      <c r="L510" s="2" t="s">
        <v>20</v>
      </c>
      <c r="Q510" s="2">
        <v>2843</v>
      </c>
    </row>
    <row r="511" spans="1:17" ht="143.25" customHeight="1" x14ac:dyDescent="0.25">
      <c r="A511" s="5" t="str">
        <f>_xll.JChemExcel.Functions.JCSYSStructure("B29136793BF295557794EDB7245B2595")</f>
        <v/>
      </c>
      <c r="B511" s="3" t="s">
        <v>3586</v>
      </c>
      <c r="C511" s="3" t="s">
        <v>3586</v>
      </c>
      <c r="D511" s="2" t="s">
        <v>3588</v>
      </c>
      <c r="E511" s="2" t="s">
        <v>7649</v>
      </c>
      <c r="F511" s="3" t="s">
        <v>3587</v>
      </c>
      <c r="G511" s="2" t="s">
        <v>3589</v>
      </c>
      <c r="H511" s="8">
        <v>268.3</v>
      </c>
      <c r="I511" s="2" t="s">
        <v>22</v>
      </c>
      <c r="J511" s="2" t="s">
        <v>26</v>
      </c>
      <c r="K511" s="2">
        <v>7</v>
      </c>
      <c r="L511" s="2" t="s">
        <v>20</v>
      </c>
      <c r="M511" s="2">
        <v>1995</v>
      </c>
      <c r="N511" s="3" t="s">
        <v>3590</v>
      </c>
      <c r="O511" s="3" t="s">
        <v>3591</v>
      </c>
      <c r="P511" s="3" t="s">
        <v>53</v>
      </c>
      <c r="Q511" s="2">
        <v>2843</v>
      </c>
    </row>
    <row r="512" spans="1:17" ht="143.25" customHeight="1" x14ac:dyDescent="0.25">
      <c r="A512" s="5" t="str">
        <f>_xll.JChemExcel.Functions.JCSYSStructure("E34D0E345E33C414DD025D085F841166")</f>
        <v/>
      </c>
      <c r="B512" s="3" t="s">
        <v>3592</v>
      </c>
      <c r="C512" s="3" t="s">
        <v>3592</v>
      </c>
      <c r="D512" s="2" t="s">
        <v>3594</v>
      </c>
      <c r="E512" s="2" t="s">
        <v>7650</v>
      </c>
      <c r="F512" s="3" t="s">
        <v>3593</v>
      </c>
      <c r="G512" s="2" t="s">
        <v>3595</v>
      </c>
      <c r="H512" s="8">
        <v>809.1</v>
      </c>
      <c r="I512" s="2" t="s">
        <v>22</v>
      </c>
      <c r="J512" s="2" t="s">
        <v>26</v>
      </c>
      <c r="K512" s="2">
        <v>7</v>
      </c>
      <c r="L512" s="2" t="s">
        <v>20</v>
      </c>
      <c r="M512" s="2">
        <v>1954</v>
      </c>
      <c r="N512" s="3" t="s">
        <v>3596</v>
      </c>
      <c r="O512" s="3" t="s">
        <v>3597</v>
      </c>
      <c r="P512" s="3" t="s">
        <v>3598</v>
      </c>
      <c r="Q512" s="2">
        <v>2843</v>
      </c>
    </row>
    <row r="513" spans="1:17" ht="143.25" customHeight="1" x14ac:dyDescent="0.25">
      <c r="D513" s="2" t="s">
        <v>3599</v>
      </c>
      <c r="F513" s="3" t="s">
        <v>2847</v>
      </c>
      <c r="G513" s="2"/>
      <c r="K513" s="2">
        <v>7</v>
      </c>
      <c r="L513" s="2" t="s">
        <v>20</v>
      </c>
      <c r="Q513" s="2">
        <v>2843</v>
      </c>
    </row>
    <row r="514" spans="1:17" ht="143.25" customHeight="1" x14ac:dyDescent="0.25">
      <c r="A514" s="5" t="str">
        <f>_xll.JChemExcel.Functions.JCSYSStructure("3BF82DBBB9F67DB8CBA66B8F5AF621F6")</f>
        <v/>
      </c>
      <c r="B514" s="3" t="s">
        <v>3600</v>
      </c>
      <c r="C514" s="3" t="s">
        <v>3600</v>
      </c>
      <c r="D514" s="2" t="s">
        <v>3602</v>
      </c>
      <c r="E514" s="2" t="s">
        <v>7651</v>
      </c>
      <c r="F514" s="3" t="s">
        <v>3601</v>
      </c>
      <c r="G514" s="2" t="s">
        <v>3603</v>
      </c>
      <c r="H514" s="8">
        <v>510.3</v>
      </c>
      <c r="I514" s="2" t="s">
        <v>22</v>
      </c>
      <c r="J514" s="2" t="s">
        <v>26</v>
      </c>
      <c r="K514" s="2">
        <v>7</v>
      </c>
      <c r="L514" s="2" t="s">
        <v>20</v>
      </c>
      <c r="M514" s="2">
        <v>1968</v>
      </c>
      <c r="N514" s="3" t="s">
        <v>23</v>
      </c>
      <c r="O514" s="3" t="s">
        <v>3604</v>
      </c>
      <c r="P514" s="3" t="s">
        <v>3605</v>
      </c>
      <c r="Q514" s="2">
        <v>2843</v>
      </c>
    </row>
    <row r="515" spans="1:17" ht="143.25" customHeight="1" x14ac:dyDescent="0.25">
      <c r="A515" s="5" t="str">
        <f>_xll.JChemExcel.Functions.JCSYSStructure("68CF43E02FCA72027D5F24CF4D0D7DAF")</f>
        <v/>
      </c>
      <c r="B515" s="3" t="s">
        <v>3606</v>
      </c>
      <c r="C515" s="3" t="s">
        <v>3606</v>
      </c>
      <c r="D515" s="2" t="s">
        <v>3608</v>
      </c>
      <c r="E515" s="2" t="s">
        <v>7652</v>
      </c>
      <c r="F515" s="3" t="s">
        <v>3607</v>
      </c>
      <c r="G515" s="2" t="s">
        <v>3609</v>
      </c>
      <c r="H515" s="8">
        <v>345.9</v>
      </c>
      <c r="I515" s="2" t="s">
        <v>22</v>
      </c>
      <c r="J515" s="2" t="s">
        <v>26</v>
      </c>
      <c r="K515" s="2">
        <v>7</v>
      </c>
      <c r="L515" s="2" t="s">
        <v>20</v>
      </c>
      <c r="M515" s="2">
        <v>1950</v>
      </c>
      <c r="N515" s="3" t="s">
        <v>3610</v>
      </c>
      <c r="O515" s="3" t="s">
        <v>3611</v>
      </c>
      <c r="P515" s="3" t="s">
        <v>3612</v>
      </c>
      <c r="Q515" s="2">
        <v>2843</v>
      </c>
    </row>
    <row r="516" spans="1:17" ht="143.25" customHeight="1" x14ac:dyDescent="0.25">
      <c r="A516" s="5" t="str">
        <f>_xll.JChemExcel.Functions.JCSYSStructure("4A1A0DB45FC59014144341A9DB27A8FE")</f>
        <v/>
      </c>
      <c r="B516" s="3" t="s">
        <v>3613</v>
      </c>
      <c r="C516" s="3" t="s">
        <v>3613</v>
      </c>
      <c r="D516" s="2" t="s">
        <v>3615</v>
      </c>
      <c r="E516" s="2" t="s">
        <v>7653</v>
      </c>
      <c r="F516" s="3" t="s">
        <v>3614</v>
      </c>
      <c r="G516" s="2" t="s">
        <v>3616</v>
      </c>
      <c r="H516" s="8">
        <v>311.39999999999998</v>
      </c>
      <c r="I516" s="2" t="s">
        <v>22</v>
      </c>
      <c r="J516" s="2" t="s">
        <v>26</v>
      </c>
      <c r="K516" s="2">
        <v>7</v>
      </c>
      <c r="L516" s="2" t="s">
        <v>20</v>
      </c>
      <c r="M516" s="2">
        <v>2010</v>
      </c>
      <c r="N516" s="3" t="s">
        <v>3542</v>
      </c>
      <c r="O516" s="3" t="s">
        <v>3617</v>
      </c>
      <c r="P516" s="3" t="s">
        <v>3618</v>
      </c>
      <c r="Q516" s="2">
        <v>2843</v>
      </c>
    </row>
    <row r="517" spans="1:17" ht="143.25" customHeight="1" x14ac:dyDescent="0.25">
      <c r="D517" s="2" t="s">
        <v>3619</v>
      </c>
      <c r="F517" s="3" t="s">
        <v>2847</v>
      </c>
      <c r="G517" s="2"/>
      <c r="K517" s="2">
        <v>7</v>
      </c>
      <c r="L517" s="2" t="s">
        <v>20</v>
      </c>
      <c r="Q517" s="2">
        <v>2843</v>
      </c>
    </row>
    <row r="518" spans="1:17" ht="143.25" customHeight="1" x14ac:dyDescent="0.25">
      <c r="A518" s="5" t="str">
        <f>_xll.JChemExcel.Functions.JCSYSStructure("AB7E8AFF4EF9AB6BCE4DE9B066F9D61A")</f>
        <v/>
      </c>
      <c r="B518" s="3" t="s">
        <v>3620</v>
      </c>
      <c r="C518" s="3" t="s">
        <v>3620</v>
      </c>
      <c r="D518" s="2" t="s">
        <v>3622</v>
      </c>
      <c r="E518" s="2" t="s">
        <v>7654</v>
      </c>
      <c r="F518" s="3" t="s">
        <v>3621</v>
      </c>
      <c r="G518" s="2" t="s">
        <v>3623</v>
      </c>
      <c r="H518" s="8">
        <v>508.6</v>
      </c>
      <c r="I518" s="2" t="s">
        <v>22</v>
      </c>
      <c r="J518" s="2" t="s">
        <v>26</v>
      </c>
      <c r="K518" s="2">
        <v>7</v>
      </c>
      <c r="L518" s="2" t="s">
        <v>20</v>
      </c>
      <c r="M518" s="2">
        <v>2008</v>
      </c>
      <c r="N518" s="3" t="s">
        <v>3624</v>
      </c>
      <c r="O518" s="3" t="s">
        <v>3625</v>
      </c>
      <c r="P518" s="3" t="s">
        <v>3626</v>
      </c>
      <c r="Q518" s="2">
        <v>2843</v>
      </c>
    </row>
    <row r="519" spans="1:17" ht="143.25" customHeight="1" x14ac:dyDescent="0.25">
      <c r="A519" s="5" t="str">
        <f>_xll.JChemExcel.Functions.JCSYSStructure("E049742CFAA301B9E44B6ED8DD9EAF12")</f>
        <v/>
      </c>
      <c r="B519" s="3" t="s">
        <v>3627</v>
      </c>
      <c r="C519" s="3" t="s">
        <v>3627</v>
      </c>
      <c r="D519" s="2" t="s">
        <v>3629</v>
      </c>
      <c r="E519" s="2" t="s">
        <v>7655</v>
      </c>
      <c r="F519" s="3" t="s">
        <v>3628</v>
      </c>
      <c r="G519" s="2" t="s">
        <v>3630</v>
      </c>
      <c r="H519" s="8">
        <v>780.9</v>
      </c>
      <c r="I519" s="2" t="s">
        <v>22</v>
      </c>
      <c r="J519" s="2" t="s">
        <v>26</v>
      </c>
      <c r="K519" s="2">
        <v>7</v>
      </c>
      <c r="L519" s="2" t="s">
        <v>20</v>
      </c>
      <c r="M519" s="2" t="s">
        <v>124</v>
      </c>
      <c r="N519" s="3" t="s">
        <v>3631</v>
      </c>
      <c r="O519" s="3" t="s">
        <v>3632</v>
      </c>
      <c r="P519" s="3" t="s">
        <v>3633</v>
      </c>
      <c r="Q519" s="2">
        <v>2843</v>
      </c>
    </row>
    <row r="520" spans="1:17" ht="143.25" customHeight="1" x14ac:dyDescent="0.25">
      <c r="A520" s="5" t="str">
        <f>_xll.JChemExcel.Functions.JCSYSStructure("10F1C2FD8E0B2BBDF47BAF767F4CB448")</f>
        <v/>
      </c>
      <c r="B520" s="3" t="s">
        <v>3634</v>
      </c>
      <c r="C520" s="3" t="s">
        <v>3634</v>
      </c>
      <c r="D520" s="2" t="s">
        <v>3636</v>
      </c>
      <c r="E520" s="2" t="s">
        <v>7656</v>
      </c>
      <c r="F520" s="3" t="s">
        <v>3635</v>
      </c>
      <c r="G520" s="2" t="s">
        <v>3637</v>
      </c>
      <c r="H520" s="8">
        <v>470</v>
      </c>
      <c r="I520" s="2" t="s">
        <v>22</v>
      </c>
      <c r="J520" s="2" t="s">
        <v>26</v>
      </c>
      <c r="K520" s="2">
        <v>7</v>
      </c>
      <c r="L520" s="2" t="s">
        <v>20</v>
      </c>
      <c r="M520" s="2" t="s">
        <v>124</v>
      </c>
      <c r="N520" s="3" t="s">
        <v>3638</v>
      </c>
      <c r="O520" s="3" t="s">
        <v>3639</v>
      </c>
      <c r="P520" s="3" t="s">
        <v>3640</v>
      </c>
      <c r="Q520" s="2">
        <v>2843</v>
      </c>
    </row>
    <row r="521" spans="1:17" ht="143.25" customHeight="1" x14ac:dyDescent="0.25">
      <c r="A521" s="5" t="str">
        <f>_xll.JChemExcel.Functions.JCSYSStructure("0FE57FEDC51846A30C70D5306979765D")</f>
        <v/>
      </c>
      <c r="B521" s="3" t="s">
        <v>3641</v>
      </c>
      <c r="C521" s="3" t="s">
        <v>3641</v>
      </c>
      <c r="D521" s="2" t="s">
        <v>3643</v>
      </c>
      <c r="E521" s="2" t="s">
        <v>7657</v>
      </c>
      <c r="F521" s="3" t="s">
        <v>3642</v>
      </c>
      <c r="G521" s="4" t="s">
        <v>7152</v>
      </c>
      <c r="H521" s="8">
        <v>339.5</v>
      </c>
      <c r="I521" s="2" t="s">
        <v>22</v>
      </c>
      <c r="J521" s="2" t="s">
        <v>26</v>
      </c>
      <c r="K521" s="2">
        <v>7</v>
      </c>
      <c r="L521" s="2" t="s">
        <v>20</v>
      </c>
      <c r="M521" s="2" t="s">
        <v>124</v>
      </c>
      <c r="N521" s="3" t="s">
        <v>79</v>
      </c>
      <c r="O521" s="3" t="s">
        <v>3644</v>
      </c>
      <c r="P521" s="3" t="s">
        <v>53</v>
      </c>
      <c r="Q521" s="2">
        <v>2843</v>
      </c>
    </row>
    <row r="522" spans="1:17" ht="143.25" customHeight="1" x14ac:dyDescent="0.25">
      <c r="A522" s="5" t="str">
        <f>_xll.JChemExcel.Functions.JCSYSStructure("1344496B1F624D6FCA4AA9CF4DB49583")</f>
        <v/>
      </c>
      <c r="B522" s="3" t="s">
        <v>3645</v>
      </c>
      <c r="C522" s="3" t="s">
        <v>7231</v>
      </c>
      <c r="D522" s="2" t="s">
        <v>3647</v>
      </c>
      <c r="E522" s="2" t="s">
        <v>7658</v>
      </c>
      <c r="F522" s="3" t="s">
        <v>3646</v>
      </c>
      <c r="G522" s="2" t="s">
        <v>3648</v>
      </c>
      <c r="H522" s="8">
        <v>189.6</v>
      </c>
      <c r="I522" s="2" t="s">
        <v>22</v>
      </c>
      <c r="J522" s="2" t="s">
        <v>26</v>
      </c>
      <c r="K522" s="2">
        <v>7</v>
      </c>
      <c r="L522" s="2" t="s">
        <v>20</v>
      </c>
      <c r="M522" s="2">
        <v>1974</v>
      </c>
      <c r="N522" s="3" t="s">
        <v>3649</v>
      </c>
      <c r="O522" s="3" t="s">
        <v>3650</v>
      </c>
      <c r="P522" s="3" t="s">
        <v>3651</v>
      </c>
      <c r="Q522" s="2">
        <v>2843</v>
      </c>
    </row>
    <row r="523" spans="1:17" ht="143.25" customHeight="1" x14ac:dyDescent="0.25">
      <c r="A523" s="5" t="str">
        <f>_xll.JChemExcel.Functions.JCSYSStructure("E96631B4C35D11ECB9C36879489F778D")</f>
        <v/>
      </c>
      <c r="B523" s="3" t="s">
        <v>3652</v>
      </c>
      <c r="C523" s="3" t="s">
        <v>3652</v>
      </c>
      <c r="D523" s="2" t="s">
        <v>3654</v>
      </c>
      <c r="E523" s="2" t="s">
        <v>7659</v>
      </c>
      <c r="F523" s="3" t="s">
        <v>3653</v>
      </c>
      <c r="G523" s="2" t="s">
        <v>3655</v>
      </c>
      <c r="H523" s="8">
        <v>420.5</v>
      </c>
      <c r="I523" s="2" t="s">
        <v>22</v>
      </c>
      <c r="J523" s="2" t="s">
        <v>26</v>
      </c>
      <c r="K523" s="2">
        <v>7</v>
      </c>
      <c r="L523" s="2" t="s">
        <v>20</v>
      </c>
      <c r="M523" s="2">
        <v>2007</v>
      </c>
      <c r="N523" s="3" t="s">
        <v>3656</v>
      </c>
      <c r="O523" s="3" t="s">
        <v>3657</v>
      </c>
      <c r="P523" s="3" t="s">
        <v>3658</v>
      </c>
      <c r="Q523" s="2">
        <v>2843</v>
      </c>
    </row>
    <row r="524" spans="1:17" ht="143.25" customHeight="1" x14ac:dyDescent="0.25">
      <c r="A524" s="5" t="str">
        <f>_xll.JChemExcel.Functions.JCSYSStructure("F2CA8EB188A7BDEE568737DF39416192")</f>
        <v/>
      </c>
      <c r="B524" s="3" t="s">
        <v>3659</v>
      </c>
      <c r="C524" s="3" t="s">
        <v>3659</v>
      </c>
      <c r="D524" s="2" t="s">
        <v>3661</v>
      </c>
      <c r="E524" s="2" t="s">
        <v>7660</v>
      </c>
      <c r="F524" s="3" t="s">
        <v>3660</v>
      </c>
      <c r="G524" s="2" t="s">
        <v>3662</v>
      </c>
      <c r="H524" s="8">
        <v>433</v>
      </c>
      <c r="I524" s="2" t="s">
        <v>22</v>
      </c>
      <c r="J524" s="2" t="s">
        <v>26</v>
      </c>
      <c r="K524" s="2">
        <v>7</v>
      </c>
      <c r="L524" s="2" t="s">
        <v>20</v>
      </c>
      <c r="M524" s="2">
        <v>1965</v>
      </c>
      <c r="N524" s="3" t="s">
        <v>3663</v>
      </c>
      <c r="O524" s="3" t="s">
        <v>3664</v>
      </c>
      <c r="P524" s="3" t="s">
        <v>3665</v>
      </c>
      <c r="Q524" s="2">
        <v>2843</v>
      </c>
    </row>
    <row r="525" spans="1:17" ht="143.25" customHeight="1" x14ac:dyDescent="0.25">
      <c r="A525" s="5" t="str">
        <f>_xll.JChemExcel.Functions.JCSYSStructure("E9A37C704D617C8C9D28EA2A401774FD")</f>
        <v/>
      </c>
      <c r="B525" s="3" t="s">
        <v>3666</v>
      </c>
      <c r="C525" s="3" t="s">
        <v>3666</v>
      </c>
      <c r="D525" s="2" t="s">
        <v>3667</v>
      </c>
      <c r="E525" s="2" t="s">
        <v>7661</v>
      </c>
      <c r="F525" s="3" t="s">
        <v>8015</v>
      </c>
      <c r="G525" s="2" t="s">
        <v>3668</v>
      </c>
      <c r="H525" s="8">
        <v>315.8</v>
      </c>
      <c r="I525" s="2" t="s">
        <v>22</v>
      </c>
      <c r="J525" s="2" t="s">
        <v>26</v>
      </c>
      <c r="K525" s="2">
        <v>7</v>
      </c>
      <c r="L525" s="2" t="s">
        <v>20</v>
      </c>
      <c r="M525" s="2">
        <v>1969</v>
      </c>
      <c r="N525" s="3" t="s">
        <v>3669</v>
      </c>
      <c r="O525" s="3" t="s">
        <v>3670</v>
      </c>
      <c r="P525" s="3" t="s">
        <v>3671</v>
      </c>
      <c r="Q525" s="2">
        <v>2843</v>
      </c>
    </row>
    <row r="526" spans="1:17" ht="143.25" customHeight="1" x14ac:dyDescent="0.25">
      <c r="A526" s="5" t="str">
        <f>_xll.JChemExcel.Functions.JCSYSStructure("7118FAC62CCA24EA1B96B160F6F3E66A")</f>
        <v/>
      </c>
      <c r="B526" s="3" t="s">
        <v>3672</v>
      </c>
      <c r="C526" s="3" t="s">
        <v>3672</v>
      </c>
      <c r="D526" s="2" t="s">
        <v>3674</v>
      </c>
      <c r="E526" s="2" t="s">
        <v>7662</v>
      </c>
      <c r="F526" s="3" t="s">
        <v>3673</v>
      </c>
      <c r="G526" s="2" t="s">
        <v>3675</v>
      </c>
      <c r="H526" s="8">
        <v>379.4</v>
      </c>
      <c r="I526" s="2" t="s">
        <v>22</v>
      </c>
      <c r="J526" s="2" t="s">
        <v>26</v>
      </c>
      <c r="K526" s="2">
        <v>7</v>
      </c>
      <c r="L526" s="2" t="s">
        <v>20</v>
      </c>
      <c r="M526" s="2" t="s">
        <v>124</v>
      </c>
      <c r="N526" s="3" t="s">
        <v>3676</v>
      </c>
      <c r="O526" s="3" t="s">
        <v>3677</v>
      </c>
      <c r="P526" s="3" t="s">
        <v>3678</v>
      </c>
      <c r="Q526" s="2">
        <v>2843</v>
      </c>
    </row>
    <row r="527" spans="1:17" ht="143.25" customHeight="1" x14ac:dyDescent="0.25">
      <c r="A527" s="5" t="str">
        <f>_xll.JChemExcel.Functions.JCSYSStructure("BF4CBC9EA81AB04F86C02841164FE0E6")</f>
        <v/>
      </c>
      <c r="B527" s="3" t="s">
        <v>3679</v>
      </c>
      <c r="C527" s="3" t="s">
        <v>3679</v>
      </c>
      <c r="D527" s="2" t="s">
        <v>3681</v>
      </c>
      <c r="E527" s="2" t="s">
        <v>7663</v>
      </c>
      <c r="F527" s="3" t="s">
        <v>3680</v>
      </c>
      <c r="G527" s="2" t="s">
        <v>3682</v>
      </c>
      <c r="H527" s="8">
        <v>366.5</v>
      </c>
      <c r="I527" s="2" t="s">
        <v>22</v>
      </c>
      <c r="J527" s="2" t="s">
        <v>26</v>
      </c>
      <c r="K527" s="2">
        <v>7</v>
      </c>
      <c r="L527" s="2" t="s">
        <v>20</v>
      </c>
      <c r="M527" s="2">
        <v>2001</v>
      </c>
      <c r="N527" s="3" t="s">
        <v>2077</v>
      </c>
      <c r="O527" s="3" t="s">
        <v>3683</v>
      </c>
      <c r="P527" s="3" t="s">
        <v>3684</v>
      </c>
      <c r="Q527" s="2">
        <v>2843</v>
      </c>
    </row>
    <row r="528" spans="1:17" ht="143.25" customHeight="1" x14ac:dyDescent="0.25">
      <c r="A528" s="5" t="str">
        <f>_xll.JChemExcel.Functions.JCSYSStructure("1844E1535024D2BB13428928F6639A33")</f>
        <v/>
      </c>
      <c r="B528" s="3" t="s">
        <v>3685</v>
      </c>
      <c r="C528" s="3" t="s">
        <v>3685</v>
      </c>
      <c r="D528" s="2" t="s">
        <v>3687</v>
      </c>
      <c r="E528" s="2" t="s">
        <v>7664</v>
      </c>
      <c r="F528" s="3" t="s">
        <v>3686</v>
      </c>
      <c r="G528" s="2" t="s">
        <v>3688</v>
      </c>
      <c r="H528" s="8">
        <v>333.9</v>
      </c>
      <c r="I528" s="2" t="s">
        <v>22</v>
      </c>
      <c r="J528" s="2" t="s">
        <v>26</v>
      </c>
      <c r="K528" s="2">
        <v>7</v>
      </c>
      <c r="L528" s="2" t="s">
        <v>20</v>
      </c>
      <c r="M528" s="2">
        <v>2004</v>
      </c>
      <c r="N528" s="3" t="s">
        <v>269</v>
      </c>
      <c r="O528" s="3" t="s">
        <v>3689</v>
      </c>
      <c r="P528" s="3" t="s">
        <v>3690</v>
      </c>
      <c r="Q528" s="2">
        <v>2843</v>
      </c>
    </row>
    <row r="529" spans="1:17" ht="143.25" customHeight="1" x14ac:dyDescent="0.25">
      <c r="A529" s="5" t="str">
        <f>_xll.JChemExcel.Functions.JCSYSStructure("3C71801A7DEFC2C817942DBAFB2C46DC")</f>
        <v/>
      </c>
      <c r="B529" s="3" t="s">
        <v>3691</v>
      </c>
      <c r="C529" s="3" t="s">
        <v>3691</v>
      </c>
      <c r="D529" s="2" t="s">
        <v>3693</v>
      </c>
      <c r="E529" s="2" t="s">
        <v>7665</v>
      </c>
      <c r="F529" s="3" t="s">
        <v>3692</v>
      </c>
      <c r="G529" s="2" t="s">
        <v>3694</v>
      </c>
      <c r="H529" s="8">
        <v>528.5</v>
      </c>
      <c r="I529" s="2" t="s">
        <v>22</v>
      </c>
      <c r="J529" s="2" t="s">
        <v>26</v>
      </c>
      <c r="K529" s="2">
        <v>7</v>
      </c>
      <c r="L529" s="2" t="s">
        <v>20</v>
      </c>
      <c r="M529" s="2">
        <v>2001</v>
      </c>
      <c r="N529" s="3" t="s">
        <v>3695</v>
      </c>
      <c r="O529" s="3" t="s">
        <v>3696</v>
      </c>
      <c r="P529" s="3" t="s">
        <v>3697</v>
      </c>
      <c r="Q529" s="2">
        <v>2843</v>
      </c>
    </row>
    <row r="530" spans="1:17" ht="143.25" customHeight="1" x14ac:dyDescent="0.25">
      <c r="A530" s="5" t="str">
        <f>_xll.JChemExcel.Functions.JCSYSStructure("698B747AC23B80C10F14A2E744E68BCF")</f>
        <v/>
      </c>
      <c r="B530" s="3" t="s">
        <v>3698</v>
      </c>
      <c r="C530" s="3" t="s">
        <v>3698</v>
      </c>
      <c r="D530" s="2" t="s">
        <v>3700</v>
      </c>
      <c r="E530" s="2" t="s">
        <v>7666</v>
      </c>
      <c r="F530" s="3" t="s">
        <v>3699</v>
      </c>
      <c r="G530" s="2" t="s">
        <v>3701</v>
      </c>
      <c r="H530" s="8">
        <v>254.2</v>
      </c>
      <c r="I530" s="2" t="s">
        <v>22</v>
      </c>
      <c r="J530" s="2" t="s">
        <v>26</v>
      </c>
      <c r="K530" s="2">
        <v>7</v>
      </c>
      <c r="L530" s="2" t="s">
        <v>20</v>
      </c>
      <c r="M530" s="2">
        <v>1951</v>
      </c>
      <c r="N530" s="3" t="s">
        <v>3702</v>
      </c>
      <c r="O530" s="3" t="s">
        <v>3703</v>
      </c>
      <c r="P530" s="3" t="s">
        <v>3704</v>
      </c>
      <c r="Q530" s="2">
        <v>2843</v>
      </c>
    </row>
    <row r="531" spans="1:17" ht="143.25" customHeight="1" x14ac:dyDescent="0.25">
      <c r="A531" s="5" t="str">
        <f>_xll.JChemExcel.Functions.JCSYSStructure("AEFF09062F24644BE46E80F744FC0C0B")</f>
        <v/>
      </c>
      <c r="B531" s="3" t="s">
        <v>3705</v>
      </c>
      <c r="C531" s="3" t="s">
        <v>3705</v>
      </c>
      <c r="D531" s="2" t="s">
        <v>3707</v>
      </c>
      <c r="E531" s="2" t="s">
        <v>7667</v>
      </c>
      <c r="F531" s="3" t="s">
        <v>3706</v>
      </c>
      <c r="G531" s="2" t="s">
        <v>3708</v>
      </c>
      <c r="H531" s="8">
        <v>444.7</v>
      </c>
      <c r="I531" s="2" t="s">
        <v>22</v>
      </c>
      <c r="J531" s="2" t="s">
        <v>26</v>
      </c>
      <c r="K531" s="2">
        <v>7</v>
      </c>
      <c r="L531" s="2" t="s">
        <v>20</v>
      </c>
      <c r="M531" s="2">
        <v>1982</v>
      </c>
      <c r="N531" s="3" t="s">
        <v>3377</v>
      </c>
      <c r="O531" s="3" t="s">
        <v>3709</v>
      </c>
      <c r="P531" s="3" t="s">
        <v>3710</v>
      </c>
      <c r="Q531" s="2">
        <v>2843</v>
      </c>
    </row>
    <row r="532" spans="1:17" ht="143.25" customHeight="1" x14ac:dyDescent="0.25">
      <c r="D532" s="2" t="s">
        <v>3711</v>
      </c>
      <c r="F532" s="3" t="s">
        <v>2847</v>
      </c>
      <c r="G532" s="2"/>
      <c r="K532" s="2">
        <v>7</v>
      </c>
      <c r="L532" s="2" t="s">
        <v>20</v>
      </c>
      <c r="Q532" s="2">
        <v>2843</v>
      </c>
    </row>
    <row r="533" spans="1:17" ht="143.25" customHeight="1" x14ac:dyDescent="0.25">
      <c r="A533" s="5" t="str">
        <f>_xll.JChemExcel.Functions.JCSYSStructure("E3BB7352E2AD2A1F1F595ED7C94B7B16")</f>
        <v/>
      </c>
      <c r="B533" s="3" t="s">
        <v>3712</v>
      </c>
      <c r="C533" s="3" t="s">
        <v>3713</v>
      </c>
      <c r="D533" s="2" t="s">
        <v>3715</v>
      </c>
      <c r="E533" s="2" t="s">
        <v>7668</v>
      </c>
      <c r="F533" s="3" t="s">
        <v>3714</v>
      </c>
      <c r="G533" s="2" t="s">
        <v>3716</v>
      </c>
      <c r="H533" s="8">
        <v>218.6</v>
      </c>
      <c r="I533" s="2" t="s">
        <v>22</v>
      </c>
      <c r="J533" s="2" t="s">
        <v>26</v>
      </c>
      <c r="K533" s="2">
        <v>7</v>
      </c>
      <c r="L533" s="2" t="s">
        <v>20</v>
      </c>
      <c r="M533" s="2">
        <v>1990</v>
      </c>
      <c r="N533" s="3" t="s">
        <v>3717</v>
      </c>
      <c r="O533" s="3" t="s">
        <v>3718</v>
      </c>
      <c r="P533" s="3" t="s">
        <v>3719</v>
      </c>
      <c r="Q533" s="2">
        <v>2843</v>
      </c>
    </row>
    <row r="534" spans="1:17" ht="143.25" customHeight="1" x14ac:dyDescent="0.25">
      <c r="A534" s="5" t="str">
        <f>_xll.JChemExcel.Functions.JCSYSStructure("B3D01651637C877B2FF5A161D33796C5")</f>
        <v/>
      </c>
      <c r="B534" s="3" t="s">
        <v>3720</v>
      </c>
      <c r="C534" s="3" t="s">
        <v>3721</v>
      </c>
      <c r="D534" s="2" t="s">
        <v>3723</v>
      </c>
      <c r="E534" s="2" t="s">
        <v>7669</v>
      </c>
      <c r="F534" s="3" t="s">
        <v>3722</v>
      </c>
      <c r="G534" s="2" t="s">
        <v>3724</v>
      </c>
      <c r="H534" s="8">
        <v>285.8</v>
      </c>
      <c r="I534" s="2" t="s">
        <v>22</v>
      </c>
      <c r="J534" s="2" t="s">
        <v>26</v>
      </c>
      <c r="K534" s="2">
        <v>7</v>
      </c>
      <c r="L534" s="2" t="s">
        <v>20</v>
      </c>
      <c r="M534" s="2">
        <v>2003</v>
      </c>
      <c r="N534" s="3" t="s">
        <v>3725</v>
      </c>
      <c r="O534" s="3" t="s">
        <v>3726</v>
      </c>
      <c r="P534" s="3" t="s">
        <v>3727</v>
      </c>
      <c r="Q534" s="2">
        <v>2843</v>
      </c>
    </row>
    <row r="535" spans="1:17" ht="143.25" customHeight="1" x14ac:dyDescent="0.25">
      <c r="A535" s="5" t="str">
        <f>_xll.JChemExcel.Functions.JCSYSStructure("465DE91D565F995964D9662946257197")</f>
        <v/>
      </c>
      <c r="B535" s="3" t="s">
        <v>3728</v>
      </c>
      <c r="C535" s="3" t="s">
        <v>3729</v>
      </c>
      <c r="D535" s="2" t="s">
        <v>3731</v>
      </c>
      <c r="E535" s="2" t="s">
        <v>7670</v>
      </c>
      <c r="F535" s="3" t="s">
        <v>3730</v>
      </c>
      <c r="G535" s="2" t="s">
        <v>3732</v>
      </c>
      <c r="H535" s="8">
        <v>580</v>
      </c>
      <c r="I535" s="2" t="s">
        <v>22</v>
      </c>
      <c r="J535" s="2" t="s">
        <v>26</v>
      </c>
      <c r="K535" s="2">
        <v>7</v>
      </c>
      <c r="L535" s="2" t="s">
        <v>20</v>
      </c>
      <c r="M535" s="2">
        <v>1999</v>
      </c>
      <c r="N535" s="3" t="s">
        <v>563</v>
      </c>
      <c r="O535" s="3" t="s">
        <v>3733</v>
      </c>
      <c r="P535" s="3" t="s">
        <v>3734</v>
      </c>
      <c r="Q535" s="2">
        <v>2843</v>
      </c>
    </row>
    <row r="536" spans="1:17" ht="143.25" customHeight="1" x14ac:dyDescent="0.25">
      <c r="A536" s="5" t="str">
        <f>_xll.JChemExcel.Functions.JCSYSStructure("EF6BDB3361413508B69C9325DF5DDCC9")</f>
        <v/>
      </c>
      <c r="B536" s="3" t="s">
        <v>3735</v>
      </c>
      <c r="C536" s="3" t="s">
        <v>3736</v>
      </c>
      <c r="D536" s="2" t="s">
        <v>3738</v>
      </c>
      <c r="E536" s="2" t="s">
        <v>7671</v>
      </c>
      <c r="F536" s="3" t="s">
        <v>3737</v>
      </c>
      <c r="G536" s="2" t="s">
        <v>3739</v>
      </c>
      <c r="H536" s="8">
        <v>414.5</v>
      </c>
      <c r="I536" s="2" t="s">
        <v>22</v>
      </c>
      <c r="J536" s="2" t="s">
        <v>26</v>
      </c>
      <c r="K536" s="2">
        <v>7</v>
      </c>
      <c r="L536" s="2" t="s">
        <v>20</v>
      </c>
      <c r="M536" s="2">
        <v>2002</v>
      </c>
      <c r="N536" s="3" t="s">
        <v>3740</v>
      </c>
      <c r="O536" s="3" t="s">
        <v>3741</v>
      </c>
      <c r="P536" s="3" t="s">
        <v>3742</v>
      </c>
      <c r="Q536" s="2">
        <v>2843</v>
      </c>
    </row>
    <row r="537" spans="1:17" ht="143.25" customHeight="1" x14ac:dyDescent="0.25">
      <c r="A537" s="5" t="str">
        <f>_xll.JChemExcel.Functions.JCSYSStructure("178B60D626341BA6A3711732F73CEB79")</f>
        <v/>
      </c>
      <c r="B537" s="3" t="s">
        <v>3743</v>
      </c>
      <c r="C537" s="3" t="s">
        <v>3744</v>
      </c>
      <c r="D537" s="2" t="s">
        <v>3746</v>
      </c>
      <c r="E537" s="2" t="s">
        <v>7672</v>
      </c>
      <c r="F537" s="3" t="s">
        <v>3745</v>
      </c>
      <c r="G537" s="2" t="s">
        <v>3747</v>
      </c>
      <c r="H537" s="8">
        <v>832</v>
      </c>
      <c r="I537" s="2" t="s">
        <v>22</v>
      </c>
      <c r="J537" s="2" t="s">
        <v>26</v>
      </c>
      <c r="K537" s="2">
        <v>7</v>
      </c>
      <c r="L537" s="2" t="s">
        <v>20</v>
      </c>
      <c r="M537" s="2">
        <v>1998</v>
      </c>
      <c r="N537" s="3" t="s">
        <v>3748</v>
      </c>
      <c r="O537" s="3" t="s">
        <v>3749</v>
      </c>
      <c r="P537" s="3" t="s">
        <v>3750</v>
      </c>
      <c r="Q537" s="2">
        <v>2843</v>
      </c>
    </row>
    <row r="538" spans="1:17" ht="143.25" customHeight="1" x14ac:dyDescent="0.25">
      <c r="A538" s="5" t="str">
        <f>_xll.JChemExcel.Functions.JCSYSStructure("B739CB1046FD02882DC37E1E60B0CFA2")</f>
        <v/>
      </c>
      <c r="B538" s="3" t="s">
        <v>3751</v>
      </c>
      <c r="C538" s="3" t="s">
        <v>3752</v>
      </c>
      <c r="D538" s="2" t="s">
        <v>3754</v>
      </c>
      <c r="E538" s="2">
        <v>380274</v>
      </c>
      <c r="F538" s="3" t="s">
        <v>3753</v>
      </c>
      <c r="G538" s="2" t="s">
        <v>3755</v>
      </c>
      <c r="H538" s="8">
        <v>733.9</v>
      </c>
      <c r="I538" s="2" t="s">
        <v>22</v>
      </c>
      <c r="J538" s="2" t="s">
        <v>26</v>
      </c>
      <c r="K538" s="2">
        <v>7</v>
      </c>
      <c r="L538" s="2" t="s">
        <v>20</v>
      </c>
      <c r="M538" s="2">
        <v>1964</v>
      </c>
      <c r="N538" s="3" t="s">
        <v>3756</v>
      </c>
      <c r="O538" s="3" t="s">
        <v>3757</v>
      </c>
      <c r="P538" s="3" t="s">
        <v>3758</v>
      </c>
      <c r="Q538" s="2">
        <v>2843</v>
      </c>
    </row>
    <row r="539" spans="1:17" ht="143.25" customHeight="1" x14ac:dyDescent="0.25">
      <c r="A539" s="5" t="str">
        <f>_xll.JChemExcel.Functions.JCSYSStructure("ED572528DC59E692D9B86EB44CAAF599")</f>
        <v/>
      </c>
      <c r="B539" s="3" t="s">
        <v>3759</v>
      </c>
      <c r="C539" s="3" t="s">
        <v>3760</v>
      </c>
      <c r="D539" s="2" t="s">
        <v>3762</v>
      </c>
      <c r="E539" s="2" t="s">
        <v>7673</v>
      </c>
      <c r="F539" s="3" t="s">
        <v>3761</v>
      </c>
      <c r="G539" s="2" t="s">
        <v>3763</v>
      </c>
      <c r="H539" s="8">
        <v>564.29999999999995</v>
      </c>
      <c r="I539" s="2" t="s">
        <v>22</v>
      </c>
      <c r="J539" s="2" t="s">
        <v>26</v>
      </c>
      <c r="K539" s="2">
        <v>7</v>
      </c>
      <c r="L539" s="2" t="s">
        <v>20</v>
      </c>
      <c r="M539" s="2">
        <v>1981</v>
      </c>
      <c r="N539" s="3" t="s">
        <v>563</v>
      </c>
      <c r="O539" s="3" t="s">
        <v>3764</v>
      </c>
      <c r="P539" s="3" t="s">
        <v>53</v>
      </c>
      <c r="Q539" s="2">
        <v>2843</v>
      </c>
    </row>
    <row r="540" spans="1:17" ht="143.25" customHeight="1" x14ac:dyDescent="0.25">
      <c r="A540" s="5" t="str">
        <f>_xll.JChemExcel.Functions.JCSYSStructure("713BF7DE091AC4094661E8B42F0BBAFA")</f>
        <v/>
      </c>
      <c r="B540" s="3" t="s">
        <v>3765</v>
      </c>
      <c r="C540" s="3" t="s">
        <v>3766</v>
      </c>
      <c r="D540" s="2" t="s">
        <v>3768</v>
      </c>
      <c r="E540" s="2" t="s">
        <v>7674</v>
      </c>
      <c r="F540" s="3" t="s">
        <v>3767</v>
      </c>
      <c r="G540" s="2" t="s">
        <v>3769</v>
      </c>
      <c r="H540" s="8">
        <v>436.6</v>
      </c>
      <c r="I540" s="2" t="s">
        <v>22</v>
      </c>
      <c r="J540" s="2" t="s">
        <v>26</v>
      </c>
      <c r="K540" s="2">
        <v>7</v>
      </c>
      <c r="L540" s="2" t="s">
        <v>20</v>
      </c>
      <c r="M540" s="2">
        <v>1977</v>
      </c>
      <c r="N540" s="3" t="s">
        <v>3770</v>
      </c>
      <c r="O540" s="3" t="s">
        <v>3771</v>
      </c>
      <c r="P540" s="3" t="s">
        <v>3772</v>
      </c>
      <c r="Q540" s="2">
        <v>2843</v>
      </c>
    </row>
    <row r="541" spans="1:17" ht="143.25" customHeight="1" x14ac:dyDescent="0.25">
      <c r="A541" s="5" t="str">
        <f>_xll.JChemExcel.Functions.JCSYSStructure("C7774B6C13426476D65FA1F31F2A82B6")</f>
        <v/>
      </c>
      <c r="B541" s="3" t="s">
        <v>3773</v>
      </c>
      <c r="C541" s="3" t="s">
        <v>3774</v>
      </c>
      <c r="D541" s="2" t="s">
        <v>3776</v>
      </c>
      <c r="E541" s="2" t="s">
        <v>7675</v>
      </c>
      <c r="F541" s="3" t="s">
        <v>3775</v>
      </c>
      <c r="G541" s="2" t="s">
        <v>3777</v>
      </c>
      <c r="H541" s="8">
        <v>388.8</v>
      </c>
      <c r="I541" s="2" t="s">
        <v>22</v>
      </c>
      <c r="J541" s="2" t="s">
        <v>26</v>
      </c>
      <c r="K541" s="2">
        <v>7</v>
      </c>
      <c r="L541" s="2" t="s">
        <v>20</v>
      </c>
      <c r="M541" s="2">
        <v>2004</v>
      </c>
      <c r="N541" s="3" t="s">
        <v>3778</v>
      </c>
      <c r="O541" s="3" t="s">
        <v>3779</v>
      </c>
      <c r="P541" s="3" t="s">
        <v>3780</v>
      </c>
      <c r="Q541" s="2">
        <v>2843</v>
      </c>
    </row>
    <row r="542" spans="1:17" ht="143.25" customHeight="1" x14ac:dyDescent="0.25">
      <c r="A542" s="5" t="str">
        <f>_xll.JChemExcel.Functions.JCSYSStructure("0C8F94AC5A7C5136F1442D8DD1EADAD5")</f>
        <v/>
      </c>
      <c r="B542" s="3" t="s">
        <v>3781</v>
      </c>
      <c r="C542" s="3" t="s">
        <v>3782</v>
      </c>
      <c r="D542" s="2" t="s">
        <v>3784</v>
      </c>
      <c r="E542" s="2" t="s">
        <v>7676</v>
      </c>
      <c r="F542" s="3" t="s">
        <v>3783</v>
      </c>
      <c r="G542" s="2" t="s">
        <v>3785</v>
      </c>
      <c r="H542" s="8">
        <v>277.2</v>
      </c>
      <c r="I542" s="2" t="s">
        <v>22</v>
      </c>
      <c r="J542" s="2" t="s">
        <v>26</v>
      </c>
      <c r="K542" s="2">
        <v>7</v>
      </c>
      <c r="L542" s="2" t="s">
        <v>20</v>
      </c>
      <c r="M542" s="2">
        <v>1967</v>
      </c>
      <c r="N542" s="3" t="s">
        <v>3786</v>
      </c>
      <c r="O542" s="3" t="s">
        <v>3787</v>
      </c>
      <c r="P542" s="3" t="s">
        <v>3788</v>
      </c>
      <c r="Q542" s="2">
        <v>2843</v>
      </c>
    </row>
    <row r="543" spans="1:17" ht="143.25" customHeight="1" x14ac:dyDescent="0.25">
      <c r="D543" s="2" t="s">
        <v>3789</v>
      </c>
      <c r="F543" s="3" t="s">
        <v>2847</v>
      </c>
      <c r="G543" s="2"/>
      <c r="K543" s="2">
        <v>7</v>
      </c>
      <c r="L543" s="2" t="s">
        <v>20</v>
      </c>
      <c r="Q543" s="2">
        <v>2843</v>
      </c>
    </row>
    <row r="544" spans="1:17" ht="143.25" customHeight="1" x14ac:dyDescent="0.25">
      <c r="A544" s="5" t="str">
        <f>_xll.JChemExcel.Functions.JCSYSStructure("EAD0D0F936DB5FF12932512D4E835AA8")</f>
        <v/>
      </c>
      <c r="B544" s="3" t="s">
        <v>3790</v>
      </c>
      <c r="C544" s="3" t="s">
        <v>3791</v>
      </c>
      <c r="D544" s="2" t="s">
        <v>3792</v>
      </c>
      <c r="E544" s="2" t="s">
        <v>7677</v>
      </c>
      <c r="F544" s="3" t="s">
        <v>8016</v>
      </c>
      <c r="G544" s="2" t="s">
        <v>3793</v>
      </c>
      <c r="H544" s="8">
        <v>296.39999999999998</v>
      </c>
      <c r="I544" s="2" t="s">
        <v>22</v>
      </c>
      <c r="J544" s="2" t="s">
        <v>26</v>
      </c>
      <c r="K544" s="2">
        <v>7</v>
      </c>
      <c r="L544" s="2" t="s">
        <v>20</v>
      </c>
      <c r="M544" s="2">
        <v>1943</v>
      </c>
      <c r="N544" s="3" t="s">
        <v>2077</v>
      </c>
      <c r="O544" s="3" t="s">
        <v>3794</v>
      </c>
      <c r="P544" s="3" t="s">
        <v>3795</v>
      </c>
      <c r="Q544" s="2">
        <v>2843</v>
      </c>
    </row>
    <row r="545" spans="1:17" ht="143.25" customHeight="1" x14ac:dyDescent="0.25">
      <c r="A545" s="5" t="str">
        <f>_xll.JChemExcel.Functions.JCSYSStructure("72C5BB44C9FE0A1447AB7E922DC53C8E")</f>
        <v/>
      </c>
      <c r="B545" s="3" t="s">
        <v>3796</v>
      </c>
      <c r="C545" s="3" t="s">
        <v>3797</v>
      </c>
      <c r="D545" s="2" t="s">
        <v>3799</v>
      </c>
      <c r="E545" s="2" t="s">
        <v>7678</v>
      </c>
      <c r="F545" s="3" t="s">
        <v>3798</v>
      </c>
      <c r="G545" s="2" t="s">
        <v>3800</v>
      </c>
      <c r="H545" s="8">
        <v>166.24340000000001</v>
      </c>
      <c r="I545" s="2" t="s">
        <v>22</v>
      </c>
      <c r="J545" s="2" t="s">
        <v>26</v>
      </c>
      <c r="K545" s="2">
        <v>8</v>
      </c>
      <c r="L545" s="2" t="s">
        <v>20</v>
      </c>
      <c r="M545" s="2">
        <v>1965</v>
      </c>
      <c r="N545" s="3" t="s">
        <v>3801</v>
      </c>
      <c r="O545" s="3" t="s">
        <v>3802</v>
      </c>
      <c r="P545" s="3" t="s">
        <v>3803</v>
      </c>
      <c r="Q545" s="2">
        <v>2843</v>
      </c>
    </row>
    <row r="546" spans="1:17" ht="143.25" customHeight="1" x14ac:dyDescent="0.25">
      <c r="A546" s="5" t="str">
        <f>_xll.JChemExcel.Functions.JCSYSStructure("3D32B23592A60D25422415EFF5E01385")</f>
        <v/>
      </c>
      <c r="B546" s="3" t="s">
        <v>3804</v>
      </c>
      <c r="C546" s="3" t="s">
        <v>3805</v>
      </c>
      <c r="D546" s="2" t="s">
        <v>3807</v>
      </c>
      <c r="E546" s="2" t="s">
        <v>7679</v>
      </c>
      <c r="F546" s="3" t="s">
        <v>3806</v>
      </c>
      <c r="G546" s="2" t="s">
        <v>3808</v>
      </c>
      <c r="H546" s="8">
        <v>141.19999999999999</v>
      </c>
      <c r="I546" s="2" t="s">
        <v>22</v>
      </c>
      <c r="J546" s="2" t="s">
        <v>26</v>
      </c>
      <c r="K546" s="2">
        <v>8</v>
      </c>
      <c r="L546" s="2" t="s">
        <v>20</v>
      </c>
      <c r="M546" s="2">
        <v>1960</v>
      </c>
      <c r="N546" s="3" t="s">
        <v>3809</v>
      </c>
      <c r="O546" s="3" t="s">
        <v>3810</v>
      </c>
      <c r="P546" s="3" t="s">
        <v>3811</v>
      </c>
      <c r="Q546" s="2">
        <v>2843</v>
      </c>
    </row>
    <row r="547" spans="1:17" ht="143.25" customHeight="1" x14ac:dyDescent="0.25">
      <c r="A547" s="5" t="str">
        <f>_xll.JChemExcel.Functions.JCSYSStructure("EDB90540597A229E7CF968E7CAAA8E5A")</f>
        <v/>
      </c>
      <c r="B547" s="3" t="s">
        <v>3812</v>
      </c>
      <c r="C547" s="3" t="s">
        <v>3813</v>
      </c>
      <c r="D547" s="2" t="s">
        <v>3815</v>
      </c>
      <c r="E547" s="2" t="s">
        <v>7680</v>
      </c>
      <c r="F547" s="3" t="s">
        <v>3814</v>
      </c>
      <c r="G547" s="2" t="s">
        <v>3816</v>
      </c>
      <c r="H547" s="8">
        <v>287.39999999999998</v>
      </c>
      <c r="I547" s="2" t="s">
        <v>22</v>
      </c>
      <c r="J547" s="2" t="s">
        <v>26</v>
      </c>
      <c r="K547" s="2">
        <v>8</v>
      </c>
      <c r="L547" s="2" t="s">
        <v>20</v>
      </c>
      <c r="M547" s="2">
        <v>1991</v>
      </c>
      <c r="N547" s="3" t="s">
        <v>3817</v>
      </c>
      <c r="O547" s="3" t="s">
        <v>3818</v>
      </c>
      <c r="P547" s="3" t="s">
        <v>3819</v>
      </c>
      <c r="Q547" s="2">
        <v>2843</v>
      </c>
    </row>
    <row r="548" spans="1:17" ht="143.25" customHeight="1" x14ac:dyDescent="0.25">
      <c r="A548" s="5" t="str">
        <f>_xll.JChemExcel.Functions.JCSYSStructure("6ADE009ABD6D3DA32D1A3D84F5DBDCF0")</f>
        <v/>
      </c>
      <c r="B548" s="3" t="s">
        <v>3820</v>
      </c>
      <c r="C548" s="3" t="s">
        <v>3821</v>
      </c>
      <c r="D548" s="2" t="s">
        <v>3823</v>
      </c>
      <c r="E548" s="2" t="s">
        <v>7681</v>
      </c>
      <c r="F548" s="3" t="s">
        <v>3822</v>
      </c>
      <c r="G548" s="2" t="s">
        <v>3824</v>
      </c>
      <c r="H548" s="8">
        <v>244.3</v>
      </c>
      <c r="I548" s="2" t="s">
        <v>22</v>
      </c>
      <c r="J548" s="2" t="s">
        <v>26</v>
      </c>
      <c r="K548" s="2">
        <v>8</v>
      </c>
      <c r="L548" s="2" t="s">
        <v>20</v>
      </c>
      <c r="M548" s="2">
        <v>1982</v>
      </c>
      <c r="N548" s="3" t="s">
        <v>3825</v>
      </c>
      <c r="O548" s="3" t="s">
        <v>3826</v>
      </c>
      <c r="P548" s="3" t="s">
        <v>3827</v>
      </c>
      <c r="Q548" s="2">
        <v>2843</v>
      </c>
    </row>
    <row r="549" spans="1:17" ht="143.25" customHeight="1" x14ac:dyDescent="0.25">
      <c r="A549" s="5" t="str">
        <f>_xll.JChemExcel.Functions.JCSYSStructure("E2B5C3764D08A98185D972750DE5A4E9")</f>
        <v/>
      </c>
      <c r="B549" s="3" t="s">
        <v>3828</v>
      </c>
      <c r="C549" s="3" t="s">
        <v>3829</v>
      </c>
      <c r="D549" s="2" t="s">
        <v>3831</v>
      </c>
      <c r="E549" s="2" t="s">
        <v>7682</v>
      </c>
      <c r="F549" s="3" t="s">
        <v>3830</v>
      </c>
      <c r="G549" s="2" t="s">
        <v>3832</v>
      </c>
      <c r="H549" s="8">
        <v>324.45652000000001</v>
      </c>
      <c r="I549" s="2" t="s">
        <v>22</v>
      </c>
      <c r="J549" s="2" t="s">
        <v>26</v>
      </c>
      <c r="K549" s="2">
        <v>8</v>
      </c>
      <c r="L549" s="2" t="s">
        <v>20</v>
      </c>
      <c r="M549" s="2">
        <v>2001</v>
      </c>
      <c r="N549" s="3" t="s">
        <v>3833</v>
      </c>
      <c r="O549" s="3" t="s">
        <v>3834</v>
      </c>
      <c r="P549" s="3" t="s">
        <v>3835</v>
      </c>
      <c r="Q549" s="2">
        <v>2843</v>
      </c>
    </row>
    <row r="550" spans="1:17" ht="143.25" customHeight="1" x14ac:dyDescent="0.25">
      <c r="A550" s="5" t="str">
        <f>_xll.JChemExcel.Functions.JCSYSStructure("F7FDD28F93104C7A68E58EA8DCCB53C9")</f>
        <v/>
      </c>
      <c r="B550" s="3" t="s">
        <v>3836</v>
      </c>
      <c r="C550" s="3" t="s">
        <v>3837</v>
      </c>
      <c r="D550" s="2" t="s">
        <v>3839</v>
      </c>
      <c r="E550" s="2" t="s">
        <v>7683</v>
      </c>
      <c r="F550" s="3" t="s">
        <v>3838</v>
      </c>
      <c r="G550" s="2" t="s">
        <v>3840</v>
      </c>
      <c r="H550" s="8">
        <v>958.2</v>
      </c>
      <c r="I550" s="2" t="s">
        <v>22</v>
      </c>
      <c r="J550" s="2" t="s">
        <v>26</v>
      </c>
      <c r="K550" s="2">
        <v>8</v>
      </c>
      <c r="L550" s="2" t="s">
        <v>20</v>
      </c>
      <c r="M550" s="2">
        <v>2009</v>
      </c>
      <c r="N550" s="3" t="s">
        <v>626</v>
      </c>
      <c r="O550" s="3" t="s">
        <v>3841</v>
      </c>
      <c r="P550" s="3" t="s">
        <v>3842</v>
      </c>
      <c r="Q550" s="2">
        <v>2843</v>
      </c>
    </row>
    <row r="551" spans="1:17" ht="143.25" customHeight="1" x14ac:dyDescent="0.25">
      <c r="A551" s="5" t="str">
        <f>_xll.JChemExcel.Functions.JCSYSStructure("3E565C445F66651E7624917BF216DF17")</f>
        <v/>
      </c>
      <c r="B551" s="3" t="s">
        <v>3843</v>
      </c>
      <c r="C551" s="3" t="s">
        <v>3844</v>
      </c>
      <c r="D551" s="2" t="s">
        <v>3846</v>
      </c>
      <c r="E551" s="2" t="s">
        <v>7684</v>
      </c>
      <c r="F551" s="3" t="s">
        <v>3845</v>
      </c>
      <c r="G551" s="2" t="s">
        <v>3847</v>
      </c>
      <c r="H551" s="8">
        <v>409.4</v>
      </c>
      <c r="I551" s="2" t="s">
        <v>22</v>
      </c>
      <c r="J551" s="2" t="s">
        <v>26</v>
      </c>
      <c r="K551" s="2">
        <v>8</v>
      </c>
      <c r="L551" s="2" t="s">
        <v>20</v>
      </c>
      <c r="M551" s="2">
        <v>2002</v>
      </c>
      <c r="N551" s="3" t="s">
        <v>3848</v>
      </c>
      <c r="O551" s="3" t="s">
        <v>3849</v>
      </c>
      <c r="P551" s="3" t="s">
        <v>2781</v>
      </c>
      <c r="Q551" s="2">
        <v>2843</v>
      </c>
    </row>
    <row r="552" spans="1:17" ht="143.25" customHeight="1" x14ac:dyDescent="0.25">
      <c r="A552" s="5" t="str">
        <f>_xll.JChemExcel.Functions.JCSYSStructure("CE70FBF8BC4D69EF90F3EBB8E4DD8D6D")</f>
        <v/>
      </c>
      <c r="B552" s="3" t="s">
        <v>3850</v>
      </c>
      <c r="C552" s="3" t="s">
        <v>3851</v>
      </c>
      <c r="D552" s="2" t="s">
        <v>3853</v>
      </c>
      <c r="E552" s="2" t="s">
        <v>7685</v>
      </c>
      <c r="F552" s="3" t="s">
        <v>3852</v>
      </c>
      <c r="G552" s="2" t="s">
        <v>3854</v>
      </c>
      <c r="H552" s="8">
        <v>316.37484000000001</v>
      </c>
      <c r="I552" s="2" t="s">
        <v>22</v>
      </c>
      <c r="J552" s="2" t="s">
        <v>26</v>
      </c>
      <c r="K552" s="2">
        <v>8</v>
      </c>
      <c r="L552" s="2" t="s">
        <v>20</v>
      </c>
      <c r="M552" s="2">
        <v>2009</v>
      </c>
      <c r="N552" s="3" t="s">
        <v>3855</v>
      </c>
      <c r="O552" s="3" t="s">
        <v>3856</v>
      </c>
      <c r="P552" s="3" t="s">
        <v>3857</v>
      </c>
      <c r="Q552" s="2">
        <v>2843</v>
      </c>
    </row>
    <row r="553" spans="1:17" ht="143.25" customHeight="1" x14ac:dyDescent="0.25">
      <c r="A553" s="5" t="str">
        <f>_xll.JChemExcel.Functions.JCSYSStructure("32C73C5A63BF9732DAFF3203E67EDC60")</f>
        <v/>
      </c>
      <c r="B553" s="3" t="s">
        <v>3858</v>
      </c>
      <c r="C553" s="3" t="s">
        <v>3859</v>
      </c>
      <c r="D553" s="2" t="s">
        <v>3861</v>
      </c>
      <c r="E553" s="2" t="s">
        <v>7686</v>
      </c>
      <c r="F553" s="3" t="s">
        <v>3860</v>
      </c>
      <c r="G553" s="2" t="s">
        <v>3862</v>
      </c>
      <c r="H553" s="8">
        <v>538.1</v>
      </c>
      <c r="I553" s="2" t="s">
        <v>22</v>
      </c>
      <c r="J553" s="2" t="s">
        <v>26</v>
      </c>
      <c r="K553" s="2">
        <v>8</v>
      </c>
      <c r="L553" s="2" t="s">
        <v>20</v>
      </c>
      <c r="M553" s="2">
        <v>1996</v>
      </c>
      <c r="N553" s="3" t="s">
        <v>2585</v>
      </c>
      <c r="O553" s="3" t="s">
        <v>3863</v>
      </c>
      <c r="P553" s="3" t="s">
        <v>3864</v>
      </c>
      <c r="Q553" s="2">
        <v>2843</v>
      </c>
    </row>
    <row r="554" spans="1:17" ht="143.25" customHeight="1" x14ac:dyDescent="0.25">
      <c r="A554" s="5" t="str">
        <f>_xll.JChemExcel.Functions.JCSYSStructure("5E24E1554FAEF51E8E5A0B32D04619EB")</f>
        <v/>
      </c>
      <c r="B554" s="3" t="s">
        <v>3865</v>
      </c>
      <c r="C554" s="3" t="s">
        <v>3866</v>
      </c>
      <c r="D554" s="2" t="s">
        <v>3867</v>
      </c>
      <c r="E554" s="2" t="s">
        <v>8018</v>
      </c>
      <c r="F554" s="3" t="s">
        <v>8017</v>
      </c>
      <c r="G554" s="2" t="s">
        <v>3868</v>
      </c>
      <c r="H554" s="8">
        <v>307.5</v>
      </c>
      <c r="I554" s="2" t="s">
        <v>22</v>
      </c>
      <c r="J554" s="2" t="s">
        <v>26</v>
      </c>
      <c r="K554" s="2">
        <v>8</v>
      </c>
      <c r="L554" s="2" t="s">
        <v>20</v>
      </c>
      <c r="M554" s="2">
        <v>2010</v>
      </c>
      <c r="N554" s="3" t="s">
        <v>3869</v>
      </c>
      <c r="O554" s="3" t="s">
        <v>3870</v>
      </c>
      <c r="P554" s="3" t="s">
        <v>3871</v>
      </c>
      <c r="Q554" s="2">
        <v>2843</v>
      </c>
    </row>
    <row r="555" spans="1:17" ht="143.25" customHeight="1" x14ac:dyDescent="0.25">
      <c r="A555" s="5" t="str">
        <f>_xll.JChemExcel.Functions.JCSYSStructure("4604CBBFFDCFA7EF428A67F4917B82BE")</f>
        <v/>
      </c>
      <c r="B555" s="3" t="s">
        <v>3872</v>
      </c>
      <c r="C555" s="3" t="s">
        <v>3873</v>
      </c>
      <c r="D555" s="2" t="s">
        <v>3875</v>
      </c>
      <c r="E555" s="2" t="s">
        <v>7687</v>
      </c>
      <c r="F555" s="3" t="s">
        <v>3874</v>
      </c>
      <c r="G555" s="2" t="s">
        <v>3876</v>
      </c>
      <c r="H555" s="8">
        <v>427.9</v>
      </c>
      <c r="I555" s="2" t="s">
        <v>22</v>
      </c>
      <c r="J555" s="2" t="s">
        <v>26</v>
      </c>
      <c r="K555" s="2">
        <v>8</v>
      </c>
      <c r="L555" s="2" t="s">
        <v>20</v>
      </c>
      <c r="M555" s="2">
        <v>1970</v>
      </c>
      <c r="N555" s="3" t="s">
        <v>2564</v>
      </c>
      <c r="O555" s="3" t="s">
        <v>3877</v>
      </c>
      <c r="P555" s="3" t="s">
        <v>3878</v>
      </c>
      <c r="Q555" s="2">
        <v>2843</v>
      </c>
    </row>
    <row r="556" spans="1:17" ht="143.25" customHeight="1" x14ac:dyDescent="0.25">
      <c r="A556" s="5" t="str">
        <f>_xll.JChemExcel.Functions.JCSYSStructure("3A8E3E9F0F9BACCBDBB3ECDF0067138B")</f>
        <v/>
      </c>
      <c r="B556" s="3" t="s">
        <v>3879</v>
      </c>
      <c r="C556" s="3" t="s">
        <v>3880</v>
      </c>
      <c r="D556" s="2" t="s">
        <v>3882</v>
      </c>
      <c r="E556" s="2" t="s">
        <v>7688</v>
      </c>
      <c r="F556" s="3" t="s">
        <v>3881</v>
      </c>
      <c r="G556" s="2" t="s">
        <v>3883</v>
      </c>
      <c r="H556" s="8">
        <v>129.1</v>
      </c>
      <c r="I556" s="2" t="s">
        <v>22</v>
      </c>
      <c r="J556" s="2" t="s">
        <v>26</v>
      </c>
      <c r="K556" s="2">
        <v>8</v>
      </c>
      <c r="L556" s="2" t="s">
        <v>20</v>
      </c>
      <c r="M556" s="2">
        <v>1971</v>
      </c>
      <c r="N556" s="3" t="s">
        <v>3884</v>
      </c>
      <c r="O556" s="3" t="s">
        <v>3885</v>
      </c>
      <c r="P556" s="3" t="s">
        <v>3886</v>
      </c>
      <c r="Q556" s="2">
        <v>2843</v>
      </c>
    </row>
    <row r="557" spans="1:17" ht="143.25" customHeight="1" x14ac:dyDescent="0.25">
      <c r="A557" s="5" t="str">
        <f>_xll.JChemExcel.Functions.JCSYSStructure("7E4A27060D04E5A31AA011FF21FCFACF")</f>
        <v/>
      </c>
      <c r="B557" s="3" t="s">
        <v>3887</v>
      </c>
      <c r="C557" s="3" t="s">
        <v>3888</v>
      </c>
      <c r="D557" s="2" t="s">
        <v>3890</v>
      </c>
      <c r="E557" s="2" t="s">
        <v>7689</v>
      </c>
      <c r="F557" s="3" t="s">
        <v>3889</v>
      </c>
      <c r="G557" s="2" t="s">
        <v>3891</v>
      </c>
      <c r="H557" s="8">
        <v>365.2</v>
      </c>
      <c r="I557" s="2" t="s">
        <v>22</v>
      </c>
      <c r="J557" s="2" t="s">
        <v>26</v>
      </c>
      <c r="K557" s="2">
        <v>8</v>
      </c>
      <c r="L557" s="2" t="s">
        <v>20</v>
      </c>
      <c r="M557" s="2">
        <v>1991</v>
      </c>
      <c r="N557" s="3" t="s">
        <v>3892</v>
      </c>
      <c r="O557" s="3" t="s">
        <v>3893</v>
      </c>
      <c r="P557" s="3" t="s">
        <v>3894</v>
      </c>
      <c r="Q557" s="2">
        <v>2843</v>
      </c>
    </row>
    <row r="558" spans="1:17" ht="143.25" customHeight="1" x14ac:dyDescent="0.25">
      <c r="A558" s="5" t="str">
        <f>_xll.JChemExcel.Functions.JCSYSStructure("D44FEBCAA9D5EC47D9233C528A9B9528")</f>
        <v/>
      </c>
      <c r="B558" s="3" t="s">
        <v>3895</v>
      </c>
      <c r="C558" s="3" t="s">
        <v>3896</v>
      </c>
      <c r="D558" s="2" t="s">
        <v>3898</v>
      </c>
      <c r="E558" s="2" t="s">
        <v>7690</v>
      </c>
      <c r="F558" s="3" t="s">
        <v>3897</v>
      </c>
      <c r="G558" s="2" t="s">
        <v>3899</v>
      </c>
      <c r="H558" s="8">
        <v>422.5</v>
      </c>
      <c r="I558" s="2" t="s">
        <v>22</v>
      </c>
      <c r="J558" s="2" t="s">
        <v>26</v>
      </c>
      <c r="K558" s="2">
        <v>8</v>
      </c>
      <c r="L558" s="2" t="s">
        <v>20</v>
      </c>
      <c r="M558" s="2">
        <v>1955</v>
      </c>
      <c r="N558" s="3" t="s">
        <v>3900</v>
      </c>
      <c r="O558" s="3" t="s">
        <v>3901</v>
      </c>
      <c r="P558" s="3" t="s">
        <v>3902</v>
      </c>
      <c r="Q558" s="2">
        <v>2843</v>
      </c>
    </row>
    <row r="559" spans="1:17" ht="143.25" customHeight="1" x14ac:dyDescent="0.25">
      <c r="A559" s="5" t="str">
        <f>_xll.JChemExcel.Functions.JCSYSStructure("BB5A82E8332B0A3D98F473CC1C10BA83")</f>
        <v/>
      </c>
      <c r="B559" s="3" t="s">
        <v>3903</v>
      </c>
      <c r="C559" s="3" t="s">
        <v>3904</v>
      </c>
      <c r="D559" s="2" t="s">
        <v>3906</v>
      </c>
      <c r="E559" s="2" t="s">
        <v>7691</v>
      </c>
      <c r="F559" s="3" t="s">
        <v>3905</v>
      </c>
      <c r="G559" s="4" t="s">
        <v>7153</v>
      </c>
      <c r="H559" s="8">
        <v>434.5</v>
      </c>
      <c r="I559" s="2" t="s">
        <v>22</v>
      </c>
      <c r="J559" s="2" t="s">
        <v>26</v>
      </c>
      <c r="K559" s="2">
        <v>8</v>
      </c>
      <c r="L559" s="2" t="s">
        <v>20</v>
      </c>
      <c r="M559" s="2">
        <v>1981</v>
      </c>
      <c r="N559" s="3" t="s">
        <v>2882</v>
      </c>
      <c r="O559" s="3" t="s">
        <v>3907</v>
      </c>
      <c r="P559" s="3" t="s">
        <v>3908</v>
      </c>
      <c r="Q559" s="2">
        <v>2843</v>
      </c>
    </row>
    <row r="560" spans="1:17" ht="143.25" customHeight="1" x14ac:dyDescent="0.25">
      <c r="A560" s="5" t="str">
        <f>_xll.JChemExcel.Functions.JCSYSStructure("AFFD72489C6B0128ECB452BE0229585C")</f>
        <v/>
      </c>
      <c r="B560" s="3" t="s">
        <v>3909</v>
      </c>
      <c r="C560" s="3" t="s">
        <v>3910</v>
      </c>
      <c r="D560" s="2" t="s">
        <v>3912</v>
      </c>
      <c r="E560" s="2" t="s">
        <v>7692</v>
      </c>
      <c r="F560" s="3" t="s">
        <v>3911</v>
      </c>
      <c r="G560" s="2" t="s">
        <v>3913</v>
      </c>
      <c r="H560" s="8">
        <v>494.52488599999998</v>
      </c>
      <c r="I560" s="2" t="s">
        <v>22</v>
      </c>
      <c r="J560" s="2" t="s">
        <v>26</v>
      </c>
      <c r="K560" s="2">
        <v>8</v>
      </c>
      <c r="L560" s="2" t="s">
        <v>20</v>
      </c>
      <c r="M560" s="2">
        <v>1971</v>
      </c>
      <c r="N560" s="3" t="s">
        <v>2882</v>
      </c>
      <c r="O560" s="3" t="s">
        <v>3914</v>
      </c>
      <c r="P560" s="3" t="s">
        <v>3915</v>
      </c>
      <c r="Q560" s="2">
        <v>2843</v>
      </c>
    </row>
    <row r="561" spans="1:17" ht="143.25" customHeight="1" x14ac:dyDescent="0.25">
      <c r="A561" s="5" t="str">
        <f>_xll.JChemExcel.Functions.JCSYSStructure("B01F2CD0233B69643EAEC7A21027C0CF")</f>
        <v/>
      </c>
      <c r="B561" s="3" t="s">
        <v>3916</v>
      </c>
      <c r="C561" s="3" t="s">
        <v>3917</v>
      </c>
      <c r="D561" s="2" t="s">
        <v>3919</v>
      </c>
      <c r="E561" s="2" t="s">
        <v>7693</v>
      </c>
      <c r="F561" s="3" t="s">
        <v>3918</v>
      </c>
      <c r="G561" s="2" t="s">
        <v>3920</v>
      </c>
      <c r="H561" s="8">
        <v>376.5</v>
      </c>
      <c r="I561" s="2" t="s">
        <v>22</v>
      </c>
      <c r="J561" s="2" t="s">
        <v>26</v>
      </c>
      <c r="K561" s="2">
        <v>8</v>
      </c>
      <c r="L561" s="2" t="s">
        <v>20</v>
      </c>
      <c r="M561" s="2">
        <v>1972</v>
      </c>
      <c r="N561" s="3" t="s">
        <v>2882</v>
      </c>
      <c r="O561" s="3" t="s">
        <v>3921</v>
      </c>
      <c r="P561" s="3" t="s">
        <v>3922</v>
      </c>
      <c r="Q561" s="2">
        <v>2843</v>
      </c>
    </row>
    <row r="562" spans="1:17" ht="143.25" customHeight="1" x14ac:dyDescent="0.25">
      <c r="A562" s="5" t="str">
        <f>_xll.JChemExcel.Functions.JCSYSStructure("8E14A96896965EC6B346D5BFD83D70C7")</f>
        <v/>
      </c>
      <c r="B562" s="3" t="s">
        <v>3923</v>
      </c>
      <c r="C562" s="3" t="s">
        <v>3924</v>
      </c>
      <c r="D562" s="2" t="s">
        <v>3926</v>
      </c>
      <c r="E562" s="2" t="s">
        <v>7694</v>
      </c>
      <c r="F562" s="3" t="s">
        <v>3925</v>
      </c>
      <c r="G562" s="2" t="s">
        <v>3927</v>
      </c>
      <c r="H562" s="8">
        <v>436.5</v>
      </c>
      <c r="I562" s="2" t="s">
        <v>22</v>
      </c>
      <c r="J562" s="2" t="s">
        <v>26</v>
      </c>
      <c r="K562" s="2">
        <v>8</v>
      </c>
      <c r="L562" s="2" t="s">
        <v>20</v>
      </c>
      <c r="M562" s="2">
        <v>1965</v>
      </c>
      <c r="N562" s="3" t="s">
        <v>2882</v>
      </c>
      <c r="O562" s="3" t="s">
        <v>3928</v>
      </c>
      <c r="P562" s="3" t="s">
        <v>3929</v>
      </c>
      <c r="Q562" s="2">
        <v>2843</v>
      </c>
    </row>
    <row r="563" spans="1:17" ht="143.25" customHeight="1" x14ac:dyDescent="0.25">
      <c r="D563" s="2" t="s">
        <v>3930</v>
      </c>
      <c r="F563" s="3" t="s">
        <v>2847</v>
      </c>
      <c r="G563" s="2"/>
      <c r="K563" s="2">
        <v>8</v>
      </c>
      <c r="L563" s="2" t="s">
        <v>20</v>
      </c>
      <c r="Q563" s="2">
        <v>2843</v>
      </c>
    </row>
    <row r="564" spans="1:17" ht="143.25" customHeight="1" x14ac:dyDescent="0.25">
      <c r="A564" s="5" t="str">
        <f>_xll.JChemExcel.Functions.JCSYSStructure("0653F74451BABEB147A7ED62027DED4A")</f>
        <v/>
      </c>
      <c r="B564" s="3" t="s">
        <v>3931</v>
      </c>
      <c r="C564" s="3" t="s">
        <v>3932</v>
      </c>
      <c r="D564" s="2" t="s">
        <v>3934</v>
      </c>
      <c r="E564" s="2" t="s">
        <v>7695</v>
      </c>
      <c r="F564" s="3" t="s">
        <v>3933</v>
      </c>
      <c r="G564" s="2" t="s">
        <v>3935</v>
      </c>
      <c r="H564" s="8">
        <v>500.6</v>
      </c>
      <c r="I564" s="2" t="s">
        <v>22</v>
      </c>
      <c r="J564" s="2" t="s">
        <v>26</v>
      </c>
      <c r="K564" s="2">
        <v>8</v>
      </c>
      <c r="L564" s="2" t="s">
        <v>20</v>
      </c>
      <c r="M564" s="2">
        <v>1990</v>
      </c>
      <c r="N564" s="3" t="s">
        <v>3936</v>
      </c>
      <c r="O564" s="3" t="s">
        <v>3921</v>
      </c>
      <c r="P564" s="3" t="s">
        <v>3937</v>
      </c>
      <c r="Q564" s="2">
        <v>2843</v>
      </c>
    </row>
    <row r="565" spans="1:17" ht="143.25" customHeight="1" x14ac:dyDescent="0.25">
      <c r="A565" s="5" t="str">
        <f>_xll.JChemExcel.Functions.JCSYSStructure("DC2FD72EEFE78777C09753640750099B")</f>
        <v/>
      </c>
      <c r="B565" s="3" t="s">
        <v>3938</v>
      </c>
      <c r="C565" s="3" t="s">
        <v>3939</v>
      </c>
      <c r="D565" s="2" t="s">
        <v>3941</v>
      </c>
      <c r="E565" s="2" t="s">
        <v>7696</v>
      </c>
      <c r="F565" s="3" t="s">
        <v>3940</v>
      </c>
      <c r="G565" s="2" t="s">
        <v>3942</v>
      </c>
      <c r="H565" s="8">
        <v>434.4</v>
      </c>
      <c r="I565" s="2" t="s">
        <v>22</v>
      </c>
      <c r="J565" s="2" t="s">
        <v>26</v>
      </c>
      <c r="K565" s="2">
        <v>8</v>
      </c>
      <c r="L565" s="2" t="s">
        <v>20</v>
      </c>
      <c r="M565" s="2" t="s">
        <v>3943</v>
      </c>
      <c r="N565" s="3" t="s">
        <v>269</v>
      </c>
      <c r="O565" s="3" t="s">
        <v>1722</v>
      </c>
      <c r="P565" s="3" t="s">
        <v>3944</v>
      </c>
      <c r="Q565" s="2">
        <v>2843</v>
      </c>
    </row>
    <row r="566" spans="1:17" ht="143.25" customHeight="1" x14ac:dyDescent="0.25">
      <c r="A566" s="5" t="str">
        <f>_xll.JChemExcel.Functions.JCSYSStructure("CE7A2B284767241EA548131B1E83D973")</f>
        <v/>
      </c>
      <c r="B566" s="3" t="s">
        <v>3945</v>
      </c>
      <c r="C566" s="3" t="s">
        <v>3946</v>
      </c>
      <c r="D566" s="2" t="s">
        <v>3948</v>
      </c>
      <c r="E566" s="2" t="s">
        <v>7697</v>
      </c>
      <c r="F566" s="3" t="s">
        <v>3947</v>
      </c>
      <c r="G566" s="2" t="s">
        <v>3949</v>
      </c>
      <c r="H566" s="8">
        <v>82.103840000000005</v>
      </c>
      <c r="I566" s="2" t="s">
        <v>22</v>
      </c>
      <c r="J566" s="2" t="s">
        <v>26</v>
      </c>
      <c r="K566" s="2">
        <v>8</v>
      </c>
      <c r="L566" s="2" t="s">
        <v>20</v>
      </c>
      <c r="M566" s="2">
        <v>1997</v>
      </c>
      <c r="N566" s="3" t="s">
        <v>3950</v>
      </c>
      <c r="O566" s="3" t="s">
        <v>3951</v>
      </c>
      <c r="P566" s="3" t="s">
        <v>3952</v>
      </c>
      <c r="Q566" s="2">
        <v>2843</v>
      </c>
    </row>
    <row r="567" spans="1:17" ht="143.25" customHeight="1" x14ac:dyDescent="0.25">
      <c r="A567" s="5" t="str">
        <f>_xll.JChemExcel.Functions.JCSYSStructure("71132B285C4F18AA2403EE7F05C9DF15")</f>
        <v/>
      </c>
      <c r="B567" s="3" t="s">
        <v>3953</v>
      </c>
      <c r="C567" s="3" t="s">
        <v>3954</v>
      </c>
      <c r="D567" s="2" t="s">
        <v>3956</v>
      </c>
      <c r="E567" s="2" t="s">
        <v>7698</v>
      </c>
      <c r="F567" s="3" t="s">
        <v>3955</v>
      </c>
      <c r="G567" s="2" t="s">
        <v>3957</v>
      </c>
      <c r="H567" s="8">
        <v>344.4</v>
      </c>
      <c r="I567" s="2" t="s">
        <v>22</v>
      </c>
      <c r="J567" s="2" t="s">
        <v>26</v>
      </c>
      <c r="K567" s="2">
        <v>8</v>
      </c>
      <c r="L567" s="2" t="s">
        <v>20</v>
      </c>
      <c r="M567" s="2">
        <v>2001</v>
      </c>
      <c r="N567" s="3" t="s">
        <v>3958</v>
      </c>
      <c r="O567" s="3" t="s">
        <v>3959</v>
      </c>
      <c r="P567" s="3" t="s">
        <v>3960</v>
      </c>
      <c r="Q567" s="2">
        <v>2843</v>
      </c>
    </row>
    <row r="568" spans="1:17" ht="143.25" customHeight="1" x14ac:dyDescent="0.25">
      <c r="A568" s="5" t="str">
        <f>_xll.JChemExcel.Functions.JCSYSStructure("817A0E2344D36827DDDF9452360D1F1E")</f>
        <v/>
      </c>
      <c r="B568" s="3" t="s">
        <v>3961</v>
      </c>
      <c r="C568" s="3" t="s">
        <v>3962</v>
      </c>
      <c r="D568" s="2" t="s">
        <v>3963</v>
      </c>
      <c r="E568" s="2" t="s">
        <v>7699</v>
      </c>
      <c r="F568" s="3" t="s">
        <v>8019</v>
      </c>
      <c r="G568" s="2" t="s">
        <v>3964</v>
      </c>
      <c r="H568" s="8">
        <v>300</v>
      </c>
      <c r="I568" s="2" t="s">
        <v>22</v>
      </c>
      <c r="J568" s="2" t="s">
        <v>1013</v>
      </c>
      <c r="K568" s="2">
        <v>8</v>
      </c>
      <c r="L568" s="2" t="s">
        <v>20</v>
      </c>
      <c r="M568" s="2">
        <v>1991</v>
      </c>
      <c r="N568" s="3" t="s">
        <v>2396</v>
      </c>
      <c r="O568" s="3" t="s">
        <v>3965</v>
      </c>
      <c r="P568" s="3" t="s">
        <v>3966</v>
      </c>
      <c r="Q568" s="2">
        <v>2843</v>
      </c>
    </row>
    <row r="569" spans="1:17" ht="143.25" customHeight="1" x14ac:dyDescent="0.25">
      <c r="A569" s="5" t="str">
        <f>_xll.JChemExcel.Functions.JCSYSStructure("529601821D378BD27CF649E2507D89ED")</f>
        <v/>
      </c>
      <c r="B569" s="3" t="s">
        <v>3967</v>
      </c>
      <c r="C569" s="3" t="s">
        <v>3968</v>
      </c>
      <c r="D569" s="2" t="s">
        <v>3970</v>
      </c>
      <c r="E569" s="2" t="s">
        <v>7700</v>
      </c>
      <c r="F569" s="3" t="s">
        <v>3969</v>
      </c>
      <c r="G569" s="2" t="s">
        <v>3971</v>
      </c>
      <c r="H569" s="8">
        <v>176.1</v>
      </c>
      <c r="I569" s="2" t="s">
        <v>22</v>
      </c>
      <c r="J569" s="2" t="s">
        <v>1013</v>
      </c>
      <c r="K569" s="2">
        <v>8</v>
      </c>
      <c r="L569" s="2" t="s">
        <v>20</v>
      </c>
      <c r="M569" s="2">
        <v>1996</v>
      </c>
      <c r="N569" s="3" t="s">
        <v>1583</v>
      </c>
      <c r="O569" s="3" t="s">
        <v>3972</v>
      </c>
      <c r="P569" s="3" t="s">
        <v>3973</v>
      </c>
      <c r="Q569" s="2">
        <v>2843</v>
      </c>
    </row>
    <row r="570" spans="1:17" ht="143.25" customHeight="1" x14ac:dyDescent="0.25">
      <c r="A570" s="5" t="str">
        <f>_xll.JChemExcel.Functions.JCSYSStructure("E6B75167DA574254421DBE7469A52A6D")</f>
        <v/>
      </c>
      <c r="B570" s="3" t="s">
        <v>3974</v>
      </c>
      <c r="C570" s="3" t="s">
        <v>3975</v>
      </c>
      <c r="D570" s="2" t="s">
        <v>3978</v>
      </c>
      <c r="E570" s="2" t="s">
        <v>7701</v>
      </c>
      <c r="F570" s="3" t="s">
        <v>3976</v>
      </c>
      <c r="G570" s="2" t="s">
        <v>3979</v>
      </c>
      <c r="H570" s="8" t="s">
        <v>3977</v>
      </c>
      <c r="I570" s="2" t="s">
        <v>22</v>
      </c>
      <c r="J570" s="2" t="s">
        <v>1013</v>
      </c>
      <c r="K570" s="2">
        <v>8</v>
      </c>
      <c r="L570" s="2" t="s">
        <v>20</v>
      </c>
      <c r="M570" s="2" t="e">
        <v>#N/A</v>
      </c>
      <c r="N570" s="3" t="s">
        <v>3980</v>
      </c>
      <c r="O570" s="3" t="s">
        <v>3981</v>
      </c>
      <c r="P570" s="3" t="s">
        <v>3982</v>
      </c>
      <c r="Q570" s="2">
        <v>2843</v>
      </c>
    </row>
    <row r="571" spans="1:17" ht="143.25" customHeight="1" x14ac:dyDescent="0.25">
      <c r="A571" s="5" t="str">
        <f>_xll.JChemExcel.Functions.JCSYSStructure("8C6F7236DC9E3409581A466387D51AF1")</f>
        <v/>
      </c>
      <c r="B571" s="3" t="s">
        <v>3983</v>
      </c>
      <c r="C571" s="3" t="s">
        <v>3984</v>
      </c>
      <c r="D571" s="2" t="s">
        <v>3986</v>
      </c>
      <c r="E571" s="2" t="s">
        <v>7702</v>
      </c>
      <c r="F571" s="3" t="s">
        <v>3985</v>
      </c>
      <c r="G571" s="2" t="s">
        <v>3987</v>
      </c>
      <c r="H571" s="8">
        <v>389.4</v>
      </c>
      <c r="I571" s="2" t="s">
        <v>22</v>
      </c>
      <c r="J571" s="2" t="s">
        <v>1013</v>
      </c>
      <c r="K571" s="2">
        <v>8</v>
      </c>
      <c r="L571" s="2" t="s">
        <v>20</v>
      </c>
      <c r="M571" s="2">
        <v>2003</v>
      </c>
      <c r="N571" s="3" t="s">
        <v>23</v>
      </c>
      <c r="O571" s="3" t="s">
        <v>3988</v>
      </c>
      <c r="P571" s="3" t="s">
        <v>3989</v>
      </c>
      <c r="Q571" s="2">
        <v>2843</v>
      </c>
    </row>
    <row r="572" spans="1:17" ht="143.25" customHeight="1" x14ac:dyDescent="0.25">
      <c r="A572" s="5" t="str">
        <f>_xll.JChemExcel.Functions.JCSYSStructure("3778ACF62DACFAC597ADB7E71BC42CD1")</f>
        <v/>
      </c>
      <c r="B572" s="3" t="s">
        <v>3990</v>
      </c>
      <c r="C572" s="3" t="s">
        <v>3991</v>
      </c>
      <c r="D572" s="2" t="s">
        <v>3993</v>
      </c>
      <c r="E572" s="2" t="s">
        <v>7703</v>
      </c>
      <c r="F572" s="3" t="s">
        <v>3992</v>
      </c>
      <c r="G572" s="2" t="s">
        <v>3994</v>
      </c>
      <c r="H572" s="8">
        <v>445.3</v>
      </c>
      <c r="I572" s="2" t="s">
        <v>22</v>
      </c>
      <c r="J572" s="2" t="s">
        <v>26</v>
      </c>
      <c r="K572" s="2">
        <v>8</v>
      </c>
      <c r="L572" s="2" t="s">
        <v>20</v>
      </c>
      <c r="M572" s="2">
        <v>1961</v>
      </c>
      <c r="N572" s="3" t="s">
        <v>3995</v>
      </c>
      <c r="O572" s="3" t="s">
        <v>3996</v>
      </c>
      <c r="P572" s="3" t="s">
        <v>3997</v>
      </c>
      <c r="Q572" s="2">
        <v>2843</v>
      </c>
    </row>
    <row r="573" spans="1:17" ht="143.25" customHeight="1" x14ac:dyDescent="0.25">
      <c r="A573" s="5" t="str">
        <f>_xll.JChemExcel.Functions.JCSYSStructure("4667ABD8D4B2CF6C3D384188FCC0F789")</f>
        <v/>
      </c>
      <c r="B573" s="3" t="s">
        <v>3998</v>
      </c>
      <c r="C573" s="3" t="s">
        <v>3999</v>
      </c>
      <c r="D573" s="2" t="s">
        <v>4001</v>
      </c>
      <c r="E573" s="2" t="s">
        <v>7704</v>
      </c>
      <c r="F573" s="3" t="s">
        <v>4000</v>
      </c>
      <c r="G573" s="2" t="s">
        <v>4002</v>
      </c>
      <c r="H573" s="8">
        <v>352.8</v>
      </c>
      <c r="I573" s="2" t="s">
        <v>22</v>
      </c>
      <c r="J573" s="2" t="s">
        <v>26</v>
      </c>
      <c r="K573" s="2">
        <v>8</v>
      </c>
      <c r="L573" s="2" t="s">
        <v>20</v>
      </c>
      <c r="M573" s="2">
        <v>1962</v>
      </c>
      <c r="N573" s="3" t="s">
        <v>676</v>
      </c>
      <c r="O573" s="3" t="s">
        <v>4003</v>
      </c>
      <c r="P573" s="3" t="s">
        <v>4004</v>
      </c>
      <c r="Q573" s="2">
        <v>2843</v>
      </c>
    </row>
    <row r="574" spans="1:17" ht="143.25" customHeight="1" x14ac:dyDescent="0.25">
      <c r="A574" s="5" t="str">
        <f>_xll.JChemExcel.Functions.JCSYSStructure("A7A1B4AA0355B2832FD85A3FC198F633")</f>
        <v/>
      </c>
      <c r="B574" s="3" t="s">
        <v>4005</v>
      </c>
      <c r="C574" s="3" t="s">
        <v>4006</v>
      </c>
      <c r="D574" s="2" t="s">
        <v>4008</v>
      </c>
      <c r="E574" s="2" t="s">
        <v>7705</v>
      </c>
      <c r="F574" s="3" t="s">
        <v>4007</v>
      </c>
      <c r="G574" s="2" t="s">
        <v>4009</v>
      </c>
      <c r="H574" s="8">
        <v>95.5</v>
      </c>
      <c r="I574" s="2" t="s">
        <v>22</v>
      </c>
      <c r="J574" s="2" t="s">
        <v>26</v>
      </c>
      <c r="K574" s="2">
        <v>8</v>
      </c>
      <c r="L574" s="2" t="s">
        <v>20</v>
      </c>
      <c r="M574" s="2">
        <v>1939</v>
      </c>
      <c r="N574" s="3" t="s">
        <v>4010</v>
      </c>
      <c r="O574" s="3" t="s">
        <v>4011</v>
      </c>
      <c r="P574" s="3" t="s">
        <v>4012</v>
      </c>
      <c r="Q574" s="2">
        <v>2843</v>
      </c>
    </row>
    <row r="575" spans="1:17" ht="143.25" customHeight="1" x14ac:dyDescent="0.25">
      <c r="A575" s="5" t="str">
        <f>_xll.JChemExcel.Functions.JCSYSStructure("0B58142CA8F991EDEB82B9AB9957963B")</f>
        <v/>
      </c>
      <c r="B575" s="3" t="s">
        <v>4013</v>
      </c>
      <c r="C575" s="3" t="s">
        <v>4014</v>
      </c>
      <c r="D575" s="2" t="s">
        <v>4016</v>
      </c>
      <c r="E575" s="2" t="s">
        <v>7706</v>
      </c>
      <c r="F575" s="3" t="s">
        <v>4015</v>
      </c>
      <c r="G575" s="2" t="s">
        <v>4017</v>
      </c>
      <c r="H575" s="8">
        <v>454.95928300000003</v>
      </c>
      <c r="I575" s="2" t="s">
        <v>22</v>
      </c>
      <c r="J575" s="2" t="s">
        <v>26</v>
      </c>
      <c r="K575" s="2">
        <v>8</v>
      </c>
      <c r="L575" s="2" t="s">
        <v>20</v>
      </c>
      <c r="M575" s="2">
        <v>1974</v>
      </c>
      <c r="N575" s="3" t="s">
        <v>2882</v>
      </c>
      <c r="O575" s="3" t="s">
        <v>4018</v>
      </c>
      <c r="P575" s="3" t="s">
        <v>4019</v>
      </c>
      <c r="Q575" s="2">
        <v>2843</v>
      </c>
    </row>
    <row r="576" spans="1:17" ht="143.25" customHeight="1" x14ac:dyDescent="0.25">
      <c r="A576" s="5" t="str">
        <f>_xll.JChemExcel.Functions.JCSYSStructure("E49872BBAE0905E37CD30EC59A4239C3")</f>
        <v/>
      </c>
      <c r="B576" s="3" t="s">
        <v>4020</v>
      </c>
      <c r="C576" s="3" t="s">
        <v>4021</v>
      </c>
      <c r="D576" s="2" t="s">
        <v>4023</v>
      </c>
      <c r="E576" s="2" t="s">
        <v>7707</v>
      </c>
      <c r="F576" s="3" t="s">
        <v>4022</v>
      </c>
      <c r="G576" s="2" t="s">
        <v>4024</v>
      </c>
      <c r="H576" s="8">
        <v>485</v>
      </c>
      <c r="I576" s="2" t="s">
        <v>22</v>
      </c>
      <c r="J576" s="2" t="s">
        <v>26</v>
      </c>
      <c r="K576" s="2">
        <v>8</v>
      </c>
      <c r="L576" s="2" t="s">
        <v>20</v>
      </c>
      <c r="M576" s="2">
        <v>1990</v>
      </c>
      <c r="N576" s="3" t="s">
        <v>4025</v>
      </c>
      <c r="O576" s="3" t="s">
        <v>4026</v>
      </c>
      <c r="P576" s="3" t="s">
        <v>4027</v>
      </c>
      <c r="Q576" s="2">
        <v>2843</v>
      </c>
    </row>
    <row r="577" spans="1:17" ht="143.25" customHeight="1" x14ac:dyDescent="0.25">
      <c r="A577" s="5" t="str">
        <f>_xll.JChemExcel.Functions.JCSYSStructure("DD5BF11A0A730EA03BB011CCF37EA6A7")</f>
        <v/>
      </c>
      <c r="B577" s="3" t="s">
        <v>4028</v>
      </c>
      <c r="C577" s="3" t="s">
        <v>4029</v>
      </c>
      <c r="D577" s="2" t="s">
        <v>4031</v>
      </c>
      <c r="E577" s="2" t="s">
        <v>7708</v>
      </c>
      <c r="F577" s="3" t="s">
        <v>4030</v>
      </c>
      <c r="G577" s="2" t="s">
        <v>4032</v>
      </c>
      <c r="H577" s="8">
        <v>406.9</v>
      </c>
      <c r="I577" s="2" t="s">
        <v>22</v>
      </c>
      <c r="J577" s="2" t="s">
        <v>26</v>
      </c>
      <c r="K577" s="2">
        <v>8</v>
      </c>
      <c r="L577" s="2" t="s">
        <v>20</v>
      </c>
      <c r="M577" s="2" t="s">
        <v>124</v>
      </c>
      <c r="N577" s="3" t="s">
        <v>4033</v>
      </c>
      <c r="O577" s="3" t="s">
        <v>4034</v>
      </c>
      <c r="P577" s="3" t="s">
        <v>4035</v>
      </c>
      <c r="Q577" s="2">
        <v>2843</v>
      </c>
    </row>
    <row r="578" spans="1:17" ht="143.25" customHeight="1" x14ac:dyDescent="0.25">
      <c r="A578" s="5" t="str">
        <f>_xll.JChemExcel.Functions.JCSYSStructure("0AFE5A24F7736CF8565DB0721D1D7347")</f>
        <v/>
      </c>
      <c r="B578" s="3" t="s">
        <v>4036</v>
      </c>
      <c r="C578" s="3" t="s">
        <v>4037</v>
      </c>
      <c r="D578" s="2" t="s">
        <v>4039</v>
      </c>
      <c r="E578" s="2" t="s">
        <v>7709</v>
      </c>
      <c r="F578" s="3" t="s">
        <v>4038</v>
      </c>
      <c r="G578" s="2" t="s">
        <v>4040</v>
      </c>
      <c r="H578" s="8">
        <v>370.3</v>
      </c>
      <c r="I578" s="2" t="s">
        <v>22</v>
      </c>
      <c r="J578" s="2" t="s">
        <v>26</v>
      </c>
      <c r="K578" s="2">
        <v>8</v>
      </c>
      <c r="L578" s="2" t="s">
        <v>20</v>
      </c>
      <c r="M578" s="2">
        <v>1943</v>
      </c>
      <c r="N578" s="3" t="s">
        <v>4041</v>
      </c>
      <c r="O578" s="3" t="s">
        <v>4042</v>
      </c>
      <c r="P578" s="3" t="s">
        <v>4043</v>
      </c>
      <c r="Q578" s="2">
        <v>2843</v>
      </c>
    </row>
    <row r="579" spans="1:17" ht="143.25" customHeight="1" x14ac:dyDescent="0.25">
      <c r="A579" s="5" t="str">
        <f>_xll.JChemExcel.Functions.JCSYSStructure("8632664571AC5B13717789A8C060074A")</f>
        <v/>
      </c>
      <c r="B579" s="3" t="s">
        <v>4044</v>
      </c>
      <c r="C579" s="3" t="s">
        <v>4045</v>
      </c>
      <c r="D579" s="2" t="s">
        <v>4046</v>
      </c>
      <c r="E579" s="2" t="s">
        <v>7710</v>
      </c>
      <c r="F579" s="3" t="s">
        <v>8020</v>
      </c>
      <c r="G579" s="2" t="s">
        <v>4047</v>
      </c>
      <c r="H579" s="8">
        <v>196.6</v>
      </c>
      <c r="I579" s="2" t="s">
        <v>22</v>
      </c>
      <c r="J579" s="2" t="s">
        <v>26</v>
      </c>
      <c r="K579" s="2">
        <v>8</v>
      </c>
      <c r="L579" s="2" t="s">
        <v>20</v>
      </c>
      <c r="M579" s="2">
        <v>1953</v>
      </c>
      <c r="N579" s="3" t="s">
        <v>2564</v>
      </c>
      <c r="O579" s="3" t="s">
        <v>4048</v>
      </c>
      <c r="P579" s="3" t="s">
        <v>4049</v>
      </c>
      <c r="Q579" s="2">
        <v>2843</v>
      </c>
    </row>
    <row r="580" spans="1:17" ht="143.25" customHeight="1" x14ac:dyDescent="0.25">
      <c r="A580" s="5" t="str">
        <f>_xll.JChemExcel.Functions.JCSYSStructure("FD1C178A9A910A3000AC23986AAF5E94")</f>
        <v/>
      </c>
      <c r="B580" s="3" t="s">
        <v>4050</v>
      </c>
      <c r="C580" s="3" t="s">
        <v>4051</v>
      </c>
      <c r="D580" s="2" t="s">
        <v>4053</v>
      </c>
      <c r="E580" s="2" t="s">
        <v>7711</v>
      </c>
      <c r="F580" s="3" t="s">
        <v>4052</v>
      </c>
      <c r="G580" s="2" t="s">
        <v>4054</v>
      </c>
      <c r="H580" s="8">
        <v>297.7</v>
      </c>
      <c r="I580" s="2" t="s">
        <v>22</v>
      </c>
      <c r="J580" s="2" t="s">
        <v>26</v>
      </c>
      <c r="K580" s="2">
        <v>8</v>
      </c>
      <c r="L580" s="2" t="s">
        <v>20</v>
      </c>
      <c r="M580" s="2">
        <v>1959</v>
      </c>
      <c r="N580" s="3" t="s">
        <v>2062</v>
      </c>
      <c r="O580" s="3" t="s">
        <v>4055</v>
      </c>
      <c r="P580" s="3" t="s">
        <v>4056</v>
      </c>
      <c r="Q580" s="2">
        <v>2843</v>
      </c>
    </row>
    <row r="581" spans="1:17" ht="143.25" customHeight="1" x14ac:dyDescent="0.25">
      <c r="A581" s="5" t="str">
        <f>_xll.JChemExcel.Functions.JCSYSStructure("7A00ACE3F7048465ACE224B992FD7E72")</f>
        <v/>
      </c>
      <c r="B581" s="3" t="s">
        <v>4057</v>
      </c>
      <c r="C581" s="3" t="s">
        <v>4058</v>
      </c>
      <c r="D581" s="2" t="s">
        <v>4060</v>
      </c>
      <c r="E581" s="2" t="s">
        <v>7712</v>
      </c>
      <c r="F581" s="3" t="s">
        <v>4059</v>
      </c>
      <c r="G581" s="2" t="s">
        <v>4061</v>
      </c>
      <c r="H581" s="8">
        <v>331.3</v>
      </c>
      <c r="I581" s="2" t="s">
        <v>22</v>
      </c>
      <c r="J581" s="2" t="s">
        <v>26</v>
      </c>
      <c r="K581" s="2">
        <v>8</v>
      </c>
      <c r="L581" s="2" t="s">
        <v>20</v>
      </c>
      <c r="M581" s="2">
        <v>1959</v>
      </c>
      <c r="N581" s="3" t="s">
        <v>2062</v>
      </c>
      <c r="O581" s="3" t="s">
        <v>4055</v>
      </c>
      <c r="P581" s="3" t="s">
        <v>4062</v>
      </c>
      <c r="Q581" s="2">
        <v>2843</v>
      </c>
    </row>
    <row r="582" spans="1:17" ht="143.25" customHeight="1" x14ac:dyDescent="0.25">
      <c r="A582" s="5" t="str">
        <f>_xll.JChemExcel.Functions.JCSYSStructure("41EAD3C736C2603D4CF1C4E3FA73472E")</f>
        <v/>
      </c>
      <c r="B582" s="3" t="s">
        <v>4063</v>
      </c>
      <c r="C582" s="3" t="s">
        <v>4064</v>
      </c>
      <c r="D582" s="2" t="s">
        <v>4066</v>
      </c>
      <c r="E582" s="2" t="s">
        <v>7713</v>
      </c>
      <c r="F582" s="3" t="s">
        <v>4065</v>
      </c>
      <c r="G582" s="2" t="s">
        <v>4067</v>
      </c>
      <c r="H582" s="8">
        <v>1383.8</v>
      </c>
      <c r="I582" s="2" t="s">
        <v>22</v>
      </c>
      <c r="J582" s="2" t="s">
        <v>26</v>
      </c>
      <c r="K582" s="2">
        <v>8</v>
      </c>
      <c r="L582" s="2" t="s">
        <v>20</v>
      </c>
      <c r="M582" s="2" t="s">
        <v>124</v>
      </c>
      <c r="N582" s="3" t="s">
        <v>4068</v>
      </c>
      <c r="O582" s="3" t="s">
        <v>4069</v>
      </c>
      <c r="P582" s="3" t="s">
        <v>4070</v>
      </c>
      <c r="Q582" s="2">
        <v>2843</v>
      </c>
    </row>
    <row r="583" spans="1:17" ht="143.25" customHeight="1" x14ac:dyDescent="0.25">
      <c r="A583" s="5" t="str">
        <f>_xll.JChemExcel.Functions.JCSYSStructure("28924CEFA5BCD8EA25810556A1FE8C28")</f>
        <v/>
      </c>
      <c r="B583" s="3" t="s">
        <v>4071</v>
      </c>
      <c r="C583" s="3" t="s">
        <v>4072</v>
      </c>
      <c r="D583" s="2" t="s">
        <v>4074</v>
      </c>
      <c r="E583" s="2" t="s">
        <v>7714</v>
      </c>
      <c r="F583" s="3" t="s">
        <v>4073</v>
      </c>
      <c r="G583" s="2" t="s">
        <v>4075</v>
      </c>
      <c r="H583" s="8">
        <v>434</v>
      </c>
      <c r="I583" s="2" t="s">
        <v>22</v>
      </c>
      <c r="J583" s="2" t="s">
        <v>1013</v>
      </c>
      <c r="K583" s="2">
        <v>8</v>
      </c>
      <c r="L583" s="2" t="s">
        <v>20</v>
      </c>
      <c r="M583" s="2">
        <v>1955</v>
      </c>
      <c r="N583" s="3" t="s">
        <v>4076</v>
      </c>
      <c r="O583" s="3" t="s">
        <v>4077</v>
      </c>
      <c r="P583" s="3" t="s">
        <v>4078</v>
      </c>
      <c r="Q583" s="2">
        <v>2843</v>
      </c>
    </row>
    <row r="584" spans="1:17" ht="143.25" customHeight="1" x14ac:dyDescent="0.25">
      <c r="A584" s="5" t="str">
        <f>_xll.JChemExcel.Functions.JCSYSStructure("F8F30FCC62CB3FC8FFBF46890928A1FD")</f>
        <v/>
      </c>
      <c r="B584" s="3" t="s">
        <v>4079</v>
      </c>
      <c r="C584" s="3" t="s">
        <v>4080</v>
      </c>
      <c r="D584" s="2" t="s">
        <v>4082</v>
      </c>
      <c r="E584" s="2" t="s">
        <v>7715</v>
      </c>
      <c r="F584" s="3" t="s">
        <v>4081</v>
      </c>
      <c r="G584" s="2" t="s">
        <v>4083</v>
      </c>
      <c r="H584" s="8">
        <v>76.099999999999994</v>
      </c>
      <c r="I584" s="2" t="s">
        <v>22</v>
      </c>
      <c r="J584" s="2" t="s">
        <v>26</v>
      </c>
      <c r="K584" s="2">
        <v>8</v>
      </c>
      <c r="L584" s="2" t="s">
        <v>20</v>
      </c>
      <c r="M584" s="2">
        <v>1967</v>
      </c>
      <c r="N584" s="3" t="s">
        <v>563</v>
      </c>
      <c r="O584" s="3" t="s">
        <v>4084</v>
      </c>
      <c r="P584" s="3" t="s">
        <v>4085</v>
      </c>
      <c r="Q584" s="2">
        <v>2843</v>
      </c>
    </row>
    <row r="585" spans="1:17" ht="143.25" customHeight="1" x14ac:dyDescent="0.25">
      <c r="A585" s="5" t="str">
        <f>_xll.JChemExcel.Functions.JCSYSStructure("087EA76712E5B323C255633482CAF7AA")</f>
        <v/>
      </c>
      <c r="B585" s="3" t="s">
        <v>4086</v>
      </c>
      <c r="C585" s="3" t="s">
        <v>4087</v>
      </c>
      <c r="D585" s="2" t="s">
        <v>4088</v>
      </c>
      <c r="E585" s="2" t="s">
        <v>7716</v>
      </c>
      <c r="F585" s="3" t="s">
        <v>8021</v>
      </c>
      <c r="G585" s="2" t="s">
        <v>8022</v>
      </c>
      <c r="H585" s="8">
        <v>447.8</v>
      </c>
      <c r="I585" s="2" t="s">
        <v>22</v>
      </c>
      <c r="J585" s="2" t="s">
        <v>26</v>
      </c>
      <c r="K585" s="2">
        <v>8</v>
      </c>
      <c r="L585" s="2" t="s">
        <v>20</v>
      </c>
      <c r="M585" s="2">
        <v>1956</v>
      </c>
      <c r="N585" s="3" t="s">
        <v>4089</v>
      </c>
      <c r="O585" s="3" t="s">
        <v>4090</v>
      </c>
      <c r="P585" s="3" t="s">
        <v>4091</v>
      </c>
      <c r="Q585" s="2">
        <v>2843</v>
      </c>
    </row>
    <row r="586" spans="1:17" ht="143.25" customHeight="1" x14ac:dyDescent="0.25">
      <c r="A586" s="5" t="str">
        <f>_xll.JChemExcel.Functions.JCSYSStructure("2D89209176AD0D4B8AB1FE63B0632DC2")</f>
        <v/>
      </c>
      <c r="B586" s="3" t="s">
        <v>4092</v>
      </c>
      <c r="C586" s="3" t="s">
        <v>4093</v>
      </c>
      <c r="D586" s="2" t="s">
        <v>4095</v>
      </c>
      <c r="E586" s="2" t="s">
        <v>7717</v>
      </c>
      <c r="F586" s="3" t="s">
        <v>4094</v>
      </c>
      <c r="G586" s="2" t="s">
        <v>4096</v>
      </c>
      <c r="H586" s="8">
        <v>442.6</v>
      </c>
      <c r="I586" s="2" t="s">
        <v>22</v>
      </c>
      <c r="J586" s="2" t="s">
        <v>26</v>
      </c>
      <c r="K586" s="2">
        <v>8</v>
      </c>
      <c r="L586" s="2" t="s">
        <v>20</v>
      </c>
      <c r="M586" s="2">
        <v>1995</v>
      </c>
      <c r="N586" s="3" t="s">
        <v>4097</v>
      </c>
      <c r="O586" s="3" t="s">
        <v>4098</v>
      </c>
      <c r="P586" s="3" t="s">
        <v>4099</v>
      </c>
      <c r="Q586" s="2">
        <v>2843</v>
      </c>
    </row>
    <row r="587" spans="1:17" ht="143.25" customHeight="1" x14ac:dyDescent="0.25">
      <c r="A587" s="5" t="str">
        <f>_xll.JChemExcel.Functions.JCSYSStructure("FC2F382B67F605E7039D9ECD93D59115")</f>
        <v/>
      </c>
      <c r="B587" s="3" t="s">
        <v>4100</v>
      </c>
      <c r="C587" s="3" t="s">
        <v>4101</v>
      </c>
      <c r="D587" s="2" t="s">
        <v>4103</v>
      </c>
      <c r="E587" s="2" t="s">
        <v>7718</v>
      </c>
      <c r="F587" s="3" t="s">
        <v>4102</v>
      </c>
      <c r="G587" s="2" t="s">
        <v>4104</v>
      </c>
      <c r="H587" s="8">
        <v>426.5</v>
      </c>
      <c r="I587" s="2" t="s">
        <v>22</v>
      </c>
      <c r="J587" s="2" t="s">
        <v>26</v>
      </c>
      <c r="K587" s="2">
        <v>8</v>
      </c>
      <c r="L587" s="2" t="s">
        <v>20</v>
      </c>
      <c r="M587" s="2">
        <v>2009</v>
      </c>
      <c r="N587" s="3" t="s">
        <v>4105</v>
      </c>
      <c r="O587" s="3" t="s">
        <v>4106</v>
      </c>
      <c r="P587" s="3" t="s">
        <v>4107</v>
      </c>
      <c r="Q587" s="2">
        <v>2843</v>
      </c>
    </row>
    <row r="588" spans="1:17" ht="143.25" customHeight="1" x14ac:dyDescent="0.25">
      <c r="A588" s="5" t="str">
        <f>_xll.JChemExcel.Functions.JCSYSStructure("7B837828080FE138A2D53B0B2E5C4448")</f>
        <v/>
      </c>
      <c r="B588" s="3" t="s">
        <v>4108</v>
      </c>
      <c r="C588" s="3" t="s">
        <v>4109</v>
      </c>
      <c r="D588" s="2" t="s">
        <v>4111</v>
      </c>
      <c r="E588" s="2" t="s">
        <v>7719</v>
      </c>
      <c r="F588" s="3" t="s">
        <v>4110</v>
      </c>
      <c r="G588" s="2" t="s">
        <v>4112</v>
      </c>
      <c r="H588" s="8">
        <v>613.79999999999995</v>
      </c>
      <c r="I588" s="2" t="s">
        <v>22</v>
      </c>
      <c r="J588" s="2" t="s">
        <v>26</v>
      </c>
      <c r="K588" s="2">
        <v>8</v>
      </c>
      <c r="L588" s="2" t="s">
        <v>20</v>
      </c>
      <c r="M588" s="2">
        <v>1996</v>
      </c>
      <c r="N588" s="3" t="s">
        <v>1134</v>
      </c>
      <c r="O588" s="3" t="s">
        <v>4113</v>
      </c>
      <c r="P588" s="3" t="s">
        <v>4114</v>
      </c>
      <c r="Q588" s="2">
        <v>2843</v>
      </c>
    </row>
    <row r="589" spans="1:17" ht="143.25" customHeight="1" x14ac:dyDescent="0.25">
      <c r="A589" s="5" t="str">
        <f>_xll.JChemExcel.Functions.JCSYSStructure("C677C35F4CFDE63E224EC9593269D6D1")</f>
        <v/>
      </c>
      <c r="B589" s="3" t="s">
        <v>4115</v>
      </c>
      <c r="C589" s="3" t="s">
        <v>4116</v>
      </c>
      <c r="D589" s="2" t="s">
        <v>4118</v>
      </c>
      <c r="E589" s="2" t="s">
        <v>7720</v>
      </c>
      <c r="F589" s="3" t="s">
        <v>4117</v>
      </c>
      <c r="G589" s="2" t="s">
        <v>4119</v>
      </c>
      <c r="H589" s="8">
        <v>428.5</v>
      </c>
      <c r="I589" s="2" t="s">
        <v>22</v>
      </c>
      <c r="J589" s="2" t="s">
        <v>26</v>
      </c>
      <c r="K589" s="2">
        <v>8</v>
      </c>
      <c r="L589" s="2" t="s">
        <v>20</v>
      </c>
      <c r="M589" s="2">
        <v>1997</v>
      </c>
      <c r="N589" s="3" t="s">
        <v>4120</v>
      </c>
      <c r="O589" s="3" t="s">
        <v>4121</v>
      </c>
      <c r="P589" s="3" t="s">
        <v>4122</v>
      </c>
      <c r="Q589" s="2">
        <v>2843</v>
      </c>
    </row>
    <row r="590" spans="1:17" ht="143.25" customHeight="1" x14ac:dyDescent="0.25">
      <c r="A590" s="5" t="str">
        <f>_xll.JChemExcel.Functions.JCSYSStructure("49058A283FBD90AFA9A20CEE3DA625AC")</f>
        <v/>
      </c>
      <c r="B590" s="3" t="s">
        <v>4123</v>
      </c>
      <c r="C590" s="3" t="s">
        <v>4124</v>
      </c>
      <c r="D590" s="2" t="s">
        <v>4125</v>
      </c>
      <c r="E590" s="2">
        <v>430139</v>
      </c>
      <c r="F590" s="3" t="s">
        <v>8023</v>
      </c>
      <c r="G590" s="2" t="s">
        <v>4126</v>
      </c>
      <c r="H590" s="8">
        <v>677.2</v>
      </c>
      <c r="I590" s="2" t="s">
        <v>22</v>
      </c>
      <c r="J590" s="2" t="s">
        <v>26</v>
      </c>
      <c r="K590" s="2">
        <v>8</v>
      </c>
      <c r="L590" s="2" t="s">
        <v>20</v>
      </c>
      <c r="M590" s="2">
        <v>1996</v>
      </c>
      <c r="N590" s="3" t="s">
        <v>4127</v>
      </c>
      <c r="O590" s="3" t="s">
        <v>2512</v>
      </c>
      <c r="P590" s="3" t="s">
        <v>4128</v>
      </c>
      <c r="Q590" s="2">
        <v>2843</v>
      </c>
    </row>
    <row r="591" spans="1:17" ht="143.25" customHeight="1" x14ac:dyDescent="0.25">
      <c r="A591" s="5" t="str">
        <f>_xll.JChemExcel.Functions.JCSYSStructure("92A7D543E048FB9F9223BF7DFD03BD1E")</f>
        <v/>
      </c>
      <c r="B591" s="3" t="s">
        <v>4129</v>
      </c>
      <c r="C591" s="3" t="s">
        <v>4130</v>
      </c>
      <c r="D591" s="2" t="s">
        <v>4132</v>
      </c>
      <c r="E591" s="2" t="s">
        <v>7721</v>
      </c>
      <c r="F591" s="3" t="s">
        <v>4131</v>
      </c>
      <c r="G591" s="2" t="s">
        <v>4133</v>
      </c>
      <c r="H591" s="8">
        <v>231.3</v>
      </c>
      <c r="I591" s="2" t="s">
        <v>22</v>
      </c>
      <c r="J591" s="2" t="s">
        <v>26</v>
      </c>
      <c r="K591" s="2">
        <v>8</v>
      </c>
      <c r="L591" s="2" t="s">
        <v>20</v>
      </c>
      <c r="M591" s="2">
        <v>1959</v>
      </c>
      <c r="N591" s="3" t="s">
        <v>4134</v>
      </c>
      <c r="O591" s="3" t="s">
        <v>4135</v>
      </c>
      <c r="P591" s="3" t="s">
        <v>4136</v>
      </c>
      <c r="Q591" s="2">
        <v>2843</v>
      </c>
    </row>
    <row r="592" spans="1:17" ht="143.25" customHeight="1" x14ac:dyDescent="0.25">
      <c r="A592" s="5" t="str">
        <f>_xll.JChemExcel.Functions.JCSYSStructure("54218041CD85EB4481B3D3679A7DD48C")</f>
        <v/>
      </c>
      <c r="B592" s="3" t="s">
        <v>4137</v>
      </c>
      <c r="C592" s="3" t="s">
        <v>4138</v>
      </c>
      <c r="D592" s="2" t="s">
        <v>4139</v>
      </c>
      <c r="E592" s="2">
        <v>400008</v>
      </c>
      <c r="F592" s="3" t="s">
        <v>8024</v>
      </c>
      <c r="G592" s="2" t="s">
        <v>4140</v>
      </c>
      <c r="H592" s="8">
        <v>236.1</v>
      </c>
      <c r="I592" s="2" t="s">
        <v>22</v>
      </c>
      <c r="J592" s="2" t="s">
        <v>26</v>
      </c>
      <c r="K592" s="2">
        <v>8</v>
      </c>
      <c r="L592" s="2" t="s">
        <v>20</v>
      </c>
      <c r="M592" s="2" t="s">
        <v>124</v>
      </c>
      <c r="N592" s="3" t="s">
        <v>4141</v>
      </c>
      <c r="O592" s="3" t="s">
        <v>4142</v>
      </c>
      <c r="P592" s="3" t="s">
        <v>4143</v>
      </c>
      <c r="Q592" s="2">
        <v>2843</v>
      </c>
    </row>
    <row r="593" spans="1:17" ht="143.25" customHeight="1" x14ac:dyDescent="0.25">
      <c r="A593" s="5" t="str">
        <f>_xll.JChemExcel.Functions.JCSYSStructure("BA39B1AA579F70EEA908AC5E0D563800")</f>
        <v/>
      </c>
      <c r="B593" s="3" t="s">
        <v>7233</v>
      </c>
      <c r="C593" s="3" t="s">
        <v>7232</v>
      </c>
      <c r="D593" s="2" t="s">
        <v>4144</v>
      </c>
      <c r="E593" s="2" t="s">
        <v>7722</v>
      </c>
      <c r="F593" s="3" t="s">
        <v>8025</v>
      </c>
      <c r="G593" s="2" t="s">
        <v>4145</v>
      </c>
      <c r="H593" s="8">
        <v>300.39999999999998</v>
      </c>
      <c r="I593" s="2" t="s">
        <v>22</v>
      </c>
      <c r="J593" s="2" t="s">
        <v>26</v>
      </c>
      <c r="K593" s="2">
        <v>8</v>
      </c>
      <c r="L593" s="2" t="s">
        <v>20</v>
      </c>
      <c r="M593" s="2">
        <v>1982</v>
      </c>
      <c r="N593" s="3" t="s">
        <v>4146</v>
      </c>
      <c r="O593" s="3" t="s">
        <v>4147</v>
      </c>
      <c r="P593" s="3" t="s">
        <v>4148</v>
      </c>
      <c r="Q593" s="2">
        <v>2843</v>
      </c>
    </row>
    <row r="594" spans="1:17" ht="143.25" customHeight="1" x14ac:dyDescent="0.25">
      <c r="A594" s="5" t="str">
        <f>_xll.JChemExcel.Functions.JCSYSStructure("FABB60D0B32F0A3B3B3C0B127E94CD8A")</f>
        <v/>
      </c>
      <c r="B594" s="3" t="s">
        <v>4149</v>
      </c>
      <c r="C594" s="3" t="s">
        <v>4150</v>
      </c>
      <c r="D594" s="2" t="s">
        <v>4152</v>
      </c>
      <c r="E594" s="2" t="s">
        <v>7723</v>
      </c>
      <c r="F594" s="3" t="s">
        <v>4151</v>
      </c>
      <c r="G594" s="2" t="s">
        <v>4153</v>
      </c>
      <c r="H594" s="8">
        <v>371.4</v>
      </c>
      <c r="I594" s="2" t="s">
        <v>22</v>
      </c>
      <c r="J594" s="2" t="s">
        <v>26</v>
      </c>
      <c r="K594" s="2">
        <v>8</v>
      </c>
      <c r="L594" s="2" t="s">
        <v>20</v>
      </c>
      <c r="M594" s="2">
        <v>1990</v>
      </c>
      <c r="N594" s="3" t="s">
        <v>214</v>
      </c>
      <c r="O594" s="3" t="s">
        <v>4154</v>
      </c>
      <c r="P594" s="3" t="s">
        <v>4155</v>
      </c>
      <c r="Q594" s="2">
        <v>2843</v>
      </c>
    </row>
    <row r="595" spans="1:17" ht="143.25" customHeight="1" x14ac:dyDescent="0.25">
      <c r="A595" s="5" t="str">
        <f>_xll.JChemExcel.Functions.JCSYSStructure("B365326447AD51086C28C6FDF792F64E")</f>
        <v/>
      </c>
      <c r="B595" s="3" t="s">
        <v>4156</v>
      </c>
      <c r="C595" s="3" t="s">
        <v>4157</v>
      </c>
      <c r="D595" s="2" t="s">
        <v>4158</v>
      </c>
      <c r="E595" s="2">
        <v>380049</v>
      </c>
      <c r="F595" s="3" t="s">
        <v>8026</v>
      </c>
      <c r="G595" s="2" t="s">
        <v>4159</v>
      </c>
      <c r="H595" s="8">
        <v>582.57712000000004</v>
      </c>
      <c r="I595" s="2" t="s">
        <v>22</v>
      </c>
      <c r="J595" s="2" t="s">
        <v>1013</v>
      </c>
      <c r="K595" s="2">
        <v>8</v>
      </c>
      <c r="L595" s="2" t="s">
        <v>20</v>
      </c>
      <c r="M595" s="2" t="s">
        <v>124</v>
      </c>
      <c r="N595" s="3" t="s">
        <v>23</v>
      </c>
      <c r="O595" s="3" t="s">
        <v>4160</v>
      </c>
      <c r="P595" s="3" t="s">
        <v>4161</v>
      </c>
      <c r="Q595" s="2">
        <v>2843</v>
      </c>
    </row>
    <row r="596" spans="1:17" ht="143.25" customHeight="1" x14ac:dyDescent="0.25">
      <c r="A596" s="5" t="str">
        <f>_xll.JChemExcel.Functions.JCSYSStructure("A0D66F5DD602C72887BDC101AC632122")</f>
        <v/>
      </c>
      <c r="B596" s="3" t="s">
        <v>4162</v>
      </c>
      <c r="C596" s="3" t="s">
        <v>4163</v>
      </c>
      <c r="D596" s="2" t="s">
        <v>4165</v>
      </c>
      <c r="E596" s="2" t="s">
        <v>7724</v>
      </c>
      <c r="F596" s="3" t="s">
        <v>4164</v>
      </c>
      <c r="G596" s="2" t="s">
        <v>4166</v>
      </c>
      <c r="H596" s="8">
        <v>376.4</v>
      </c>
      <c r="I596" s="2" t="s">
        <v>22</v>
      </c>
      <c r="J596" s="2" t="s">
        <v>1013</v>
      </c>
      <c r="K596" s="2">
        <v>8</v>
      </c>
      <c r="L596" s="2" t="s">
        <v>20</v>
      </c>
      <c r="M596" s="2">
        <v>1991</v>
      </c>
      <c r="N596" s="3" t="s">
        <v>4167</v>
      </c>
      <c r="O596" s="3" t="s">
        <v>4168</v>
      </c>
      <c r="P596" s="3" t="s">
        <v>4169</v>
      </c>
      <c r="Q596" s="2">
        <v>2843</v>
      </c>
    </row>
    <row r="597" spans="1:17" ht="143.25" customHeight="1" x14ac:dyDescent="0.25">
      <c r="A597" s="5" t="str">
        <f>_xll.JChemExcel.Functions.JCSYSStructure("F86004C424A15D18A2454D8C757A7417")</f>
        <v/>
      </c>
      <c r="B597" s="3" t="s">
        <v>4170</v>
      </c>
      <c r="C597" s="3" t="s">
        <v>4171</v>
      </c>
      <c r="D597" s="2" t="s">
        <v>4172</v>
      </c>
      <c r="E597" s="2" t="s">
        <v>7725</v>
      </c>
      <c r="F597" s="3" t="s">
        <v>8027</v>
      </c>
      <c r="G597" s="2" t="s">
        <v>4173</v>
      </c>
      <c r="H597" s="8">
        <v>364.9</v>
      </c>
      <c r="I597" s="2" t="s">
        <v>22</v>
      </c>
      <c r="J597" s="2" t="s">
        <v>26</v>
      </c>
      <c r="K597" s="2">
        <v>8</v>
      </c>
      <c r="L597" s="2" t="s">
        <v>20</v>
      </c>
      <c r="M597" s="2">
        <v>1984</v>
      </c>
      <c r="N597" s="3" t="s">
        <v>183</v>
      </c>
      <c r="O597" s="3" t="s">
        <v>4174</v>
      </c>
      <c r="P597" s="3" t="s">
        <v>4175</v>
      </c>
      <c r="Q597" s="2">
        <v>2843</v>
      </c>
    </row>
    <row r="598" spans="1:17" ht="143.25" customHeight="1" x14ac:dyDescent="0.25">
      <c r="A598" s="5" t="str">
        <f>_xll.JChemExcel.Functions.JCSYSStructure("3CF6081B84F571F75DEBCF30F51AF77D")</f>
        <v/>
      </c>
      <c r="B598" s="3" t="s">
        <v>4176</v>
      </c>
      <c r="C598" s="3" t="s">
        <v>4177</v>
      </c>
      <c r="D598" s="2" t="s">
        <v>4179</v>
      </c>
      <c r="E598" s="2">
        <v>550527</v>
      </c>
      <c r="F598" s="3" t="s">
        <v>4178</v>
      </c>
      <c r="G598" s="2" t="s">
        <v>4180</v>
      </c>
      <c r="H598" s="8">
        <v>250.29362</v>
      </c>
      <c r="I598" s="2" t="s">
        <v>22</v>
      </c>
      <c r="J598" s="2" t="s">
        <v>26</v>
      </c>
      <c r="K598" s="2">
        <v>8</v>
      </c>
      <c r="L598" s="2" t="s">
        <v>20</v>
      </c>
      <c r="M598" s="2">
        <v>2008</v>
      </c>
      <c r="N598" s="3" t="s">
        <v>4181</v>
      </c>
      <c r="O598" s="3" t="s">
        <v>4182</v>
      </c>
      <c r="P598" s="3" t="s">
        <v>4183</v>
      </c>
      <c r="Q598" s="2">
        <v>2843</v>
      </c>
    </row>
    <row r="599" spans="1:17" ht="143.25" customHeight="1" x14ac:dyDescent="0.25">
      <c r="A599" s="5" t="str">
        <f>_xll.JChemExcel.Functions.JCSYSStructure("468A38A698EFA0D4E3E8B6937208A22D")</f>
        <v/>
      </c>
      <c r="B599" s="3" t="s">
        <v>4184</v>
      </c>
      <c r="C599" s="3" t="s">
        <v>4185</v>
      </c>
      <c r="D599" s="2" t="s">
        <v>4187</v>
      </c>
      <c r="E599" s="2" t="s">
        <v>7726</v>
      </c>
      <c r="F599" s="3" t="s">
        <v>4186</v>
      </c>
      <c r="G599" s="2" t="s">
        <v>4188</v>
      </c>
      <c r="H599" s="8">
        <v>342.3</v>
      </c>
      <c r="I599" s="2" t="s">
        <v>22</v>
      </c>
      <c r="J599" s="2" t="s">
        <v>26</v>
      </c>
      <c r="K599" s="2">
        <v>8</v>
      </c>
      <c r="L599" s="2" t="s">
        <v>20</v>
      </c>
      <c r="M599" s="2">
        <v>1976</v>
      </c>
      <c r="N599" s="3" t="s">
        <v>4189</v>
      </c>
      <c r="O599" s="3" t="s">
        <v>4190</v>
      </c>
      <c r="P599" s="3" t="s">
        <v>4191</v>
      </c>
      <c r="Q599" s="2">
        <v>2843</v>
      </c>
    </row>
    <row r="600" spans="1:17" ht="143.25" customHeight="1" x14ac:dyDescent="0.25">
      <c r="A600" s="5" t="str">
        <f>_xll.JChemExcel.Functions.JCSYSStructure("4A1ADF6C4B7BB8BD0B1AFC36B4C03E27")</f>
        <v/>
      </c>
      <c r="B600" s="3" t="s">
        <v>4192</v>
      </c>
      <c r="C600" s="3" t="s">
        <v>4193</v>
      </c>
      <c r="D600" s="2" t="s">
        <v>4195</v>
      </c>
      <c r="E600" s="2" t="s">
        <v>7727</v>
      </c>
      <c r="F600" s="3" t="s">
        <v>4194</v>
      </c>
      <c r="G600" s="2" t="s">
        <v>4196</v>
      </c>
      <c r="H600" s="8">
        <v>229.3</v>
      </c>
      <c r="I600" s="2" t="s">
        <v>22</v>
      </c>
      <c r="J600" s="2" t="s">
        <v>26</v>
      </c>
      <c r="K600" s="2">
        <v>8</v>
      </c>
      <c r="L600" s="2" t="s">
        <v>20</v>
      </c>
      <c r="M600" s="2">
        <v>1995</v>
      </c>
      <c r="N600" s="3" t="s">
        <v>207</v>
      </c>
      <c r="O600" s="3" t="s">
        <v>4197</v>
      </c>
      <c r="P600" s="3" t="s">
        <v>4198</v>
      </c>
      <c r="Q600" s="2">
        <v>2843</v>
      </c>
    </row>
    <row r="601" spans="1:17" ht="143.25" customHeight="1" x14ac:dyDescent="0.25">
      <c r="A601" s="5" t="str">
        <f>_xll.JChemExcel.Functions.JCSYSStructure("29B74EA4D8034491CCDBBC88E891D1FA")</f>
        <v/>
      </c>
      <c r="B601" s="3" t="s">
        <v>4199</v>
      </c>
      <c r="C601" s="3" t="s">
        <v>4200</v>
      </c>
      <c r="D601" s="2" t="s">
        <v>4202</v>
      </c>
      <c r="E601" s="2" t="s">
        <v>7728</v>
      </c>
      <c r="F601" s="3" t="s">
        <v>4201</v>
      </c>
      <c r="G601" s="2" t="s">
        <v>4203</v>
      </c>
      <c r="H601" s="8">
        <v>369.4</v>
      </c>
      <c r="I601" s="2" t="s">
        <v>22</v>
      </c>
      <c r="J601" s="2" t="s">
        <v>26</v>
      </c>
      <c r="K601" s="2">
        <v>8</v>
      </c>
      <c r="L601" s="2" t="s">
        <v>20</v>
      </c>
      <c r="M601" s="2">
        <v>1995</v>
      </c>
      <c r="N601" s="3" t="s">
        <v>456</v>
      </c>
      <c r="O601" s="3" t="s">
        <v>4204</v>
      </c>
      <c r="P601" s="3" t="s">
        <v>4205</v>
      </c>
      <c r="Q601" s="2">
        <v>2843</v>
      </c>
    </row>
    <row r="602" spans="1:17" ht="143.25" customHeight="1" x14ac:dyDescent="0.25">
      <c r="A602" s="5" t="str">
        <f>_xll.JChemExcel.Functions.JCSYSStructure("34102146FC8E0EFAF59F72125FC2D448")</f>
        <v/>
      </c>
      <c r="B602" s="3" t="s">
        <v>4206</v>
      </c>
      <c r="C602" s="3" t="s">
        <v>4207</v>
      </c>
      <c r="D602" s="2" t="s">
        <v>4209</v>
      </c>
      <c r="E602" s="2" t="s">
        <v>7729</v>
      </c>
      <c r="F602" s="3" t="s">
        <v>4208</v>
      </c>
      <c r="G602" s="2" t="s">
        <v>4210</v>
      </c>
      <c r="H602" s="8">
        <v>259.3</v>
      </c>
      <c r="I602" s="2" t="s">
        <v>22</v>
      </c>
      <c r="J602" s="2" t="s">
        <v>26</v>
      </c>
      <c r="K602" s="2">
        <v>8</v>
      </c>
      <c r="L602" s="2" t="s">
        <v>20</v>
      </c>
      <c r="M602" s="2">
        <v>2005</v>
      </c>
      <c r="N602" s="3" t="s">
        <v>4211</v>
      </c>
      <c r="O602" s="3" t="s">
        <v>4212</v>
      </c>
      <c r="P602" s="3" t="s">
        <v>4213</v>
      </c>
      <c r="Q602" s="2">
        <v>2843</v>
      </c>
    </row>
    <row r="603" spans="1:17" ht="143.25" customHeight="1" x14ac:dyDescent="0.25">
      <c r="A603" s="5" t="str">
        <f>_xll.JChemExcel.Functions.JCSYSStructure("A5801AA014C1CAC62B267C49E020EFB7")</f>
        <v/>
      </c>
      <c r="B603" s="3" t="s">
        <v>4214</v>
      </c>
      <c r="C603" s="3" t="s">
        <v>4215</v>
      </c>
      <c r="D603" s="2" t="s">
        <v>4217</v>
      </c>
      <c r="E603" s="2" t="s">
        <v>7730</v>
      </c>
      <c r="F603" s="3" t="s">
        <v>4216</v>
      </c>
      <c r="G603" s="2" t="s">
        <v>4218</v>
      </c>
      <c r="H603" s="8">
        <v>601.6</v>
      </c>
      <c r="I603" s="2" t="s">
        <v>22</v>
      </c>
      <c r="J603" s="2" t="s">
        <v>1013</v>
      </c>
      <c r="K603" s="2">
        <v>8</v>
      </c>
      <c r="L603" s="2" t="s">
        <v>20</v>
      </c>
      <c r="M603" s="2" t="s">
        <v>124</v>
      </c>
      <c r="N603" s="3" t="s">
        <v>4219</v>
      </c>
      <c r="O603" s="3" t="s">
        <v>4220</v>
      </c>
      <c r="P603" s="3" t="s">
        <v>4221</v>
      </c>
      <c r="Q603" s="2">
        <v>2843</v>
      </c>
    </row>
    <row r="604" spans="1:17" ht="143.25" customHeight="1" x14ac:dyDescent="0.25">
      <c r="A604" s="5" t="str">
        <f>_xll.JChemExcel.Functions.JCSYSStructure("304280476F35575919F932D3AC48638E")</f>
        <v/>
      </c>
      <c r="B604" s="3" t="s">
        <v>4222</v>
      </c>
      <c r="C604" s="3" t="s">
        <v>4223</v>
      </c>
      <c r="D604" s="2" t="s">
        <v>4225</v>
      </c>
      <c r="E604" s="2" t="s">
        <v>7731</v>
      </c>
      <c r="F604" s="3" t="s">
        <v>4224</v>
      </c>
      <c r="G604" s="2" t="s">
        <v>4226</v>
      </c>
      <c r="H604" s="8">
        <v>275.8</v>
      </c>
      <c r="I604" s="2" t="s">
        <v>22</v>
      </c>
      <c r="J604" s="2" t="s">
        <v>26</v>
      </c>
      <c r="K604" s="2">
        <v>8</v>
      </c>
      <c r="L604" s="2" t="s">
        <v>20</v>
      </c>
      <c r="M604" s="2">
        <v>1999</v>
      </c>
      <c r="N604" s="3" t="s">
        <v>4227</v>
      </c>
      <c r="O604" s="3" t="s">
        <v>4228</v>
      </c>
      <c r="P604" s="3" t="s">
        <v>4229</v>
      </c>
      <c r="Q604" s="2">
        <v>2843</v>
      </c>
    </row>
    <row r="605" spans="1:17" ht="143.25" customHeight="1" x14ac:dyDescent="0.25">
      <c r="A605" s="5" t="str">
        <f>_xll.JChemExcel.Functions.JCSYSStructure("C70A8B8E04B222CD84414E9E31E41B5C")</f>
        <v/>
      </c>
      <c r="B605" s="3" t="s">
        <v>4230</v>
      </c>
      <c r="C605" s="3" t="s">
        <v>4231</v>
      </c>
      <c r="D605" s="2" t="s">
        <v>4233</v>
      </c>
      <c r="E605" s="2" t="s">
        <v>7732</v>
      </c>
      <c r="F605" s="3" t="s">
        <v>4232</v>
      </c>
      <c r="G605" s="2" t="s">
        <v>4234</v>
      </c>
      <c r="H605" s="8">
        <v>327.8</v>
      </c>
      <c r="I605" s="2" t="s">
        <v>22</v>
      </c>
      <c r="J605" s="2" t="s">
        <v>26</v>
      </c>
      <c r="K605" s="2">
        <v>8</v>
      </c>
      <c r="L605" s="2" t="s">
        <v>20</v>
      </c>
      <c r="M605" s="2">
        <v>1985</v>
      </c>
      <c r="N605" s="3" t="s">
        <v>3091</v>
      </c>
      <c r="O605" s="3" t="s">
        <v>4235</v>
      </c>
      <c r="P605" s="3" t="s">
        <v>4236</v>
      </c>
      <c r="Q605" s="2">
        <v>2843</v>
      </c>
    </row>
    <row r="606" spans="1:17" ht="143.25" customHeight="1" x14ac:dyDescent="0.25">
      <c r="A606" s="5" t="str">
        <f>_xll.JChemExcel.Functions.JCSYSStructure("2E855B13E56167F1651DD3EEFA77A3C4")</f>
        <v/>
      </c>
      <c r="B606" s="3" t="s">
        <v>4237</v>
      </c>
      <c r="C606" s="3" t="s">
        <v>4238</v>
      </c>
      <c r="D606" s="2" t="s">
        <v>4240</v>
      </c>
      <c r="E606" s="2" t="s">
        <v>7733</v>
      </c>
      <c r="F606" s="3" t="s">
        <v>4239</v>
      </c>
      <c r="G606" s="2" t="s">
        <v>4241</v>
      </c>
      <c r="H606" s="8">
        <v>161.19999999999999</v>
      </c>
      <c r="I606" s="2" t="s">
        <v>22</v>
      </c>
      <c r="J606" s="2" t="s">
        <v>26</v>
      </c>
      <c r="K606" s="2">
        <v>8</v>
      </c>
      <c r="L606" s="2" t="s">
        <v>20</v>
      </c>
      <c r="M606" s="2">
        <v>1985</v>
      </c>
      <c r="N606" s="3" t="s">
        <v>4242</v>
      </c>
      <c r="O606" s="3" t="s">
        <v>4243</v>
      </c>
      <c r="P606" s="3" t="s">
        <v>4244</v>
      </c>
      <c r="Q606" s="2">
        <v>2843</v>
      </c>
    </row>
    <row r="607" spans="1:17" ht="143.25" customHeight="1" x14ac:dyDescent="0.25">
      <c r="A607" s="5" t="str">
        <f>_xll.JChemExcel.Functions.JCSYSStructure("5B0AF7B8EC6A0D217869E0C8C9C5F961")</f>
        <v/>
      </c>
      <c r="B607" s="3" t="s">
        <v>4245</v>
      </c>
      <c r="C607" s="3" t="s">
        <v>4246</v>
      </c>
      <c r="D607" s="2" t="s">
        <v>4248</v>
      </c>
      <c r="E607" s="2" t="s">
        <v>7734</v>
      </c>
      <c r="F607" s="3" t="s">
        <v>4247</v>
      </c>
      <c r="G607" s="2" t="s">
        <v>4249</v>
      </c>
      <c r="H607" s="8">
        <v>461.8</v>
      </c>
      <c r="I607" s="2" t="s">
        <v>22</v>
      </c>
      <c r="J607" s="2" t="s">
        <v>26</v>
      </c>
      <c r="K607" s="2">
        <v>8</v>
      </c>
      <c r="L607" s="2" t="s">
        <v>20</v>
      </c>
      <c r="M607" s="2">
        <v>2007</v>
      </c>
      <c r="N607" s="3" t="s">
        <v>4250</v>
      </c>
      <c r="O607" s="3" t="s">
        <v>4251</v>
      </c>
      <c r="P607" s="3" t="s">
        <v>4252</v>
      </c>
      <c r="Q607" s="2">
        <v>2843</v>
      </c>
    </row>
    <row r="608" spans="1:17" ht="143.25" customHeight="1" x14ac:dyDescent="0.25">
      <c r="A608" s="5" t="str">
        <f>_xll.JChemExcel.Functions.JCSYSStructure("31A754C5B861826AFA6AC633CCB5AA08")</f>
        <v/>
      </c>
      <c r="B608" s="3" t="s">
        <v>4253</v>
      </c>
      <c r="C608" s="3" t="s">
        <v>4254</v>
      </c>
      <c r="D608" s="2" t="s">
        <v>4256</v>
      </c>
      <c r="E608" s="2" t="s">
        <v>7735</v>
      </c>
      <c r="F608" s="3" t="s">
        <v>4255</v>
      </c>
      <c r="G608" s="2" t="s">
        <v>4257</v>
      </c>
      <c r="H608" s="8">
        <v>798.9</v>
      </c>
      <c r="I608" s="2" t="s">
        <v>22</v>
      </c>
      <c r="J608" s="2" t="s">
        <v>26</v>
      </c>
      <c r="K608" s="2">
        <v>8</v>
      </c>
      <c r="L608" s="2" t="s">
        <v>20</v>
      </c>
      <c r="M608" s="2">
        <v>2000</v>
      </c>
      <c r="N608" s="3" t="s">
        <v>2173</v>
      </c>
      <c r="O608" s="3" t="s">
        <v>4258</v>
      </c>
      <c r="P608" s="3" t="s">
        <v>4259</v>
      </c>
      <c r="Q608" s="2">
        <v>2843</v>
      </c>
    </row>
    <row r="609" spans="1:17" ht="143.25" customHeight="1" x14ac:dyDescent="0.25">
      <c r="A609" s="5" t="str">
        <f>_xll.JChemExcel.Functions.JCSYSStructure("818D5809A67056E404D75C57C431E842")</f>
        <v/>
      </c>
      <c r="B609" s="3" t="s">
        <v>4260</v>
      </c>
      <c r="C609" s="3" t="s">
        <v>4261</v>
      </c>
      <c r="D609" s="2" t="s">
        <v>4263</v>
      </c>
      <c r="E609" s="2" t="s">
        <v>7736</v>
      </c>
      <c r="F609" s="3" t="s">
        <v>4262</v>
      </c>
      <c r="G609" s="2" t="s">
        <v>4264</v>
      </c>
      <c r="H609" s="8">
        <v>290.8</v>
      </c>
      <c r="I609" s="2" t="s">
        <v>22</v>
      </c>
      <c r="J609" s="2" t="s">
        <v>26</v>
      </c>
      <c r="K609" s="2">
        <v>8</v>
      </c>
      <c r="L609" s="2" t="s">
        <v>20</v>
      </c>
      <c r="M609" s="2">
        <v>1951</v>
      </c>
      <c r="N609" s="3" t="s">
        <v>4265</v>
      </c>
      <c r="O609" s="3" t="s">
        <v>4266</v>
      </c>
      <c r="P609" s="3" t="s">
        <v>4267</v>
      </c>
      <c r="Q609" s="2">
        <v>2843</v>
      </c>
    </row>
    <row r="610" spans="1:17" ht="143.25" customHeight="1" x14ac:dyDescent="0.25">
      <c r="A610" s="5" t="str">
        <f>_xll.JChemExcel.Functions.JCSYSStructure("246AB449AB22C0E5B8A8B18F97D0D35B")</f>
        <v/>
      </c>
      <c r="B610" s="3" t="s">
        <v>4268</v>
      </c>
      <c r="C610" s="3" t="s">
        <v>4269</v>
      </c>
      <c r="D610" s="2" t="s">
        <v>4271</v>
      </c>
      <c r="E610" s="2" t="s">
        <v>7737</v>
      </c>
      <c r="F610" s="3" t="s">
        <v>4270</v>
      </c>
      <c r="G610" s="2" t="s">
        <v>4272</v>
      </c>
      <c r="H610" s="8">
        <v>672.95531900000003</v>
      </c>
      <c r="I610" s="2" t="s">
        <v>22</v>
      </c>
      <c r="J610" s="2" t="s">
        <v>26</v>
      </c>
      <c r="K610" s="2">
        <v>8</v>
      </c>
      <c r="L610" s="2" t="s">
        <v>20</v>
      </c>
      <c r="M610" s="2">
        <v>1956</v>
      </c>
      <c r="N610" s="3" t="s">
        <v>4273</v>
      </c>
      <c r="O610" s="3" t="s">
        <v>4274</v>
      </c>
      <c r="P610" s="3" t="s">
        <v>4275</v>
      </c>
      <c r="Q610" s="2">
        <v>2843</v>
      </c>
    </row>
    <row r="611" spans="1:17" ht="143.25" customHeight="1" x14ac:dyDescent="0.25">
      <c r="A611" s="5" t="str">
        <f>_xll.JChemExcel.Functions.JCSYSStructure("82CA46BD9BB73967614D19F3948AE0BA")</f>
        <v/>
      </c>
      <c r="B611" s="3" t="s">
        <v>4276</v>
      </c>
      <c r="C611" s="3" t="s">
        <v>4277</v>
      </c>
      <c r="D611" s="2" t="s">
        <v>4279</v>
      </c>
      <c r="E611" s="2" t="s">
        <v>7738</v>
      </c>
      <c r="F611" s="3" t="s">
        <v>4278</v>
      </c>
      <c r="G611" s="2" t="s">
        <v>4280</v>
      </c>
      <c r="H611" s="8">
        <v>628.79999999999995</v>
      </c>
      <c r="I611" s="2" t="s">
        <v>22</v>
      </c>
      <c r="J611" s="2" t="s">
        <v>26</v>
      </c>
      <c r="K611" s="2">
        <v>8</v>
      </c>
      <c r="L611" s="2" t="s">
        <v>20</v>
      </c>
      <c r="M611" s="2">
        <v>2000</v>
      </c>
      <c r="N611" s="3" t="s">
        <v>1134</v>
      </c>
      <c r="O611" s="3" t="s">
        <v>4281</v>
      </c>
      <c r="P611" s="3" t="s">
        <v>4282</v>
      </c>
      <c r="Q611" s="2">
        <v>2843</v>
      </c>
    </row>
    <row r="612" spans="1:17" ht="143.25" customHeight="1" x14ac:dyDescent="0.25">
      <c r="D612" s="2" t="s">
        <v>4283</v>
      </c>
      <c r="F612" s="3" t="s">
        <v>2847</v>
      </c>
      <c r="G612" s="2"/>
      <c r="K612" s="2">
        <v>8</v>
      </c>
      <c r="L612" s="2" t="s">
        <v>20</v>
      </c>
      <c r="Q612" s="2">
        <v>2843</v>
      </c>
    </row>
    <row r="613" spans="1:17" ht="143.25" customHeight="1" x14ac:dyDescent="0.25">
      <c r="A613" s="5" t="str">
        <f>_xll.JChemExcel.Functions.JCSYSStructure("42E0DD90A1BECA79036BEA49168572B4")</f>
        <v/>
      </c>
      <c r="B613" s="3" t="s">
        <v>4284</v>
      </c>
      <c r="C613" s="3" t="s">
        <v>4285</v>
      </c>
      <c r="D613" s="2" t="s">
        <v>4287</v>
      </c>
      <c r="E613" s="2" t="s">
        <v>7739</v>
      </c>
      <c r="F613" s="3" t="s">
        <v>4286</v>
      </c>
      <c r="G613" s="2" t="s">
        <v>4288</v>
      </c>
      <c r="H613" s="8">
        <v>467</v>
      </c>
      <c r="I613" s="2" t="s">
        <v>22</v>
      </c>
      <c r="J613" s="2" t="s">
        <v>26</v>
      </c>
      <c r="K613" s="2">
        <v>8</v>
      </c>
      <c r="L613" s="2" t="s">
        <v>20</v>
      </c>
      <c r="M613" s="2">
        <v>1998</v>
      </c>
      <c r="N613" s="3" t="s">
        <v>4289</v>
      </c>
      <c r="O613" s="3" t="s">
        <v>4290</v>
      </c>
      <c r="P613" s="3" t="s">
        <v>4291</v>
      </c>
      <c r="Q613" s="2">
        <v>2843</v>
      </c>
    </row>
    <row r="614" spans="1:17" ht="143.25" customHeight="1" x14ac:dyDescent="0.25">
      <c r="A614" s="5" t="str">
        <f>_xll.JChemExcel.Functions.JCSYSStructure("C2A5DE2BE3327EEB27CCC9D09B7D20FF")</f>
        <v/>
      </c>
      <c r="B614" s="3" t="s">
        <v>4292</v>
      </c>
      <c r="C614" s="3" t="s">
        <v>4293</v>
      </c>
      <c r="D614" s="2" t="s">
        <v>4294</v>
      </c>
      <c r="E614" s="2" t="s">
        <v>7740</v>
      </c>
      <c r="F614" s="3" t="s">
        <v>8028</v>
      </c>
      <c r="G614" s="2" t="s">
        <v>4295</v>
      </c>
      <c r="H614" s="8">
        <v>445.9</v>
      </c>
      <c r="I614" s="2" t="s">
        <v>22</v>
      </c>
      <c r="J614" s="2" t="s">
        <v>26</v>
      </c>
      <c r="K614" s="2">
        <v>8</v>
      </c>
      <c r="L614" s="2" t="s">
        <v>20</v>
      </c>
      <c r="M614" s="2">
        <v>1975</v>
      </c>
      <c r="N614" s="3" t="s">
        <v>94</v>
      </c>
      <c r="O614" s="3" t="s">
        <v>4296</v>
      </c>
      <c r="P614" s="3" t="s">
        <v>4297</v>
      </c>
      <c r="Q614" s="2">
        <v>2843</v>
      </c>
    </row>
    <row r="615" spans="1:17" ht="143.25" customHeight="1" x14ac:dyDescent="0.25">
      <c r="A615" s="5" t="str">
        <f>_xll.JChemExcel.Functions.JCSYSStructure("7BA2F26AD7A271746FA6EFE95DCCA586")</f>
        <v/>
      </c>
      <c r="B615" s="3" t="s">
        <v>4298</v>
      </c>
      <c r="C615" s="3" t="s">
        <v>4299</v>
      </c>
      <c r="D615" s="2" t="s">
        <v>4300</v>
      </c>
      <c r="E615" s="2" t="s">
        <v>7741</v>
      </c>
      <c r="F615" s="3" t="s">
        <v>8050</v>
      </c>
      <c r="G615" s="2" t="s">
        <v>4301</v>
      </c>
      <c r="H615" s="8">
        <v>222.7</v>
      </c>
      <c r="I615" s="2" t="s">
        <v>22</v>
      </c>
      <c r="J615" s="2" t="s">
        <v>26</v>
      </c>
      <c r="K615" s="2">
        <v>8</v>
      </c>
      <c r="L615" s="2" t="s">
        <v>20</v>
      </c>
      <c r="M615" s="2" t="s">
        <v>4302</v>
      </c>
      <c r="N615" s="3" t="s">
        <v>4303</v>
      </c>
      <c r="O615" s="3" t="s">
        <v>4304</v>
      </c>
      <c r="P615" s="3" t="s">
        <v>4305</v>
      </c>
      <c r="Q615" s="2">
        <v>2843</v>
      </c>
    </row>
    <row r="616" spans="1:17" ht="143.25" customHeight="1" x14ac:dyDescent="0.25">
      <c r="A616" s="5" t="str">
        <f>_xll.JChemExcel.Functions.JCSYSStructure("35912A2351088EBC4B4AB54F93521F8E")</f>
        <v/>
      </c>
      <c r="B616" s="3" t="s">
        <v>4306</v>
      </c>
      <c r="C616" s="3" t="s">
        <v>4307</v>
      </c>
      <c r="D616" s="2" t="s">
        <v>4309</v>
      </c>
      <c r="E616" s="2" t="s">
        <v>7742</v>
      </c>
      <c r="F616" s="3" t="s">
        <v>4308</v>
      </c>
      <c r="G616" s="2" t="s">
        <v>4310</v>
      </c>
      <c r="H616" s="8">
        <v>330.35802200000001</v>
      </c>
      <c r="I616" s="2" t="s">
        <v>22</v>
      </c>
      <c r="J616" s="2" t="s">
        <v>26</v>
      </c>
      <c r="K616" s="2">
        <v>8</v>
      </c>
      <c r="L616" s="2" t="s">
        <v>20</v>
      </c>
      <c r="M616" s="2">
        <v>1982</v>
      </c>
      <c r="N616" s="3" t="s">
        <v>4311</v>
      </c>
      <c r="O616" s="3" t="s">
        <v>4312</v>
      </c>
      <c r="P616" s="3" t="s">
        <v>4313</v>
      </c>
      <c r="Q616" s="2">
        <v>2843</v>
      </c>
    </row>
    <row r="617" spans="1:17" ht="143.25" customHeight="1" x14ac:dyDescent="0.25">
      <c r="A617" s="5" t="str">
        <f>_xll.JChemExcel.Functions.JCSYSStructure("6B76A8631FFAD671147493CFE551BB93")</f>
        <v/>
      </c>
      <c r="B617" s="3" t="s">
        <v>4314</v>
      </c>
      <c r="C617" s="3" t="s">
        <v>4315</v>
      </c>
      <c r="D617" s="2" t="s">
        <v>4317</v>
      </c>
      <c r="E617" s="2" t="s">
        <v>7743</v>
      </c>
      <c r="F617" s="3" t="s">
        <v>4316</v>
      </c>
      <c r="G617" s="2" t="s">
        <v>4318</v>
      </c>
      <c r="H617" s="8">
        <v>182.17176000000001</v>
      </c>
      <c r="I617" s="2" t="s">
        <v>22</v>
      </c>
      <c r="J617" s="2" t="s">
        <v>26</v>
      </c>
      <c r="K617" s="2">
        <v>8</v>
      </c>
      <c r="L617" s="2" t="s">
        <v>20</v>
      </c>
      <c r="M617" s="2">
        <v>1982</v>
      </c>
      <c r="N617" s="3" t="s">
        <v>4319</v>
      </c>
      <c r="O617" s="3" t="s">
        <v>4320</v>
      </c>
      <c r="P617" s="3" t="s">
        <v>4321</v>
      </c>
      <c r="Q617" s="2">
        <v>2843</v>
      </c>
    </row>
    <row r="618" spans="1:17" ht="143.25" customHeight="1" x14ac:dyDescent="0.25">
      <c r="A618" s="5" t="str">
        <f>_xll.JChemExcel.Functions.JCSYSStructure("82B9D9B4E08220E56118DD9E4C608BFD")</f>
        <v/>
      </c>
      <c r="B618" s="3" t="s">
        <v>4322</v>
      </c>
      <c r="C618" s="3" t="s">
        <v>4323</v>
      </c>
      <c r="D618" s="2" t="s">
        <v>4325</v>
      </c>
      <c r="E618" s="2" t="s">
        <v>7744</v>
      </c>
      <c r="F618" s="3" t="s">
        <v>4324</v>
      </c>
      <c r="G618" s="2" t="s">
        <v>4326</v>
      </c>
      <c r="H618" s="8">
        <v>513.70000000000005</v>
      </c>
      <c r="I618" s="2" t="s">
        <v>22</v>
      </c>
      <c r="J618" s="2" t="s">
        <v>26</v>
      </c>
      <c r="K618" s="2">
        <v>8</v>
      </c>
      <c r="L618" s="2" t="s">
        <v>20</v>
      </c>
      <c r="M618" s="2">
        <v>2007</v>
      </c>
      <c r="N618" s="3" t="s">
        <v>1134</v>
      </c>
      <c r="O618" s="3" t="s">
        <v>4327</v>
      </c>
      <c r="P618" s="3" t="s">
        <v>4328</v>
      </c>
      <c r="Q618" s="2">
        <v>2843</v>
      </c>
    </row>
    <row r="619" spans="1:17" ht="143.25" customHeight="1" x14ac:dyDescent="0.25">
      <c r="A619" s="5" t="str">
        <f>_xll.JChemExcel.Functions.JCSYSStructure("48CF3E37D7915D2BBD16257DA8ACEA7B")</f>
        <v/>
      </c>
      <c r="B619" s="3" t="s">
        <v>4329</v>
      </c>
      <c r="C619" s="3" t="s">
        <v>4330</v>
      </c>
      <c r="D619" s="2" t="s">
        <v>4332</v>
      </c>
      <c r="E619" s="2" t="s">
        <v>7745</v>
      </c>
      <c r="F619" s="3" t="s">
        <v>4331</v>
      </c>
      <c r="G619" s="2" t="s">
        <v>4333</v>
      </c>
      <c r="H619" s="8">
        <v>192.51447999999999</v>
      </c>
      <c r="I619" s="2" t="s">
        <v>22</v>
      </c>
      <c r="J619" s="2" t="s">
        <v>26</v>
      </c>
      <c r="K619" s="2">
        <v>8</v>
      </c>
      <c r="L619" s="2" t="s">
        <v>20</v>
      </c>
      <c r="M619" s="2">
        <v>1949</v>
      </c>
      <c r="N619" s="3" t="s">
        <v>4334</v>
      </c>
      <c r="O619" s="3" t="s">
        <v>4335</v>
      </c>
      <c r="P619" s="3" t="s">
        <v>4336</v>
      </c>
      <c r="Q619" s="2">
        <v>2843</v>
      </c>
    </row>
    <row r="620" spans="1:17" ht="143.25" customHeight="1" x14ac:dyDescent="0.25">
      <c r="A620" s="5" t="str">
        <f>_xll.JChemExcel.Functions.JCSYSStructure("419541913EF18D8744A18A2C30810328")</f>
        <v/>
      </c>
      <c r="B620" s="3" t="s">
        <v>4337</v>
      </c>
      <c r="C620" s="3" t="s">
        <v>4338</v>
      </c>
      <c r="D620" s="2" t="s">
        <v>4340</v>
      </c>
      <c r="E620" s="2" t="s">
        <v>7746</v>
      </c>
      <c r="F620" s="3" t="s">
        <v>4339</v>
      </c>
      <c r="G620" s="2" t="s">
        <v>4341</v>
      </c>
      <c r="H620" s="8">
        <v>463.9</v>
      </c>
      <c r="I620" s="2" t="s">
        <v>22</v>
      </c>
      <c r="J620" s="2" t="s">
        <v>26</v>
      </c>
      <c r="K620" s="2">
        <v>8</v>
      </c>
      <c r="L620" s="2" t="s">
        <v>20</v>
      </c>
      <c r="M620" s="2">
        <v>1957</v>
      </c>
      <c r="N620" s="3" t="s">
        <v>4342</v>
      </c>
      <c r="O620" s="3" t="s">
        <v>4343</v>
      </c>
      <c r="P620" s="3" t="s">
        <v>4344</v>
      </c>
      <c r="Q620" s="2">
        <v>2843</v>
      </c>
    </row>
    <row r="621" spans="1:17" ht="143.25" customHeight="1" x14ac:dyDescent="0.25">
      <c r="A621" s="5" t="str">
        <f>_xll.JChemExcel.Functions.JCSYSStructure("7FA44D4734303A1E8DA9AAE0733B2C76")</f>
        <v/>
      </c>
      <c r="B621" s="3" t="s">
        <v>4345</v>
      </c>
      <c r="C621" s="3" t="s">
        <v>4346</v>
      </c>
      <c r="D621" s="2" t="s">
        <v>4348</v>
      </c>
      <c r="E621" s="2" t="s">
        <v>7747</v>
      </c>
      <c r="F621" s="3" t="s">
        <v>4347</v>
      </c>
      <c r="G621" s="2" t="s">
        <v>4349</v>
      </c>
      <c r="H621" s="8">
        <v>318.12900000000002</v>
      </c>
      <c r="I621" s="2" t="s">
        <v>22</v>
      </c>
      <c r="J621" s="2" t="s">
        <v>26</v>
      </c>
      <c r="K621" s="2">
        <v>8</v>
      </c>
      <c r="L621" s="2" t="s">
        <v>20</v>
      </c>
      <c r="M621" s="2">
        <v>1980</v>
      </c>
      <c r="N621" s="3" t="s">
        <v>4350</v>
      </c>
      <c r="O621" s="3" t="s">
        <v>4351</v>
      </c>
      <c r="P621" s="3" t="s">
        <v>4352</v>
      </c>
      <c r="Q621" s="2">
        <v>2843</v>
      </c>
    </row>
    <row r="622" spans="1:17" ht="143.25" customHeight="1" x14ac:dyDescent="0.25">
      <c r="A622" s="5" t="str">
        <f>_xll.JChemExcel.Functions.JCSYSStructure("BF5B9ED770A126E5330758EE15D896B9")</f>
        <v/>
      </c>
      <c r="B622" s="3" t="s">
        <v>4353</v>
      </c>
      <c r="C622" s="3" t="s">
        <v>4354</v>
      </c>
      <c r="D622" s="2" t="s">
        <v>4355</v>
      </c>
      <c r="E622" s="2" t="s">
        <v>7748</v>
      </c>
      <c r="F622" s="3" t="s">
        <v>8029</v>
      </c>
      <c r="G622" s="2" t="s">
        <v>4356</v>
      </c>
      <c r="H622" s="8">
        <v>414.773099</v>
      </c>
      <c r="I622" s="2" t="s">
        <v>22</v>
      </c>
      <c r="J622" s="2" t="s">
        <v>26</v>
      </c>
      <c r="K622" s="2">
        <v>8</v>
      </c>
      <c r="L622" s="2" t="s">
        <v>20</v>
      </c>
      <c r="M622" s="2">
        <v>1989</v>
      </c>
      <c r="N622" s="3" t="s">
        <v>2936</v>
      </c>
      <c r="O622" s="3" t="s">
        <v>4357</v>
      </c>
      <c r="P622" s="3" t="s">
        <v>4358</v>
      </c>
      <c r="Q622" s="2">
        <v>2843</v>
      </c>
    </row>
    <row r="623" spans="1:17" ht="143.25" customHeight="1" x14ac:dyDescent="0.25">
      <c r="A623" s="5" t="str">
        <f>_xll.JChemExcel.Functions.JCSYSStructure("6D176148DDD572FECC11632B169D78CF")</f>
        <v/>
      </c>
      <c r="B623" s="3" t="s">
        <v>4359</v>
      </c>
      <c r="C623" s="3" t="s">
        <v>4360</v>
      </c>
      <c r="D623" s="2" t="s">
        <v>4362</v>
      </c>
      <c r="E623" s="2" t="s">
        <v>7749</v>
      </c>
      <c r="F623" s="3" t="s">
        <v>4361</v>
      </c>
      <c r="G623" s="2" t="s">
        <v>4363</v>
      </c>
      <c r="H623" s="8">
        <v>420.34003999999999</v>
      </c>
      <c r="I623" s="2" t="s">
        <v>22</v>
      </c>
      <c r="J623" s="2" t="s">
        <v>26</v>
      </c>
      <c r="K623" s="2">
        <v>8</v>
      </c>
      <c r="L623" s="2" t="s">
        <v>20</v>
      </c>
      <c r="M623" s="2">
        <v>1956</v>
      </c>
      <c r="N623" s="3" t="s">
        <v>456</v>
      </c>
      <c r="O623" s="3" t="s">
        <v>4364</v>
      </c>
      <c r="P623" s="3" t="s">
        <v>4365</v>
      </c>
      <c r="Q623" s="2">
        <v>2843</v>
      </c>
    </row>
    <row r="624" spans="1:17" ht="143.25" customHeight="1" x14ac:dyDescent="0.25">
      <c r="A624" s="5" t="str">
        <f>_xll.JChemExcel.Functions.JCSYSStructure("AB1D723E0CCB1125569533F7DFE23411")</f>
        <v/>
      </c>
      <c r="B624" s="3" t="s">
        <v>4366</v>
      </c>
      <c r="C624" s="3" t="s">
        <v>4367</v>
      </c>
      <c r="D624" s="2" t="s">
        <v>4368</v>
      </c>
      <c r="E624" s="2" t="s">
        <v>7750</v>
      </c>
      <c r="F624" s="3" t="s">
        <v>8030</v>
      </c>
      <c r="G624" s="2" t="s">
        <v>4369</v>
      </c>
      <c r="H624" s="8">
        <v>282.80892</v>
      </c>
      <c r="I624" s="2" t="s">
        <v>22</v>
      </c>
      <c r="J624" s="2" t="s">
        <v>26</v>
      </c>
      <c r="K624" s="2">
        <v>8</v>
      </c>
      <c r="L624" s="2" t="s">
        <v>20</v>
      </c>
      <c r="M624" s="2">
        <v>1960</v>
      </c>
      <c r="N624" s="3" t="s">
        <v>4370</v>
      </c>
      <c r="O624" s="3" t="s">
        <v>4371</v>
      </c>
      <c r="P624" s="3" t="s">
        <v>4372</v>
      </c>
      <c r="Q624" s="2">
        <v>2843</v>
      </c>
    </row>
    <row r="625" spans="1:17" ht="143.25" customHeight="1" x14ac:dyDescent="0.25">
      <c r="D625" s="2" t="s">
        <v>4373</v>
      </c>
      <c r="F625" s="3" t="s">
        <v>2847</v>
      </c>
      <c r="G625" s="2"/>
      <c r="K625" s="2">
        <v>9</v>
      </c>
      <c r="L625" s="2" t="s">
        <v>20</v>
      </c>
      <c r="Q625" s="2">
        <v>2843</v>
      </c>
    </row>
    <row r="626" spans="1:17" ht="143.25" customHeight="1" x14ac:dyDescent="0.25">
      <c r="A626" s="5" t="str">
        <f>_xll.JChemExcel.Functions.JCSYSStructure("37B58FB0512A63DA5F02FF00F9B05DBA")</f>
        <v/>
      </c>
      <c r="B626" s="3" t="s">
        <v>4374</v>
      </c>
      <c r="C626" s="3" t="s">
        <v>4375</v>
      </c>
      <c r="D626" s="2" t="s">
        <v>4377</v>
      </c>
      <c r="E626" s="2" t="s">
        <v>7751</v>
      </c>
      <c r="F626" s="3" t="s">
        <v>4376</v>
      </c>
      <c r="G626" s="2" t="s">
        <v>4378</v>
      </c>
      <c r="H626" s="8">
        <v>124.1</v>
      </c>
      <c r="I626" s="2" t="s">
        <v>22</v>
      </c>
      <c r="J626" s="2" t="s">
        <v>26</v>
      </c>
      <c r="K626" s="2">
        <v>9</v>
      </c>
      <c r="L626" s="2" t="s">
        <v>20</v>
      </c>
      <c r="M626" s="2">
        <v>1999</v>
      </c>
      <c r="N626" s="3" t="s">
        <v>4379</v>
      </c>
      <c r="O626" s="3" t="s">
        <v>4380</v>
      </c>
      <c r="P626" s="3" t="s">
        <v>4381</v>
      </c>
      <c r="Q626" s="2">
        <v>2843</v>
      </c>
    </row>
    <row r="627" spans="1:17" ht="143.25" customHeight="1" x14ac:dyDescent="0.25">
      <c r="A627" s="5" t="str">
        <f>_xll.JChemExcel.Functions.JCSYSStructure("F61A4C200537802192A4390A251309F3")</f>
        <v/>
      </c>
      <c r="B627" s="3" t="s">
        <v>4382</v>
      </c>
      <c r="C627" s="3" t="s">
        <v>4383</v>
      </c>
      <c r="D627" s="2" t="s">
        <v>4384</v>
      </c>
      <c r="E627" s="2" t="s">
        <v>7752</v>
      </c>
      <c r="F627" s="3" t="s">
        <v>8031</v>
      </c>
      <c r="G627" s="2" t="s">
        <v>4385</v>
      </c>
      <c r="H627" s="8">
        <v>170.2</v>
      </c>
      <c r="I627" s="2" t="s">
        <v>22</v>
      </c>
      <c r="J627" s="2" t="s">
        <v>26</v>
      </c>
      <c r="K627" s="2">
        <v>9</v>
      </c>
      <c r="L627" s="2" t="s">
        <v>20</v>
      </c>
      <c r="M627" s="2">
        <v>1953</v>
      </c>
      <c r="N627" s="3" t="s">
        <v>626</v>
      </c>
      <c r="O627" s="3" t="s">
        <v>4386</v>
      </c>
      <c r="P627" s="3" t="s">
        <v>4387</v>
      </c>
      <c r="Q627" s="2">
        <v>2843</v>
      </c>
    </row>
    <row r="628" spans="1:17" ht="143.25" customHeight="1" x14ac:dyDescent="0.25">
      <c r="A628" s="5" t="str">
        <f>_xll.JChemExcel.Functions.JCSYSStructure("494DE72D649C821755A4DB197F984C02")</f>
        <v/>
      </c>
      <c r="B628" s="3" t="s">
        <v>4388</v>
      </c>
      <c r="C628" s="3" t="s">
        <v>4389</v>
      </c>
      <c r="D628" s="2" t="s">
        <v>4391</v>
      </c>
      <c r="E628" s="2" t="s">
        <v>7753</v>
      </c>
      <c r="F628" s="3" t="s">
        <v>4390</v>
      </c>
      <c r="G628" s="2" t="s">
        <v>4392</v>
      </c>
      <c r="H628" s="8">
        <v>164.2</v>
      </c>
      <c r="I628" s="2" t="s">
        <v>22</v>
      </c>
      <c r="J628" s="2" t="s">
        <v>26</v>
      </c>
      <c r="K628" s="2">
        <v>9</v>
      </c>
      <c r="L628" s="2" t="s">
        <v>20</v>
      </c>
      <c r="M628" s="2">
        <v>1988</v>
      </c>
      <c r="N628" s="3" t="s">
        <v>4393</v>
      </c>
      <c r="O628" s="3" t="s">
        <v>4394</v>
      </c>
      <c r="P628" s="3" t="s">
        <v>4395</v>
      </c>
      <c r="Q628" s="2">
        <v>2843</v>
      </c>
    </row>
    <row r="629" spans="1:17" ht="143.25" customHeight="1" x14ac:dyDescent="0.25">
      <c r="A629" s="5" t="str">
        <f>_xll.JChemExcel.Functions.JCSYSStructure("BBEBB8BDE709BA592B29F1C99510824B")</f>
        <v/>
      </c>
      <c r="B629" s="3" t="s">
        <v>4396</v>
      </c>
      <c r="C629" s="3" t="s">
        <v>4397</v>
      </c>
      <c r="D629" s="2" t="s">
        <v>4399</v>
      </c>
      <c r="E629" s="2" t="s">
        <v>7754</v>
      </c>
      <c r="F629" s="3" t="s">
        <v>4398</v>
      </c>
      <c r="G629" s="2" t="s">
        <v>4400</v>
      </c>
      <c r="H629" s="8">
        <v>310.39999999999998</v>
      </c>
      <c r="I629" s="2" t="s">
        <v>22</v>
      </c>
      <c r="J629" s="2" t="s">
        <v>26</v>
      </c>
      <c r="K629" s="2">
        <v>9</v>
      </c>
      <c r="L629" s="2" t="s">
        <v>20</v>
      </c>
      <c r="M629" s="2">
        <v>1961</v>
      </c>
      <c r="N629" s="3" t="s">
        <v>2077</v>
      </c>
      <c r="O629" s="3" t="s">
        <v>4401</v>
      </c>
      <c r="P629" s="3" t="s">
        <v>4402</v>
      </c>
      <c r="Q629" s="2">
        <v>2843</v>
      </c>
    </row>
    <row r="630" spans="1:17" ht="143.25" customHeight="1" x14ac:dyDescent="0.25">
      <c r="A630" s="5" t="str">
        <f>_xll.JChemExcel.Functions.JCSYSStructure("F8624F1A054C847006C07ADB11D5740D")</f>
        <v/>
      </c>
      <c r="B630" s="3" t="s">
        <v>4403</v>
      </c>
      <c r="C630" s="3" t="s">
        <v>4404</v>
      </c>
      <c r="D630" s="2" t="s">
        <v>4405</v>
      </c>
      <c r="E630" s="2" t="s">
        <v>7755</v>
      </c>
      <c r="F630" s="3" t="s">
        <v>8032</v>
      </c>
      <c r="G630" s="2" t="s">
        <v>4406</v>
      </c>
      <c r="H630" s="8">
        <v>260.3</v>
      </c>
      <c r="I630" s="2" t="s">
        <v>22</v>
      </c>
      <c r="J630" s="2" t="s">
        <v>26</v>
      </c>
      <c r="K630" s="2">
        <v>9</v>
      </c>
      <c r="L630" s="2" t="s">
        <v>20</v>
      </c>
      <c r="M630" s="2">
        <v>1987</v>
      </c>
      <c r="N630" s="3" t="s">
        <v>4407</v>
      </c>
      <c r="O630" s="3" t="s">
        <v>4408</v>
      </c>
      <c r="P630" s="3" t="s">
        <v>4409</v>
      </c>
      <c r="Q630" s="2">
        <v>2843</v>
      </c>
    </row>
    <row r="631" spans="1:17" ht="143.25" customHeight="1" x14ac:dyDescent="0.25">
      <c r="A631" s="5" t="str">
        <f>_xll.JChemExcel.Functions.JCSYSStructure("14E89074E8532A7A0B4083AD5620C98F")</f>
        <v/>
      </c>
      <c r="B631" s="3" t="s">
        <v>4410</v>
      </c>
      <c r="C631" s="3" t="s">
        <v>4411</v>
      </c>
      <c r="D631" s="2" t="s">
        <v>4413</v>
      </c>
      <c r="E631" s="2" t="s">
        <v>7756</v>
      </c>
      <c r="F631" s="3" t="s">
        <v>4412</v>
      </c>
      <c r="G631" s="2" t="s">
        <v>4414</v>
      </c>
      <c r="H631" s="8">
        <v>317.3</v>
      </c>
      <c r="I631" s="2" t="s">
        <v>22</v>
      </c>
      <c r="J631" s="2" t="s">
        <v>26</v>
      </c>
      <c r="K631" s="2">
        <v>9</v>
      </c>
      <c r="L631" s="2" t="s">
        <v>20</v>
      </c>
      <c r="M631" s="2" t="s">
        <v>124</v>
      </c>
      <c r="N631" s="3" t="s">
        <v>467</v>
      </c>
      <c r="O631" s="3" t="s">
        <v>4415</v>
      </c>
      <c r="P631" s="3" t="s">
        <v>4416</v>
      </c>
      <c r="Q631" s="2">
        <v>2843</v>
      </c>
    </row>
    <row r="632" spans="1:17" ht="143.25" customHeight="1" x14ac:dyDescent="0.25">
      <c r="A632" s="5" t="str">
        <f>_xll.JChemExcel.Functions.JCSYSStructure("E047942969436E4FF1B89C678AA39068")</f>
        <v/>
      </c>
      <c r="B632" s="3" t="s">
        <v>4417</v>
      </c>
      <c r="C632" s="3" t="s">
        <v>4418</v>
      </c>
      <c r="D632" s="2" t="s">
        <v>4420</v>
      </c>
      <c r="E632" s="2" t="s">
        <v>7757</v>
      </c>
      <c r="F632" s="3" t="s">
        <v>4419</v>
      </c>
      <c r="G632" s="2" t="s">
        <v>4421</v>
      </c>
      <c r="H632" s="8">
        <v>221.3</v>
      </c>
      <c r="I632" s="2" t="s">
        <v>22</v>
      </c>
      <c r="J632" s="2" t="s">
        <v>26</v>
      </c>
      <c r="K632" s="2">
        <v>9</v>
      </c>
      <c r="L632" s="2" t="s">
        <v>20</v>
      </c>
      <c r="M632" s="2">
        <v>1962</v>
      </c>
      <c r="N632" s="3" t="s">
        <v>4422</v>
      </c>
      <c r="O632" s="3" t="s">
        <v>4423</v>
      </c>
      <c r="P632" s="3" t="s">
        <v>4424</v>
      </c>
      <c r="Q632" s="2">
        <v>2843</v>
      </c>
    </row>
    <row r="633" spans="1:17" ht="143.25" customHeight="1" x14ac:dyDescent="0.25">
      <c r="A633" s="5" t="str">
        <f>_xll.JChemExcel.Functions.JCSYSStructure("3F3D37691108F163A69CC6C56443E676")</f>
        <v/>
      </c>
      <c r="B633" s="3" t="s">
        <v>4425</v>
      </c>
      <c r="C633" s="3" t="s">
        <v>4426</v>
      </c>
      <c r="D633" s="2" t="s">
        <v>4428</v>
      </c>
      <c r="E633" s="2" t="s">
        <v>7758</v>
      </c>
      <c r="F633" s="3" t="s">
        <v>4427</v>
      </c>
      <c r="G633" s="2" t="s">
        <v>4429</v>
      </c>
      <c r="H633" s="8">
        <v>195.7</v>
      </c>
      <c r="I633" s="2" t="s">
        <v>22</v>
      </c>
      <c r="J633" s="2" t="s">
        <v>26</v>
      </c>
      <c r="K633" s="2">
        <v>9</v>
      </c>
      <c r="L633" s="2" t="s">
        <v>20</v>
      </c>
      <c r="M633" s="2">
        <v>1986</v>
      </c>
      <c r="N633" s="3" t="s">
        <v>4430</v>
      </c>
      <c r="O633" s="3" t="s">
        <v>4431</v>
      </c>
      <c r="P633" s="3" t="s">
        <v>4432</v>
      </c>
      <c r="Q633" s="2">
        <v>2843</v>
      </c>
    </row>
    <row r="634" spans="1:17" ht="143.25" customHeight="1" x14ac:dyDescent="0.25">
      <c r="A634" s="5" t="str">
        <f>_xll.JChemExcel.Functions.JCSYSStructure("606AAC724E70874C192205A38AD52726")</f>
        <v/>
      </c>
      <c r="B634" s="3" t="s">
        <v>4433</v>
      </c>
      <c r="C634" s="3" t="s">
        <v>4434</v>
      </c>
      <c r="D634" s="2" t="s">
        <v>4436</v>
      </c>
      <c r="E634" s="2" t="s">
        <v>7759</v>
      </c>
      <c r="F634" s="3" t="s">
        <v>4435</v>
      </c>
      <c r="G634" s="2" t="s">
        <v>4437</v>
      </c>
      <c r="H634" s="8">
        <v>236.3</v>
      </c>
      <c r="I634" s="2" t="s">
        <v>22</v>
      </c>
      <c r="J634" s="2" t="s">
        <v>26</v>
      </c>
      <c r="K634" s="2">
        <v>9</v>
      </c>
      <c r="L634" s="2" t="s">
        <v>20</v>
      </c>
      <c r="M634" s="2">
        <v>1959</v>
      </c>
      <c r="N634" s="3" t="s">
        <v>819</v>
      </c>
      <c r="O634" s="3" t="s">
        <v>4438</v>
      </c>
      <c r="P634" s="3" t="s">
        <v>4439</v>
      </c>
      <c r="Q634" s="2">
        <v>2843</v>
      </c>
    </row>
    <row r="635" spans="1:17" ht="143.25" customHeight="1" x14ac:dyDescent="0.25">
      <c r="A635" s="5" t="str">
        <f>_xll.JChemExcel.Functions.JCSYSStructure("66306BC78B8F47E9DC95C866AB36866F")</f>
        <v/>
      </c>
      <c r="B635" s="3" t="s">
        <v>4440</v>
      </c>
      <c r="C635" s="3" t="s">
        <v>4441</v>
      </c>
      <c r="D635" s="2" t="s">
        <v>4443</v>
      </c>
      <c r="E635" s="2" t="s">
        <v>7760</v>
      </c>
      <c r="F635" s="3" t="s">
        <v>4442</v>
      </c>
      <c r="G635" s="2" t="s">
        <v>4444</v>
      </c>
      <c r="H635" s="8">
        <v>319.39999999999998</v>
      </c>
      <c r="I635" s="2" t="s">
        <v>22</v>
      </c>
      <c r="J635" s="2" t="s">
        <v>26</v>
      </c>
      <c r="K635" s="2">
        <v>9</v>
      </c>
      <c r="L635" s="2" t="s">
        <v>20</v>
      </c>
      <c r="M635" s="2">
        <v>2003</v>
      </c>
      <c r="N635" s="3" t="s">
        <v>4445</v>
      </c>
      <c r="O635" s="3" t="s">
        <v>4446</v>
      </c>
      <c r="P635" s="3" t="s">
        <v>4447</v>
      </c>
      <c r="Q635" s="2">
        <v>2843</v>
      </c>
    </row>
    <row r="636" spans="1:17" ht="143.25" customHeight="1" x14ac:dyDescent="0.25">
      <c r="A636" s="5" t="str">
        <f>_xll.JChemExcel.Functions.JCSYSStructure("2049ACFBC040DFAFF62F004EFE900E94")</f>
        <v/>
      </c>
      <c r="B636" s="3" t="s">
        <v>4448</v>
      </c>
      <c r="C636" s="3" t="s">
        <v>4449</v>
      </c>
      <c r="D636" s="2" t="s">
        <v>4451</v>
      </c>
      <c r="E636" s="2" t="s">
        <v>7761</v>
      </c>
      <c r="F636" s="3" t="s">
        <v>4450</v>
      </c>
      <c r="G636" s="2" t="s">
        <v>4452</v>
      </c>
      <c r="H636" s="8">
        <v>241.2</v>
      </c>
      <c r="I636" s="2" t="s">
        <v>22</v>
      </c>
      <c r="J636" s="2" t="s">
        <v>26</v>
      </c>
      <c r="K636" s="2">
        <v>9</v>
      </c>
      <c r="L636" s="2" t="s">
        <v>20</v>
      </c>
      <c r="M636" s="2">
        <v>1957</v>
      </c>
      <c r="N636" s="3" t="s">
        <v>2564</v>
      </c>
      <c r="O636" s="3" t="s">
        <v>4453</v>
      </c>
      <c r="P636" s="3" t="s">
        <v>4454</v>
      </c>
      <c r="Q636" s="2">
        <v>2843</v>
      </c>
    </row>
    <row r="637" spans="1:17" ht="143.25" customHeight="1" x14ac:dyDescent="0.25">
      <c r="A637" s="5" t="str">
        <f>_xll.JChemExcel.Functions.JCSYSStructure("09F4674BC80CA41387938C647B075FF4")</f>
        <v/>
      </c>
      <c r="B637" s="3" t="s">
        <v>4455</v>
      </c>
      <c r="C637" s="3" t="s">
        <v>4456</v>
      </c>
      <c r="D637" s="2" t="s">
        <v>4458</v>
      </c>
      <c r="E637" s="2">
        <v>440045</v>
      </c>
      <c r="F637" s="3" t="s">
        <v>4457</v>
      </c>
      <c r="G637" s="2" t="s">
        <v>8033</v>
      </c>
      <c r="H637" s="8">
        <v>454.4</v>
      </c>
      <c r="I637" s="2" t="s">
        <v>22</v>
      </c>
      <c r="J637" s="2" t="s">
        <v>26</v>
      </c>
      <c r="K637" s="2">
        <v>9</v>
      </c>
      <c r="L637" s="2" t="s">
        <v>20</v>
      </c>
      <c r="M637" s="2">
        <v>1953</v>
      </c>
      <c r="N637" s="3" t="s">
        <v>563</v>
      </c>
      <c r="O637" s="3" t="s">
        <v>4459</v>
      </c>
      <c r="P637" s="3" t="s">
        <v>4460</v>
      </c>
      <c r="Q637" s="2">
        <v>2843</v>
      </c>
    </row>
    <row r="638" spans="1:17" ht="143.25" customHeight="1" x14ac:dyDescent="0.25">
      <c r="A638" s="5" t="str">
        <f>_xll.JChemExcel.Functions.JCSYSStructure("A2C073968CB2B72C6F27DFDE373F4005")</f>
        <v/>
      </c>
      <c r="B638" s="3" t="s">
        <v>4461</v>
      </c>
      <c r="C638" s="3" t="s">
        <v>4462</v>
      </c>
      <c r="D638" s="2" t="s">
        <v>4464</v>
      </c>
      <c r="E638" s="2" t="s">
        <v>7762</v>
      </c>
      <c r="F638" s="3" t="s">
        <v>4463</v>
      </c>
      <c r="G638" s="2" t="s">
        <v>4465</v>
      </c>
      <c r="H638" s="8">
        <v>216.2</v>
      </c>
      <c r="I638" s="2" t="s">
        <v>22</v>
      </c>
      <c r="J638" s="2" t="s">
        <v>26</v>
      </c>
      <c r="K638" s="2">
        <v>9</v>
      </c>
      <c r="L638" s="2" t="s">
        <v>20</v>
      </c>
      <c r="M638" s="2">
        <v>1954</v>
      </c>
      <c r="N638" s="3" t="s">
        <v>4466</v>
      </c>
      <c r="O638" s="3" t="s">
        <v>4467</v>
      </c>
      <c r="P638" s="3" t="s">
        <v>4468</v>
      </c>
      <c r="Q638" s="2">
        <v>2843</v>
      </c>
    </row>
    <row r="639" spans="1:17" ht="143.25" customHeight="1" x14ac:dyDescent="0.25">
      <c r="A639" s="5" t="str">
        <f>_xll.JChemExcel.Functions.JCSYSStructure("5E10AAD76C8B42A7DA067979FA11A981")</f>
        <v/>
      </c>
      <c r="B639" s="3" t="s">
        <v>4469</v>
      </c>
      <c r="C639" s="3" t="s">
        <v>4470</v>
      </c>
      <c r="D639" s="2" t="s">
        <v>4471</v>
      </c>
      <c r="E639" s="2" t="s">
        <v>7763</v>
      </c>
      <c r="F639" s="3" t="s">
        <v>8034</v>
      </c>
      <c r="G639" s="2" t="s">
        <v>4472</v>
      </c>
      <c r="H639" s="8">
        <v>398.3</v>
      </c>
      <c r="I639" s="2" t="s">
        <v>22</v>
      </c>
      <c r="J639" s="2" t="s">
        <v>26</v>
      </c>
      <c r="K639" s="2">
        <v>9</v>
      </c>
      <c r="L639" s="2" t="s">
        <v>20</v>
      </c>
      <c r="M639" s="2">
        <v>1953</v>
      </c>
      <c r="N639" s="3" t="s">
        <v>4473</v>
      </c>
      <c r="O639" s="3" t="s">
        <v>3426</v>
      </c>
      <c r="P639" s="3" t="s">
        <v>4474</v>
      </c>
      <c r="Q639" s="2">
        <v>2843</v>
      </c>
    </row>
    <row r="640" spans="1:17" ht="143.25" customHeight="1" x14ac:dyDescent="0.25">
      <c r="A640" s="5" t="str">
        <f>_xll.JChemExcel.Functions.JCSYSStructure("346D76FCFF18DE5364864AB7B8286A53")</f>
        <v/>
      </c>
      <c r="B640" s="3" t="s">
        <v>4475</v>
      </c>
      <c r="C640" s="3" t="s">
        <v>4476</v>
      </c>
      <c r="D640" s="2" t="s">
        <v>4478</v>
      </c>
      <c r="E640" s="2" t="s">
        <v>7764</v>
      </c>
      <c r="F640" s="3" t="s">
        <v>4477</v>
      </c>
      <c r="G640" s="2" t="s">
        <v>4479</v>
      </c>
      <c r="H640" s="8">
        <v>203.2</v>
      </c>
      <c r="I640" s="2" t="s">
        <v>22</v>
      </c>
      <c r="J640" s="2" t="s">
        <v>26</v>
      </c>
      <c r="K640" s="2">
        <v>9</v>
      </c>
      <c r="L640" s="2" t="s">
        <v>20</v>
      </c>
      <c r="M640" s="2">
        <v>1957</v>
      </c>
      <c r="N640" s="3" t="s">
        <v>32</v>
      </c>
      <c r="O640" s="3" t="s">
        <v>4480</v>
      </c>
      <c r="P640" s="3" t="s">
        <v>4481</v>
      </c>
      <c r="Q640" s="2">
        <v>2843</v>
      </c>
    </row>
    <row r="641" spans="1:17" ht="143.25" customHeight="1" x14ac:dyDescent="0.25">
      <c r="A641" s="5" t="str">
        <f>_xll.JChemExcel.Functions.JCSYSStructure("E963722BDAA73843E8DA36CE6F98E932")</f>
        <v/>
      </c>
      <c r="B641" s="3" t="s">
        <v>4482</v>
      </c>
      <c r="C641" s="3" t="s">
        <v>4483</v>
      </c>
      <c r="D641" s="2" t="s">
        <v>4485</v>
      </c>
      <c r="E641" s="2" t="s">
        <v>7765</v>
      </c>
      <c r="F641" s="3" t="s">
        <v>4484</v>
      </c>
      <c r="G641" s="2" t="s">
        <v>4486</v>
      </c>
      <c r="H641" s="8">
        <v>360.2</v>
      </c>
      <c r="I641" s="2" t="s">
        <v>22</v>
      </c>
      <c r="J641" s="2" t="s">
        <v>26</v>
      </c>
      <c r="K641" s="2">
        <v>9</v>
      </c>
      <c r="L641" s="2" t="s">
        <v>20</v>
      </c>
      <c r="M641" s="2">
        <v>1960</v>
      </c>
      <c r="N641" s="3" t="s">
        <v>819</v>
      </c>
      <c r="O641" s="3" t="s">
        <v>4487</v>
      </c>
      <c r="P641" s="3" t="s">
        <v>4488</v>
      </c>
      <c r="Q641" s="2">
        <v>2843</v>
      </c>
    </row>
    <row r="642" spans="1:17" ht="143.25" customHeight="1" x14ac:dyDescent="0.25">
      <c r="A642" s="5" t="str">
        <f>_xll.JChemExcel.Functions.JCSYSStructure("AAA63B6931AFCD1D7ABEEF07B2CEC64C")</f>
        <v/>
      </c>
      <c r="B642" s="3" t="s">
        <v>4489</v>
      </c>
      <c r="C642" s="3" t="s">
        <v>4490</v>
      </c>
      <c r="D642" s="2" t="s">
        <v>4491</v>
      </c>
      <c r="E642" s="2" t="s">
        <v>7766</v>
      </c>
      <c r="F642" s="3" t="s">
        <v>8035</v>
      </c>
      <c r="G642" s="2" t="s">
        <v>4492</v>
      </c>
      <c r="H642" s="8">
        <v>181.6</v>
      </c>
      <c r="I642" s="2" t="s">
        <v>22</v>
      </c>
      <c r="J642" s="2" t="s">
        <v>26</v>
      </c>
      <c r="K642" s="2">
        <v>9</v>
      </c>
      <c r="L642" s="2" t="s">
        <v>20</v>
      </c>
      <c r="M642" s="2">
        <v>2004</v>
      </c>
      <c r="N642" s="3" t="s">
        <v>1931</v>
      </c>
      <c r="O642" s="3" t="s">
        <v>4493</v>
      </c>
      <c r="P642" s="3" t="s">
        <v>4494</v>
      </c>
      <c r="Q642" s="2">
        <v>2843</v>
      </c>
    </row>
    <row r="643" spans="1:17" ht="143.25" customHeight="1" x14ac:dyDescent="0.25">
      <c r="A643" s="5" t="str">
        <f>_xll.JChemExcel.Functions.JCSYSStructure("8679EB59925D23B8ED1EE49FC2053CD9")</f>
        <v/>
      </c>
      <c r="B643" s="3" t="s">
        <v>4495</v>
      </c>
      <c r="C643" s="3" t="s">
        <v>4496</v>
      </c>
      <c r="D643" s="2" t="s">
        <v>4498</v>
      </c>
      <c r="E643" s="2" t="s">
        <v>7767</v>
      </c>
      <c r="F643" s="3" t="s">
        <v>4497</v>
      </c>
      <c r="G643" s="2" t="s">
        <v>4499</v>
      </c>
      <c r="H643" s="8">
        <v>455.5</v>
      </c>
      <c r="I643" s="2" t="s">
        <v>22</v>
      </c>
      <c r="J643" s="2" t="s">
        <v>26</v>
      </c>
      <c r="K643" s="2">
        <v>9</v>
      </c>
      <c r="L643" s="2" t="s">
        <v>20</v>
      </c>
      <c r="M643" s="2">
        <v>1946</v>
      </c>
      <c r="N643" s="3" t="s">
        <v>4500</v>
      </c>
      <c r="O643" s="3" t="s">
        <v>4501</v>
      </c>
      <c r="P643" s="3" t="s">
        <v>4502</v>
      </c>
      <c r="Q643" s="2">
        <v>2843</v>
      </c>
    </row>
    <row r="644" spans="1:17" ht="143.25" customHeight="1" x14ac:dyDescent="0.25">
      <c r="A644" s="5" t="str">
        <f>_xll.JChemExcel.Functions.JCSYSStructure("72A64066F2C5EE9D0E7BDC566111C785")</f>
        <v/>
      </c>
      <c r="B644" s="3" t="s">
        <v>4503</v>
      </c>
      <c r="C644" s="3" t="s">
        <v>4504</v>
      </c>
      <c r="D644" s="2" t="s">
        <v>4506</v>
      </c>
      <c r="E644" s="2" t="s">
        <v>7768</v>
      </c>
      <c r="F644" s="3" t="s">
        <v>4505</v>
      </c>
      <c r="G644" s="2" t="s">
        <v>4507</v>
      </c>
      <c r="H644" s="8">
        <v>365.8</v>
      </c>
      <c r="I644" s="2" t="s">
        <v>22</v>
      </c>
      <c r="J644" s="2" t="s">
        <v>26</v>
      </c>
      <c r="K644" s="2">
        <v>9</v>
      </c>
      <c r="L644" s="2" t="s">
        <v>20</v>
      </c>
      <c r="M644" s="2">
        <v>1973</v>
      </c>
      <c r="N644" s="3" t="s">
        <v>4508</v>
      </c>
      <c r="O644" s="3" t="s">
        <v>4509</v>
      </c>
      <c r="P644" s="3" t="s">
        <v>4510</v>
      </c>
      <c r="Q644" s="2">
        <v>2843</v>
      </c>
    </row>
    <row r="645" spans="1:17" ht="143.25" customHeight="1" x14ac:dyDescent="0.25">
      <c r="A645" s="5" t="str">
        <f>_xll.JChemExcel.Functions.JCSYSStructure("E26FB93A841F386AAE178345D6512BB5")</f>
        <v/>
      </c>
      <c r="B645" s="3" t="s">
        <v>4511</v>
      </c>
      <c r="C645" s="3" t="s">
        <v>4512</v>
      </c>
      <c r="D645" s="2" t="s">
        <v>4514</v>
      </c>
      <c r="E645" s="2" t="s">
        <v>7769</v>
      </c>
      <c r="F645" s="3" t="s">
        <v>4513</v>
      </c>
      <c r="G645" s="2" t="s">
        <v>4515</v>
      </c>
      <c r="H645" s="8">
        <v>226.3</v>
      </c>
      <c r="I645" s="2" t="s">
        <v>22</v>
      </c>
      <c r="J645" s="2" t="s">
        <v>26</v>
      </c>
      <c r="K645" s="2">
        <v>9</v>
      </c>
      <c r="L645" s="2" t="s">
        <v>20</v>
      </c>
      <c r="M645" s="2">
        <v>1961</v>
      </c>
      <c r="N645" s="3" t="s">
        <v>4516</v>
      </c>
      <c r="O645" s="3" t="s">
        <v>4517</v>
      </c>
      <c r="P645" s="3" t="s">
        <v>4518</v>
      </c>
      <c r="Q645" s="2">
        <v>2843</v>
      </c>
    </row>
    <row r="646" spans="1:17" ht="143.25" customHeight="1" x14ac:dyDescent="0.25">
      <c r="D646" s="2" t="s">
        <v>4519</v>
      </c>
      <c r="F646" s="3" t="s">
        <v>2847</v>
      </c>
      <c r="G646" s="2"/>
      <c r="K646" s="2">
        <v>9</v>
      </c>
      <c r="L646" s="2" t="s">
        <v>20</v>
      </c>
      <c r="Q646" s="2">
        <v>2843</v>
      </c>
    </row>
    <row r="647" spans="1:17" ht="143.25" customHeight="1" x14ac:dyDescent="0.25">
      <c r="A647" s="5" t="str">
        <f>_xll.JChemExcel.Functions.JCSYSStructure("968F30712CF8E0BB0DDDC28B97028339")</f>
        <v/>
      </c>
      <c r="B647" s="3" t="s">
        <v>4520</v>
      </c>
      <c r="C647" s="3" t="s">
        <v>4521</v>
      </c>
      <c r="D647" s="2" t="s">
        <v>4523</v>
      </c>
      <c r="E647" s="2" t="s">
        <v>7770</v>
      </c>
      <c r="F647" s="3" t="s">
        <v>4522</v>
      </c>
      <c r="G647" s="4" t="s">
        <v>7154</v>
      </c>
      <c r="H647" s="8">
        <v>215.7</v>
      </c>
      <c r="I647" s="2" t="s">
        <v>22</v>
      </c>
      <c r="J647" s="2" t="s">
        <v>26</v>
      </c>
      <c r="K647" s="2">
        <v>9</v>
      </c>
      <c r="L647" s="2" t="s">
        <v>20</v>
      </c>
      <c r="M647" s="2">
        <v>1985</v>
      </c>
      <c r="N647" s="3" t="s">
        <v>4524</v>
      </c>
      <c r="O647" s="3" t="s">
        <v>4525</v>
      </c>
      <c r="P647" s="3" t="s">
        <v>4526</v>
      </c>
      <c r="Q647" s="2">
        <v>2843</v>
      </c>
    </row>
    <row r="648" spans="1:17" ht="143.25" customHeight="1" x14ac:dyDescent="0.25">
      <c r="A648" s="5" t="str">
        <f>_xll.JChemExcel.Functions.JCSYSStructure("BF3B03E78229B347BAED2B43AE6ABE6F")</f>
        <v/>
      </c>
      <c r="B648" s="3" t="s">
        <v>4527</v>
      </c>
      <c r="C648" s="3" t="s">
        <v>4528</v>
      </c>
      <c r="D648" s="2" t="s">
        <v>4530</v>
      </c>
      <c r="E648" s="2" t="s">
        <v>7771</v>
      </c>
      <c r="F648" s="3" t="s">
        <v>4529</v>
      </c>
      <c r="G648" s="2" t="s">
        <v>7163</v>
      </c>
      <c r="H648" s="8">
        <v>1292.2</v>
      </c>
      <c r="I648" s="2" t="s">
        <v>22</v>
      </c>
      <c r="J648" s="2" t="s">
        <v>26</v>
      </c>
      <c r="K648" s="2">
        <v>9</v>
      </c>
      <c r="L648" s="2" t="s">
        <v>20</v>
      </c>
      <c r="M648" s="2">
        <v>2005</v>
      </c>
      <c r="N648" s="3" t="s">
        <v>676</v>
      </c>
      <c r="O648" s="3" t="s">
        <v>4531</v>
      </c>
      <c r="P648" s="3" t="s">
        <v>4532</v>
      </c>
      <c r="Q648" s="2">
        <v>2843</v>
      </c>
    </row>
    <row r="649" spans="1:17" ht="143.25" customHeight="1" x14ac:dyDescent="0.25">
      <c r="A649" s="5" t="str">
        <f>_xll.JChemExcel.Functions.JCSYSStructure("21160B391A77BE2BD3E88722D78EFB7D")</f>
        <v/>
      </c>
      <c r="B649" s="3" t="s">
        <v>7238</v>
      </c>
      <c r="C649" s="3" t="s">
        <v>7237</v>
      </c>
      <c r="D649" s="2" t="s">
        <v>4533</v>
      </c>
      <c r="E649" s="2" t="s">
        <v>7772</v>
      </c>
      <c r="F649" s="3" t="s">
        <v>7236</v>
      </c>
      <c r="G649" s="2" t="s">
        <v>7241</v>
      </c>
      <c r="H649" s="8">
        <v>479.1</v>
      </c>
      <c r="I649" s="2" t="s">
        <v>22</v>
      </c>
      <c r="J649" s="2" t="s">
        <v>26</v>
      </c>
      <c r="K649" s="2">
        <v>9</v>
      </c>
      <c r="L649" s="2" t="s">
        <v>20</v>
      </c>
      <c r="M649" s="2">
        <v>1974</v>
      </c>
      <c r="N649" s="3" t="s">
        <v>676</v>
      </c>
      <c r="O649" s="3" t="s">
        <v>4534</v>
      </c>
      <c r="P649" s="3" t="s">
        <v>4535</v>
      </c>
      <c r="Q649" s="2">
        <v>2843</v>
      </c>
    </row>
    <row r="650" spans="1:17" ht="143.25" customHeight="1" x14ac:dyDescent="0.25">
      <c r="D650" s="2" t="s">
        <v>4536</v>
      </c>
      <c r="F650" s="3" t="s">
        <v>2847</v>
      </c>
      <c r="G650" s="2"/>
      <c r="K650" s="2">
        <v>9</v>
      </c>
      <c r="L650" s="2" t="s">
        <v>20</v>
      </c>
      <c r="Q650" s="2">
        <v>2843</v>
      </c>
    </row>
    <row r="651" spans="1:17" ht="143.25" customHeight="1" x14ac:dyDescent="0.25">
      <c r="A651" s="5" t="str">
        <f>_xll.JChemExcel.Functions.JCSYSStructure("4D6969C38B7B8BE3DF1B51DD7439B0BF")</f>
        <v/>
      </c>
      <c r="B651" s="3" t="s">
        <v>4537</v>
      </c>
      <c r="C651" s="3" t="s">
        <v>4538</v>
      </c>
      <c r="D651" s="2" t="s">
        <v>4540</v>
      </c>
      <c r="E651" s="2" t="s">
        <v>7773</v>
      </c>
      <c r="F651" s="3" t="s">
        <v>4539</v>
      </c>
      <c r="G651" s="2" t="s">
        <v>4541</v>
      </c>
      <c r="H651" s="8">
        <v>290.7</v>
      </c>
      <c r="I651" s="2" t="s">
        <v>22</v>
      </c>
      <c r="J651" s="2" t="s">
        <v>26</v>
      </c>
      <c r="K651" s="2">
        <v>9</v>
      </c>
      <c r="L651" s="2" t="s">
        <v>20</v>
      </c>
      <c r="M651" s="2">
        <v>1996</v>
      </c>
      <c r="N651" s="3" t="s">
        <v>4542</v>
      </c>
      <c r="O651" s="3" t="s">
        <v>4543</v>
      </c>
      <c r="P651" s="3" t="s">
        <v>4544</v>
      </c>
      <c r="Q651" s="2">
        <v>2843</v>
      </c>
    </row>
    <row r="652" spans="1:17" ht="143.25" customHeight="1" x14ac:dyDescent="0.25">
      <c r="A652" s="5" t="str">
        <f>_xll.JChemExcel.Functions.JCSYSStructure("7B4E7B3692D872499D7F16D0BB65C8CC")</f>
        <v/>
      </c>
      <c r="B652" s="3" t="s">
        <v>4545</v>
      </c>
      <c r="C652" s="3" t="s">
        <v>4546</v>
      </c>
      <c r="D652" s="2" t="s">
        <v>4548</v>
      </c>
      <c r="E652" s="2" t="s">
        <v>7774</v>
      </c>
      <c r="F652" s="3" t="s">
        <v>4547</v>
      </c>
      <c r="G652" s="2" t="s">
        <v>4549</v>
      </c>
      <c r="H652" s="8">
        <v>207.2</v>
      </c>
      <c r="I652" s="2" t="s">
        <v>22</v>
      </c>
      <c r="J652" s="2" t="s">
        <v>26</v>
      </c>
      <c r="K652" s="2">
        <v>9</v>
      </c>
      <c r="L652" s="2" t="s">
        <v>20</v>
      </c>
      <c r="M652" s="2">
        <v>1996</v>
      </c>
      <c r="N652" s="3" t="s">
        <v>4550</v>
      </c>
      <c r="O652" s="3" t="s">
        <v>4551</v>
      </c>
      <c r="P652" s="3" t="s">
        <v>4552</v>
      </c>
      <c r="Q652" s="2">
        <v>2843</v>
      </c>
    </row>
    <row r="653" spans="1:17" ht="143.25" customHeight="1" x14ac:dyDescent="0.25">
      <c r="A653" s="5" t="str">
        <f>_xll.JChemExcel.Functions.JCSYSStructure("8F0F15D766233C22559E7606D597B7E4")</f>
        <v/>
      </c>
      <c r="B653" s="3" t="s">
        <v>4553</v>
      </c>
      <c r="C653" s="3" t="s">
        <v>4554</v>
      </c>
      <c r="D653" s="2" t="s">
        <v>4556</v>
      </c>
      <c r="E653" s="2" t="s">
        <v>7775</v>
      </c>
      <c r="F653" s="3" t="s">
        <v>4555</v>
      </c>
      <c r="G653" s="2" t="s">
        <v>4557</v>
      </c>
      <c r="H653" s="8">
        <v>282.8</v>
      </c>
      <c r="I653" s="2" t="s">
        <v>22</v>
      </c>
      <c r="J653" s="2" t="s">
        <v>26</v>
      </c>
      <c r="K653" s="2">
        <v>9</v>
      </c>
      <c r="L653" s="2" t="s">
        <v>20</v>
      </c>
      <c r="M653" s="2">
        <v>2009</v>
      </c>
      <c r="N653" s="3" t="s">
        <v>4558</v>
      </c>
      <c r="O653" s="3" t="s">
        <v>4559</v>
      </c>
      <c r="P653" s="3" t="s">
        <v>4560</v>
      </c>
      <c r="Q653" s="2">
        <v>2843</v>
      </c>
    </row>
    <row r="654" spans="1:17" ht="143.25" customHeight="1" x14ac:dyDescent="0.25">
      <c r="A654" s="5" t="str">
        <f>_xll.JChemExcel.Functions.JCSYSStructure("9624FF7BB4AD9479897B7E10D0267A0C")</f>
        <v/>
      </c>
      <c r="B654" s="3" t="s">
        <v>4561</v>
      </c>
      <c r="C654" s="3" t="s">
        <v>4562</v>
      </c>
      <c r="D654" s="2" t="s">
        <v>4564</v>
      </c>
      <c r="E654" s="2" t="s">
        <v>7776</v>
      </c>
      <c r="F654" s="3" t="s">
        <v>4563</v>
      </c>
      <c r="G654" s="2" t="s">
        <v>7242</v>
      </c>
      <c r="H654" s="8">
        <v>265.39999999999998</v>
      </c>
      <c r="I654" s="2" t="s">
        <v>22</v>
      </c>
      <c r="J654" s="2" t="s">
        <v>26</v>
      </c>
      <c r="K654" s="2">
        <v>9</v>
      </c>
      <c r="L654" s="2" t="s">
        <v>20</v>
      </c>
      <c r="M654" s="2">
        <v>1996</v>
      </c>
      <c r="N654" s="3" t="s">
        <v>269</v>
      </c>
      <c r="O654" s="3" t="s">
        <v>4565</v>
      </c>
      <c r="P654" s="3" t="s">
        <v>4566</v>
      </c>
      <c r="Q654" s="2">
        <v>2843</v>
      </c>
    </row>
    <row r="655" spans="1:17" ht="143.25" customHeight="1" x14ac:dyDescent="0.25">
      <c r="A655" s="5" t="str">
        <f>_xll.JChemExcel.Functions.JCSYSStructure("86B476B6D0B8F170551AA9F3E8425ED2")</f>
        <v/>
      </c>
      <c r="B655" s="3" t="s">
        <v>4567</v>
      </c>
      <c r="C655" s="3" t="s">
        <v>4568</v>
      </c>
      <c r="D655" s="2" t="s">
        <v>4570</v>
      </c>
      <c r="E655" s="2" t="s">
        <v>7777</v>
      </c>
      <c r="F655" s="3" t="s">
        <v>4569</v>
      </c>
      <c r="G655" s="2" t="s">
        <v>4571</v>
      </c>
      <c r="H655" s="8">
        <v>320</v>
      </c>
      <c r="I655" s="2" t="s">
        <v>22</v>
      </c>
      <c r="J655" s="2" t="s">
        <v>26</v>
      </c>
      <c r="K655" s="2">
        <v>9</v>
      </c>
      <c r="L655" s="2" t="s">
        <v>20</v>
      </c>
      <c r="M655" s="2">
        <v>1970</v>
      </c>
      <c r="N655" s="3" t="s">
        <v>563</v>
      </c>
      <c r="O655" s="3" t="s">
        <v>4572</v>
      </c>
      <c r="P655" s="3" t="s">
        <v>4573</v>
      </c>
      <c r="Q655" s="2">
        <v>2843</v>
      </c>
    </row>
    <row r="656" spans="1:17" ht="143.25" customHeight="1" x14ac:dyDescent="0.25">
      <c r="D656" s="2" t="s">
        <v>4574</v>
      </c>
      <c r="F656" s="3" t="s">
        <v>2847</v>
      </c>
      <c r="G656" s="2"/>
      <c r="K656" s="2">
        <v>9</v>
      </c>
      <c r="L656" s="2" t="s">
        <v>20</v>
      </c>
      <c r="Q656" s="2">
        <v>2843</v>
      </c>
    </row>
    <row r="657" spans="1:17" ht="143.25" customHeight="1" x14ac:dyDescent="0.25">
      <c r="A657" s="5" t="str">
        <f>_xll.JChemExcel.Functions.JCSYSStructure("6472BB714E48D7EC0253CD567C797766")</f>
        <v/>
      </c>
      <c r="B657" s="3" t="s">
        <v>4575</v>
      </c>
      <c r="C657" s="3" t="s">
        <v>4576</v>
      </c>
      <c r="D657" s="2" t="s">
        <v>4578</v>
      </c>
      <c r="E657" s="2" t="s">
        <v>7778</v>
      </c>
      <c r="F657" s="3" t="s">
        <v>4577</v>
      </c>
      <c r="G657" s="2" t="s">
        <v>4579</v>
      </c>
      <c r="H657" s="8">
        <v>535</v>
      </c>
      <c r="I657" s="2" t="s">
        <v>22</v>
      </c>
      <c r="J657" s="2" t="s">
        <v>26</v>
      </c>
      <c r="K657" s="2">
        <v>9</v>
      </c>
      <c r="L657" s="2" t="s">
        <v>20</v>
      </c>
      <c r="M657" s="2">
        <v>1995</v>
      </c>
      <c r="N657" s="3" t="s">
        <v>183</v>
      </c>
      <c r="O657" s="3" t="s">
        <v>3026</v>
      </c>
      <c r="P657" s="3" t="s">
        <v>4580</v>
      </c>
      <c r="Q657" s="2">
        <v>2843</v>
      </c>
    </row>
    <row r="658" spans="1:17" ht="143.25" customHeight="1" x14ac:dyDescent="0.25">
      <c r="A658" s="5" t="str">
        <f>_xll.JChemExcel.Functions.JCSYSStructure("0B1F57FDEA4E6831CFB5728CFF5F73BF")</f>
        <v/>
      </c>
      <c r="B658" s="3" t="s">
        <v>4581</v>
      </c>
      <c r="C658" s="3" t="s">
        <v>4582</v>
      </c>
      <c r="D658" s="2" t="s">
        <v>4584</v>
      </c>
      <c r="E658" s="2" t="s">
        <v>7779</v>
      </c>
      <c r="F658" s="3" t="s">
        <v>4583</v>
      </c>
      <c r="G658" s="2" t="s">
        <v>4585</v>
      </c>
      <c r="H658" s="8">
        <v>521.4</v>
      </c>
      <c r="I658" s="2" t="s">
        <v>22</v>
      </c>
      <c r="J658" s="2" t="s">
        <v>26</v>
      </c>
      <c r="K658" s="2">
        <v>9</v>
      </c>
      <c r="L658" s="2" t="s">
        <v>20</v>
      </c>
      <c r="M658" s="2">
        <v>1987</v>
      </c>
      <c r="N658" s="3" t="s">
        <v>4586</v>
      </c>
      <c r="O658" s="3" t="s">
        <v>4587</v>
      </c>
      <c r="P658" s="3" t="s">
        <v>4588</v>
      </c>
      <c r="Q658" s="2">
        <v>2843</v>
      </c>
    </row>
    <row r="659" spans="1:17" ht="143.25" customHeight="1" x14ac:dyDescent="0.25">
      <c r="A659" s="5" t="str">
        <f>_xll.JChemExcel.Functions.JCSYSStructure("295D3B4BE7D37B3E7F240CEB9CAEC4F5")</f>
        <v/>
      </c>
      <c r="B659" s="3" t="s">
        <v>4589</v>
      </c>
      <c r="C659" s="3" t="s">
        <v>4590</v>
      </c>
      <c r="D659" s="2" t="s">
        <v>4592</v>
      </c>
      <c r="E659" s="2" t="s">
        <v>7780</v>
      </c>
      <c r="F659" s="3" t="s">
        <v>4591</v>
      </c>
      <c r="G659" s="2" t="s">
        <v>4593</v>
      </c>
      <c r="H659" s="8">
        <v>500.6</v>
      </c>
      <c r="I659" s="2" t="s">
        <v>22</v>
      </c>
      <c r="J659" s="2" t="s">
        <v>26</v>
      </c>
      <c r="K659" s="2">
        <v>9</v>
      </c>
      <c r="L659" s="2" t="s">
        <v>20</v>
      </c>
      <c r="M659" s="2">
        <v>1987</v>
      </c>
      <c r="N659" s="3" t="s">
        <v>4594</v>
      </c>
      <c r="O659" s="3" t="s">
        <v>4595</v>
      </c>
      <c r="P659" s="3" t="s">
        <v>4596</v>
      </c>
      <c r="Q659" s="2">
        <v>2843</v>
      </c>
    </row>
    <row r="660" spans="1:17" ht="143.25" customHeight="1" x14ac:dyDescent="0.25">
      <c r="A660" s="5" t="str">
        <f>_xll.JChemExcel.Functions.JCSYSStructure("7F3AFD887F3F15A2570F6DED4EDD9C03")</f>
        <v/>
      </c>
      <c r="B660" s="3" t="s">
        <v>4597</v>
      </c>
      <c r="C660" s="3" t="s">
        <v>4598</v>
      </c>
      <c r="D660" s="2" t="s">
        <v>4600</v>
      </c>
      <c r="E660" s="2" t="s">
        <v>7781</v>
      </c>
      <c r="F660" s="3" t="s">
        <v>4599</v>
      </c>
      <c r="G660" s="2" t="s">
        <v>4601</v>
      </c>
      <c r="H660" s="8">
        <v>309.39999999999998</v>
      </c>
      <c r="I660" s="2" t="s">
        <v>22</v>
      </c>
      <c r="J660" s="2" t="s">
        <v>26</v>
      </c>
      <c r="K660" s="2">
        <v>9</v>
      </c>
      <c r="L660" s="2" t="s">
        <v>20</v>
      </c>
      <c r="M660" s="2">
        <v>1986</v>
      </c>
      <c r="N660" s="3" t="s">
        <v>183</v>
      </c>
      <c r="O660" s="3" t="s">
        <v>4602</v>
      </c>
      <c r="P660" s="3" t="s">
        <v>4603</v>
      </c>
      <c r="Q660" s="2">
        <v>2843</v>
      </c>
    </row>
    <row r="661" spans="1:17" ht="143.25" customHeight="1" x14ac:dyDescent="0.25">
      <c r="A661" s="5" t="str">
        <f>_xll.JChemExcel.Functions.JCSYSStructure("30760D370AAED950CD2BE59930D8D558")</f>
        <v/>
      </c>
      <c r="B661" s="3" t="s">
        <v>4604</v>
      </c>
      <c r="C661" s="3" t="s">
        <v>4605</v>
      </c>
      <c r="D661" s="2" t="s">
        <v>4607</v>
      </c>
      <c r="E661" s="2" t="s">
        <v>7782</v>
      </c>
      <c r="F661" s="3" t="s">
        <v>4606</v>
      </c>
      <c r="G661" s="2" t="s">
        <v>4608</v>
      </c>
      <c r="H661" s="8">
        <v>436.5</v>
      </c>
      <c r="I661" s="2" t="s">
        <v>22</v>
      </c>
      <c r="J661" s="2" t="s">
        <v>26</v>
      </c>
      <c r="K661" s="2">
        <v>9</v>
      </c>
      <c r="L661" s="2" t="s">
        <v>20</v>
      </c>
      <c r="M661" s="2">
        <v>1984</v>
      </c>
      <c r="N661" s="3" t="s">
        <v>73</v>
      </c>
      <c r="O661" s="3" t="s">
        <v>4609</v>
      </c>
      <c r="P661" s="3" t="s">
        <v>4610</v>
      </c>
      <c r="Q661" s="2">
        <v>2843</v>
      </c>
    </row>
    <row r="662" spans="1:17" ht="143.25" customHeight="1" x14ac:dyDescent="0.25">
      <c r="A662" s="5" t="str">
        <f>_xll.JChemExcel.Functions.JCSYSStructure("50AE5931DB46B9B9AB2EB6E49BB0BEEF")</f>
        <v/>
      </c>
      <c r="B662" s="3" t="s">
        <v>4611</v>
      </c>
      <c r="C662" s="3" t="s">
        <v>4612</v>
      </c>
      <c r="D662" s="2" t="s">
        <v>4614</v>
      </c>
      <c r="E662" s="2" t="s">
        <v>7783</v>
      </c>
      <c r="F662" s="3" t="s">
        <v>4613</v>
      </c>
      <c r="G662" s="2" t="s">
        <v>4615</v>
      </c>
      <c r="H662" s="8">
        <v>323.89999999999998</v>
      </c>
      <c r="I662" s="2" t="s">
        <v>22</v>
      </c>
      <c r="J662" s="2" t="s">
        <v>26</v>
      </c>
      <c r="K662" s="2">
        <v>9</v>
      </c>
      <c r="L662" s="2" t="s">
        <v>20</v>
      </c>
      <c r="M662" s="2">
        <v>1988</v>
      </c>
      <c r="N662" s="3" t="s">
        <v>4616</v>
      </c>
      <c r="O662" s="3" t="s">
        <v>4617</v>
      </c>
      <c r="P662" s="3" t="s">
        <v>4618</v>
      </c>
      <c r="Q662" s="2">
        <v>2843</v>
      </c>
    </row>
    <row r="663" spans="1:17" ht="143.25" customHeight="1" x14ac:dyDescent="0.25">
      <c r="A663" s="5" t="str">
        <f>_xll.JChemExcel.Functions.JCSYSStructure("E107AFB817FD9D6919653DAE45DB0FAB")</f>
        <v/>
      </c>
      <c r="B663" s="3" t="s">
        <v>4619</v>
      </c>
      <c r="C663" s="3" t="s">
        <v>4620</v>
      </c>
      <c r="D663" s="2" t="s">
        <v>4622</v>
      </c>
      <c r="E663" s="2" t="s">
        <v>7784</v>
      </c>
      <c r="F663" s="3" t="s">
        <v>4621</v>
      </c>
      <c r="G663" s="2" t="s">
        <v>4623</v>
      </c>
      <c r="H663" s="8">
        <v>371.9</v>
      </c>
      <c r="I663" s="2" t="s">
        <v>22</v>
      </c>
      <c r="J663" s="2" t="s">
        <v>26</v>
      </c>
      <c r="K663" s="2">
        <v>9</v>
      </c>
      <c r="L663" s="2" t="s">
        <v>20</v>
      </c>
      <c r="M663" s="2">
        <v>1998</v>
      </c>
      <c r="N663" s="3" t="s">
        <v>4624</v>
      </c>
      <c r="O663" s="3" t="s">
        <v>4625</v>
      </c>
      <c r="P663" s="3" t="s">
        <v>4626</v>
      </c>
      <c r="Q663" s="2">
        <v>2843</v>
      </c>
    </row>
    <row r="664" spans="1:17" ht="143.25" customHeight="1" x14ac:dyDescent="0.25">
      <c r="A664" s="5" t="str">
        <f>_xll.JChemExcel.Functions.JCSYSStructure("AE664F59E6CD58C2A298896160906DA0")</f>
        <v/>
      </c>
      <c r="B664" s="3" t="s">
        <v>4627</v>
      </c>
      <c r="C664" s="3" t="s">
        <v>4628</v>
      </c>
      <c r="D664" s="2" t="s">
        <v>4630</v>
      </c>
      <c r="E664" s="2" t="s">
        <v>7785</v>
      </c>
      <c r="F664" s="3" t="s">
        <v>4629</v>
      </c>
      <c r="G664" s="2" t="s">
        <v>4631</v>
      </c>
      <c r="H664" s="8">
        <v>665.7</v>
      </c>
      <c r="I664" s="2" t="s">
        <v>22</v>
      </c>
      <c r="J664" s="2" t="s">
        <v>26</v>
      </c>
      <c r="K664" s="2">
        <v>9</v>
      </c>
      <c r="L664" s="2" t="s">
        <v>20</v>
      </c>
      <c r="M664" s="2" t="s">
        <v>124</v>
      </c>
      <c r="N664" s="3" t="s">
        <v>4632</v>
      </c>
      <c r="O664" s="3" t="s">
        <v>4633</v>
      </c>
      <c r="P664" s="3" t="s">
        <v>4634</v>
      </c>
      <c r="Q664" s="2">
        <v>2843</v>
      </c>
    </row>
    <row r="665" spans="1:17" ht="143.25" customHeight="1" x14ac:dyDescent="0.25">
      <c r="A665" s="5" t="str">
        <f>_xll.JChemExcel.Functions.JCSYSStructure("D2136A06257EF84FD8557313DAA5925A")</f>
        <v/>
      </c>
      <c r="B665" s="3" t="s">
        <v>4635</v>
      </c>
      <c r="C665" s="3" t="s">
        <v>4636</v>
      </c>
      <c r="D665" s="2" t="s">
        <v>4638</v>
      </c>
      <c r="E665" s="2" t="s">
        <v>7786</v>
      </c>
      <c r="F665" s="3" t="s">
        <v>4637</v>
      </c>
      <c r="G665" s="2" t="s">
        <v>4639</v>
      </c>
      <c r="H665" s="8">
        <v>441.9</v>
      </c>
      <c r="I665" s="2" t="s">
        <v>22</v>
      </c>
      <c r="J665" s="2" t="s">
        <v>26</v>
      </c>
      <c r="K665" s="2">
        <v>9</v>
      </c>
      <c r="L665" s="2" t="s">
        <v>20</v>
      </c>
      <c r="M665" s="2">
        <v>2007</v>
      </c>
      <c r="N665" s="3" t="s">
        <v>183</v>
      </c>
      <c r="O665" s="3" t="s">
        <v>4640</v>
      </c>
      <c r="P665" s="3" t="s">
        <v>4641</v>
      </c>
      <c r="Q665" s="2">
        <v>2843</v>
      </c>
    </row>
    <row r="666" spans="1:17" ht="143.25" customHeight="1" x14ac:dyDescent="0.25">
      <c r="A666" s="5" t="str">
        <f>_xll.JChemExcel.Functions.JCSYSStructure("CB29632A6760689E0A9AC225D6039B12")</f>
        <v/>
      </c>
      <c r="B666" s="3" t="s">
        <v>4642</v>
      </c>
      <c r="C666" s="3" t="s">
        <v>4643</v>
      </c>
      <c r="D666" s="2" t="s">
        <v>4645</v>
      </c>
      <c r="E666" s="2" t="s">
        <v>7787</v>
      </c>
      <c r="F666" s="3" t="s">
        <v>4644</v>
      </c>
      <c r="G666" s="2" t="s">
        <v>4646</v>
      </c>
      <c r="H666" s="8">
        <v>297.3</v>
      </c>
      <c r="I666" s="2" t="s">
        <v>22</v>
      </c>
      <c r="J666" s="2" t="s">
        <v>26</v>
      </c>
      <c r="K666" s="2">
        <v>9</v>
      </c>
      <c r="L666" s="2" t="s">
        <v>20</v>
      </c>
      <c r="M666" s="2">
        <v>2005</v>
      </c>
      <c r="N666" s="3" t="s">
        <v>563</v>
      </c>
      <c r="O666" s="3" t="s">
        <v>4647</v>
      </c>
      <c r="P666" s="3" t="s">
        <v>4648</v>
      </c>
      <c r="Q666" s="2">
        <v>2843</v>
      </c>
    </row>
    <row r="667" spans="1:17" ht="143.25" customHeight="1" x14ac:dyDescent="0.25">
      <c r="A667" s="5" t="str">
        <f>_xll.JChemExcel.Functions.JCSYSStructure("4C5E52F6BD14E19B95CCF5574B9A7D2A")</f>
        <v/>
      </c>
      <c r="B667" s="3" t="s">
        <v>4649</v>
      </c>
      <c r="C667" s="3" t="s">
        <v>4650</v>
      </c>
      <c r="D667" s="2" t="s">
        <v>4652</v>
      </c>
      <c r="E667" s="2" t="s">
        <v>7788</v>
      </c>
      <c r="F667" s="3" t="s">
        <v>4651</v>
      </c>
      <c r="G667" s="2" t="s">
        <v>4653</v>
      </c>
      <c r="H667" s="8">
        <v>254.3</v>
      </c>
      <c r="I667" s="2" t="s">
        <v>22</v>
      </c>
      <c r="J667" s="2" t="s">
        <v>26</v>
      </c>
      <c r="K667" s="2">
        <v>9</v>
      </c>
      <c r="L667" s="2" t="s">
        <v>20</v>
      </c>
      <c r="M667" s="2">
        <v>2005</v>
      </c>
      <c r="N667" s="3" t="s">
        <v>4654</v>
      </c>
      <c r="O667" s="3" t="s">
        <v>4655</v>
      </c>
      <c r="P667" s="3" t="s">
        <v>4656</v>
      </c>
      <c r="Q667" s="2">
        <v>2843</v>
      </c>
    </row>
    <row r="668" spans="1:17" ht="143.25" customHeight="1" x14ac:dyDescent="0.25">
      <c r="A668" s="5" t="str">
        <f>_xll.JChemExcel.Functions.JCSYSStructure("527BB060465ADD522D0F3B2D32A1CE45")</f>
        <v/>
      </c>
      <c r="B668" s="3" t="s">
        <v>4657</v>
      </c>
      <c r="C668" s="3" t="s">
        <v>4658</v>
      </c>
      <c r="D668" s="2" t="s">
        <v>4660</v>
      </c>
      <c r="E668" s="2" t="s">
        <v>7789</v>
      </c>
      <c r="F668" s="3" t="s">
        <v>4659</v>
      </c>
      <c r="G668" s="2" t="s">
        <v>4661</v>
      </c>
      <c r="H668" s="8">
        <v>266.3</v>
      </c>
      <c r="I668" s="2" t="s">
        <v>22</v>
      </c>
      <c r="J668" s="2" t="s">
        <v>26</v>
      </c>
      <c r="K668" s="2">
        <v>9</v>
      </c>
      <c r="L668" s="2" t="s">
        <v>20</v>
      </c>
      <c r="M668" s="2">
        <v>1996</v>
      </c>
      <c r="N668" s="3" t="s">
        <v>207</v>
      </c>
      <c r="O668" s="3" t="s">
        <v>4662</v>
      </c>
      <c r="P668" s="3" t="s">
        <v>4663</v>
      </c>
      <c r="Q668" s="2">
        <v>2843</v>
      </c>
    </row>
    <row r="669" spans="1:17" ht="143.25" customHeight="1" x14ac:dyDescent="0.25">
      <c r="A669" s="5" t="str">
        <f>_xll.JChemExcel.Functions.JCSYSStructure("1C4E72E92FE2872C49033524BEFDE8E7")</f>
        <v/>
      </c>
      <c r="B669" s="3" t="s">
        <v>4664</v>
      </c>
      <c r="C669" s="3" t="s">
        <v>4665</v>
      </c>
      <c r="D669" s="2" t="s">
        <v>4666</v>
      </c>
      <c r="E669" s="2">
        <v>460009</v>
      </c>
      <c r="F669" s="3" t="s">
        <v>8036</v>
      </c>
      <c r="G669" s="2" t="s">
        <v>4667</v>
      </c>
      <c r="H669" s="8">
        <v>123.1</v>
      </c>
      <c r="I669" s="2" t="s">
        <v>22</v>
      </c>
      <c r="J669" s="2" t="s">
        <v>26</v>
      </c>
      <c r="K669" s="2">
        <v>9</v>
      </c>
      <c r="L669" s="2" t="s">
        <v>20</v>
      </c>
      <c r="M669" s="2" t="s">
        <v>124</v>
      </c>
      <c r="N669" s="3" t="s">
        <v>4668</v>
      </c>
      <c r="O669" s="3" t="s">
        <v>4669</v>
      </c>
      <c r="P669" s="3" t="s">
        <v>4670</v>
      </c>
      <c r="Q669" s="2">
        <v>2843</v>
      </c>
    </row>
    <row r="670" spans="1:17" ht="143.25" customHeight="1" x14ac:dyDescent="0.25">
      <c r="A670" s="5" t="str">
        <f>_xll.JChemExcel.Functions.JCSYSStructure("DAF727CC3DB003B8EDA5839E5537D394")</f>
        <v/>
      </c>
      <c r="B670" s="3" t="s">
        <v>4671</v>
      </c>
      <c r="C670" s="3" t="s">
        <v>4672</v>
      </c>
      <c r="D670" s="2" t="s">
        <v>4674</v>
      </c>
      <c r="E670" s="2" t="s">
        <v>7790</v>
      </c>
      <c r="F670" s="3" t="s">
        <v>4673</v>
      </c>
      <c r="G670" s="2" t="s">
        <v>4675</v>
      </c>
      <c r="H670" s="8">
        <v>162.19999999999999</v>
      </c>
      <c r="I670" s="2" t="s">
        <v>22</v>
      </c>
      <c r="J670" s="2" t="s">
        <v>26</v>
      </c>
      <c r="K670" s="2">
        <v>9</v>
      </c>
      <c r="L670" s="2" t="s">
        <v>20</v>
      </c>
      <c r="M670" s="2">
        <v>1984</v>
      </c>
      <c r="N670" s="3" t="s">
        <v>4676</v>
      </c>
      <c r="O670" s="3" t="s">
        <v>4677</v>
      </c>
      <c r="P670" s="3" t="s">
        <v>4678</v>
      </c>
      <c r="Q670" s="2">
        <v>2843</v>
      </c>
    </row>
    <row r="671" spans="1:17" ht="143.25" customHeight="1" x14ac:dyDescent="0.25">
      <c r="A671" s="5" t="str">
        <f>_xll.JChemExcel.Functions.JCSYSStructure("6B2EF057CD33E20A453D5BC48D6D1B22")</f>
        <v/>
      </c>
      <c r="B671" s="3" t="s">
        <v>4679</v>
      </c>
      <c r="C671" s="3" t="s">
        <v>4680</v>
      </c>
      <c r="D671" s="2" t="s">
        <v>4682</v>
      </c>
      <c r="E671" s="2" t="s">
        <v>7791</v>
      </c>
      <c r="F671" s="3" t="s">
        <v>4681</v>
      </c>
      <c r="G671" s="2" t="s">
        <v>4683</v>
      </c>
      <c r="H671" s="8">
        <v>529.5</v>
      </c>
      <c r="I671" s="2" t="s">
        <v>22</v>
      </c>
      <c r="J671" s="2" t="s">
        <v>26</v>
      </c>
      <c r="K671" s="2">
        <v>9</v>
      </c>
      <c r="L671" s="2" t="s">
        <v>20</v>
      </c>
      <c r="M671" s="2">
        <v>2007</v>
      </c>
      <c r="N671" s="3" t="s">
        <v>563</v>
      </c>
      <c r="O671" s="3" t="s">
        <v>4684</v>
      </c>
      <c r="P671" s="3" t="s">
        <v>4685</v>
      </c>
      <c r="Q671" s="2">
        <v>2843</v>
      </c>
    </row>
    <row r="672" spans="1:17" ht="143.25" customHeight="1" x14ac:dyDescent="0.25">
      <c r="A672" s="5" t="str">
        <f>_xll.JChemExcel.Functions.JCSYSStructure("388E2640108A833CF96C6BA81565FDD5")</f>
        <v/>
      </c>
      <c r="B672" s="3" t="s">
        <v>4686</v>
      </c>
      <c r="C672" s="3" t="s">
        <v>4687</v>
      </c>
      <c r="D672" s="2" t="s">
        <v>4689</v>
      </c>
      <c r="E672" s="2" t="s">
        <v>7792</v>
      </c>
      <c r="F672" s="3" t="s">
        <v>4688</v>
      </c>
      <c r="G672" s="2" t="s">
        <v>4690</v>
      </c>
      <c r="H672" s="8">
        <v>317.2</v>
      </c>
      <c r="I672" s="2" t="s">
        <v>22</v>
      </c>
      <c r="J672" s="2" t="s">
        <v>26</v>
      </c>
      <c r="K672" s="2">
        <v>9</v>
      </c>
      <c r="L672" s="2" t="s">
        <v>20</v>
      </c>
      <c r="M672" s="2">
        <v>1996</v>
      </c>
      <c r="N672" s="3" t="s">
        <v>4691</v>
      </c>
      <c r="O672" s="3" t="s">
        <v>4692</v>
      </c>
      <c r="P672" s="3" t="s">
        <v>4693</v>
      </c>
      <c r="Q672" s="2">
        <v>2843</v>
      </c>
    </row>
    <row r="673" spans="1:17" ht="143.25" customHeight="1" x14ac:dyDescent="0.25">
      <c r="A673" s="5" t="str">
        <f>_xll.JChemExcel.Functions.JCSYSStructure("63217D593AE5C208AFF91077C48CE62B")</f>
        <v/>
      </c>
      <c r="B673" s="3" t="s">
        <v>4694</v>
      </c>
      <c r="C673" s="3" t="s">
        <v>4695</v>
      </c>
      <c r="D673" s="2" t="s">
        <v>4697</v>
      </c>
      <c r="E673" s="2" t="s">
        <v>7793</v>
      </c>
      <c r="F673" s="3" t="s">
        <v>4696</v>
      </c>
      <c r="G673" s="2" t="s">
        <v>4698</v>
      </c>
      <c r="H673" s="8">
        <v>307.3</v>
      </c>
      <c r="I673" s="2" t="s">
        <v>22</v>
      </c>
      <c r="J673" s="2" t="s">
        <v>26</v>
      </c>
      <c r="K673" s="2">
        <v>9</v>
      </c>
      <c r="L673" s="2" t="s">
        <v>20</v>
      </c>
      <c r="M673" s="2">
        <v>2002</v>
      </c>
      <c r="N673" s="3" t="s">
        <v>4699</v>
      </c>
      <c r="O673" s="3" t="s">
        <v>4700</v>
      </c>
      <c r="P673" s="3" t="s">
        <v>4701</v>
      </c>
      <c r="Q673" s="2">
        <v>2843</v>
      </c>
    </row>
    <row r="674" spans="1:17" ht="143.25" customHeight="1" x14ac:dyDescent="0.25">
      <c r="A674" s="5" t="str">
        <f>_xll.JChemExcel.Functions.JCSYSStructure("E0893EC2CFF202F92C2353DDA6760743")</f>
        <v/>
      </c>
      <c r="B674" s="3" t="s">
        <v>4702</v>
      </c>
      <c r="C674" s="3" t="s">
        <v>4703</v>
      </c>
      <c r="D674" s="2" t="s">
        <v>4705</v>
      </c>
      <c r="E674" s="2" t="s">
        <v>7794</v>
      </c>
      <c r="F674" s="3" t="s">
        <v>4704</v>
      </c>
      <c r="G674" s="2" t="s">
        <v>4706</v>
      </c>
      <c r="H674" s="8">
        <v>329.2</v>
      </c>
      <c r="I674" s="2" t="s">
        <v>22</v>
      </c>
      <c r="J674" s="2" t="s">
        <v>26</v>
      </c>
      <c r="K674" s="2">
        <v>9</v>
      </c>
      <c r="L674" s="2" t="s">
        <v>20</v>
      </c>
      <c r="M674" s="2">
        <v>2002</v>
      </c>
      <c r="N674" s="3" t="s">
        <v>4707</v>
      </c>
      <c r="O674" s="3" t="s">
        <v>4708</v>
      </c>
      <c r="P674" s="3" t="s">
        <v>4709</v>
      </c>
      <c r="Q674" s="2">
        <v>2843</v>
      </c>
    </row>
    <row r="675" spans="1:17" ht="143.25" customHeight="1" x14ac:dyDescent="0.25">
      <c r="A675" s="5" t="str">
        <f>_xll.JChemExcel.Functions.JCSYSStructure("D8338898AD3787ABECD93B09B4F8CD0F")</f>
        <v/>
      </c>
      <c r="B675" s="3" t="s">
        <v>4710</v>
      </c>
      <c r="C675" s="3" t="s">
        <v>4711</v>
      </c>
      <c r="D675" s="2" t="s">
        <v>4713</v>
      </c>
      <c r="E675" s="2" t="s">
        <v>7795</v>
      </c>
      <c r="F675" s="3" t="s">
        <v>4712</v>
      </c>
      <c r="G675" s="2" t="s">
        <v>4714</v>
      </c>
      <c r="H675" s="8">
        <v>238.2</v>
      </c>
      <c r="I675" s="2" t="s">
        <v>22</v>
      </c>
      <c r="J675" s="2" t="s">
        <v>26</v>
      </c>
      <c r="K675" s="2">
        <v>9</v>
      </c>
      <c r="L675" s="2" t="s">
        <v>20</v>
      </c>
      <c r="M675" s="2">
        <v>1953</v>
      </c>
      <c r="N675" s="3" t="s">
        <v>4715</v>
      </c>
      <c r="O675" s="3" t="s">
        <v>4716</v>
      </c>
      <c r="P675" s="3" t="s">
        <v>4717</v>
      </c>
      <c r="Q675" s="2">
        <v>2843</v>
      </c>
    </row>
    <row r="676" spans="1:17" ht="143.25" customHeight="1" x14ac:dyDescent="0.25">
      <c r="A676" s="5" t="str">
        <f>_xll.JChemExcel.Functions.JCSYSStructure("9F2E022941DB6AAA9BE2339C0E415065")</f>
        <v/>
      </c>
      <c r="B676" s="3" t="s">
        <v>4718</v>
      </c>
      <c r="C676" s="3" t="s">
        <v>4719</v>
      </c>
      <c r="D676" s="2" t="s">
        <v>4721</v>
      </c>
      <c r="E676" s="2" t="s">
        <v>7796</v>
      </c>
      <c r="F676" s="3" t="s">
        <v>4720</v>
      </c>
      <c r="G676" s="2" t="s">
        <v>4722</v>
      </c>
      <c r="H676" s="8">
        <v>331.5</v>
      </c>
      <c r="I676" s="2" t="s">
        <v>22</v>
      </c>
      <c r="J676" s="2" t="s">
        <v>26</v>
      </c>
      <c r="K676" s="2">
        <v>9</v>
      </c>
      <c r="L676" s="2" t="s">
        <v>20</v>
      </c>
      <c r="M676" s="2">
        <v>1988</v>
      </c>
      <c r="N676" s="3" t="s">
        <v>4723</v>
      </c>
      <c r="O676" s="3" t="s">
        <v>4724</v>
      </c>
      <c r="P676" s="3" t="s">
        <v>4725</v>
      </c>
      <c r="Q676" s="2">
        <v>2843</v>
      </c>
    </row>
    <row r="677" spans="1:17" ht="143.25" customHeight="1" x14ac:dyDescent="0.25">
      <c r="A677" s="5" t="str">
        <f>_xll.JChemExcel.Functions.JCSYSStructure("D4C6BAEE086E64DE29388712AC6CE549")</f>
        <v/>
      </c>
      <c r="B677" s="3" t="s">
        <v>4726</v>
      </c>
      <c r="C677" s="3" t="s">
        <v>4727</v>
      </c>
      <c r="D677" s="2" t="s">
        <v>4729</v>
      </c>
      <c r="E677" s="2" t="s">
        <v>7797</v>
      </c>
      <c r="F677" s="3" t="s">
        <v>4728</v>
      </c>
      <c r="G677" s="2" t="s">
        <v>4730</v>
      </c>
      <c r="H677" s="8">
        <v>299.8</v>
      </c>
      <c r="I677" s="2" t="s">
        <v>22</v>
      </c>
      <c r="J677" s="2" t="s">
        <v>26</v>
      </c>
      <c r="K677" s="2">
        <v>9</v>
      </c>
      <c r="L677" s="2" t="s">
        <v>20</v>
      </c>
      <c r="M677" s="2">
        <v>1964</v>
      </c>
      <c r="N677" s="3" t="s">
        <v>269</v>
      </c>
      <c r="O677" s="3" t="s">
        <v>4731</v>
      </c>
      <c r="P677" s="3" t="s">
        <v>4732</v>
      </c>
      <c r="Q677" s="2">
        <v>2843</v>
      </c>
    </row>
    <row r="678" spans="1:17" ht="143.25" customHeight="1" x14ac:dyDescent="0.25">
      <c r="A678" s="5" t="str">
        <f>_xll.JChemExcel.Functions.JCSYSStructure("3B1FC44C2510397ADF2A28C2E9C03B4A")</f>
        <v/>
      </c>
      <c r="B678" s="3" t="s">
        <v>4733</v>
      </c>
      <c r="C678" s="3" t="s">
        <v>4734</v>
      </c>
      <c r="D678" s="2" t="s">
        <v>4736</v>
      </c>
      <c r="E678" s="2" t="s">
        <v>7798</v>
      </c>
      <c r="F678" s="3" t="s">
        <v>4735</v>
      </c>
      <c r="G678" s="2" t="s">
        <v>4737</v>
      </c>
      <c r="H678" s="8">
        <v>346.2</v>
      </c>
      <c r="I678" s="2" t="s">
        <v>22</v>
      </c>
      <c r="J678" s="2" t="s">
        <v>26</v>
      </c>
      <c r="K678" s="2">
        <v>9</v>
      </c>
      <c r="L678" s="2" t="s">
        <v>20</v>
      </c>
      <c r="M678" s="2">
        <v>1990</v>
      </c>
      <c r="N678" s="3" t="s">
        <v>4738</v>
      </c>
      <c r="O678" s="3" t="s">
        <v>4739</v>
      </c>
      <c r="P678" s="3" t="s">
        <v>4740</v>
      </c>
      <c r="Q678" s="2">
        <v>2843</v>
      </c>
    </row>
    <row r="679" spans="1:17" ht="143.25" customHeight="1" x14ac:dyDescent="0.25">
      <c r="A679" s="5" t="str">
        <f>_xll.JChemExcel.Functions.JCSYSStructure("C4D047E0097A0509FC9FFA254293BEBE")</f>
        <v/>
      </c>
      <c r="B679" s="3" t="s">
        <v>4741</v>
      </c>
      <c r="C679" s="3" t="s">
        <v>4742</v>
      </c>
      <c r="D679" s="2" t="s">
        <v>4743</v>
      </c>
      <c r="E679" s="2">
        <v>350152</v>
      </c>
      <c r="F679" s="3" t="s">
        <v>8037</v>
      </c>
      <c r="G679" s="2" t="s">
        <v>4744</v>
      </c>
      <c r="H679" s="8">
        <v>495.7</v>
      </c>
      <c r="I679" s="2" t="s">
        <v>22</v>
      </c>
      <c r="J679" s="2" t="s">
        <v>26</v>
      </c>
      <c r="K679" s="2">
        <v>9</v>
      </c>
      <c r="L679" s="2" t="s">
        <v>20</v>
      </c>
      <c r="M679" s="2">
        <v>1999</v>
      </c>
      <c r="N679" s="3" t="s">
        <v>4745</v>
      </c>
      <c r="O679" s="3" t="s">
        <v>4746</v>
      </c>
      <c r="P679" s="3" t="s">
        <v>4747</v>
      </c>
      <c r="Q679" s="2">
        <v>2843</v>
      </c>
    </row>
    <row r="680" spans="1:17" ht="143.25" customHeight="1" x14ac:dyDescent="0.25">
      <c r="A680" s="5" t="str">
        <f>_xll.JChemExcel.Functions.JCSYSStructure("92EC17153A91EFC687D646018BC23753")</f>
        <v/>
      </c>
      <c r="B680" s="3" t="s">
        <v>4748</v>
      </c>
      <c r="C680" s="3" t="s">
        <v>4749</v>
      </c>
      <c r="D680" s="2" t="s">
        <v>4751</v>
      </c>
      <c r="E680" s="2" t="s">
        <v>7799</v>
      </c>
      <c r="F680" s="3" t="s">
        <v>4750</v>
      </c>
      <c r="G680" s="2" t="s">
        <v>4752</v>
      </c>
      <c r="H680" s="8">
        <v>293.3</v>
      </c>
      <c r="I680" s="2" t="s">
        <v>22</v>
      </c>
      <c r="J680" s="2" t="s">
        <v>26</v>
      </c>
      <c r="K680" s="2">
        <v>9</v>
      </c>
      <c r="L680" s="2" t="s">
        <v>20</v>
      </c>
      <c r="M680" s="2">
        <v>1992</v>
      </c>
      <c r="N680" s="3" t="s">
        <v>1575</v>
      </c>
      <c r="O680" s="3" t="s">
        <v>4753</v>
      </c>
      <c r="P680" s="3" t="s">
        <v>4754</v>
      </c>
      <c r="Q680" s="2">
        <v>2843</v>
      </c>
    </row>
    <row r="681" spans="1:17" ht="143.25" customHeight="1" x14ac:dyDescent="0.25">
      <c r="D681" s="2" t="s">
        <v>4755</v>
      </c>
      <c r="F681" s="3" t="s">
        <v>2847</v>
      </c>
      <c r="G681" s="2"/>
      <c r="K681" s="2">
        <v>9</v>
      </c>
      <c r="L681" s="2" t="s">
        <v>20</v>
      </c>
      <c r="Q681" s="2">
        <v>2843</v>
      </c>
    </row>
    <row r="682" spans="1:17" ht="143.25" customHeight="1" x14ac:dyDescent="0.25">
      <c r="A682" s="5" t="str">
        <f>_xll.JChemExcel.Functions.JCSYSStructure("0B024AC3A9165DD32C82DE3847D7F52E")</f>
        <v/>
      </c>
      <c r="B682" s="3" t="s">
        <v>4756</v>
      </c>
      <c r="C682" s="3" t="s">
        <v>4757</v>
      </c>
      <c r="D682" s="2" t="s">
        <v>4759</v>
      </c>
      <c r="E682" s="2" t="s">
        <v>7800</v>
      </c>
      <c r="F682" s="3" t="s">
        <v>4758</v>
      </c>
      <c r="G682" s="2" t="s">
        <v>4760</v>
      </c>
      <c r="H682" s="8">
        <v>283.3</v>
      </c>
      <c r="I682" s="2" t="s">
        <v>22</v>
      </c>
      <c r="J682" s="2" t="s">
        <v>26</v>
      </c>
      <c r="K682" s="2">
        <v>9</v>
      </c>
      <c r="L682" s="2" t="s">
        <v>20</v>
      </c>
      <c r="M682" s="2">
        <v>1981</v>
      </c>
      <c r="N682" s="3" t="s">
        <v>4761</v>
      </c>
      <c r="O682" s="3" t="s">
        <v>4762</v>
      </c>
      <c r="P682" s="3" t="s">
        <v>4763</v>
      </c>
      <c r="Q682" s="2">
        <v>2843</v>
      </c>
    </row>
    <row r="683" spans="1:17" ht="143.25" customHeight="1" x14ac:dyDescent="0.25">
      <c r="A683" s="5" t="str">
        <f>_xll.JChemExcel.Functions.JCSYSStructure("D7795D01CD1113834FA5FBDD7FA70538")</f>
        <v/>
      </c>
      <c r="B683" s="3" t="s">
        <v>4764</v>
      </c>
      <c r="C683" s="3" t="s">
        <v>4765</v>
      </c>
      <c r="D683" s="2" t="s">
        <v>4767</v>
      </c>
      <c r="E683" s="2" t="s">
        <v>7801</v>
      </c>
      <c r="F683" s="3" t="s">
        <v>4766</v>
      </c>
      <c r="G683" s="2" t="s">
        <v>4768</v>
      </c>
      <c r="H683" s="8">
        <v>394</v>
      </c>
      <c r="I683" s="2" t="s">
        <v>22</v>
      </c>
      <c r="J683" s="2" t="s">
        <v>26</v>
      </c>
      <c r="K683" s="2">
        <v>9</v>
      </c>
      <c r="L683" s="2" t="s">
        <v>20</v>
      </c>
      <c r="M683" s="2">
        <v>1975</v>
      </c>
      <c r="N683" s="3" t="s">
        <v>4769</v>
      </c>
      <c r="O683" s="3" t="s">
        <v>4770</v>
      </c>
      <c r="P683" s="3" t="s">
        <v>4771</v>
      </c>
      <c r="Q683" s="2">
        <v>2843</v>
      </c>
    </row>
    <row r="684" spans="1:17" ht="143.25" customHeight="1" x14ac:dyDescent="0.25">
      <c r="A684" s="5" t="str">
        <f>_xll.JChemExcel.Functions.JCSYSStructure("1C0B048DEA45F3DEB092B0E71CA6286E")</f>
        <v/>
      </c>
      <c r="B684" s="3" t="s">
        <v>4772</v>
      </c>
      <c r="C684" s="3" t="s">
        <v>4773</v>
      </c>
      <c r="D684" s="2" t="s">
        <v>4775</v>
      </c>
      <c r="E684" s="2" t="s">
        <v>7802</v>
      </c>
      <c r="F684" s="3" t="s">
        <v>4774</v>
      </c>
      <c r="G684" s="2" t="s">
        <v>4776</v>
      </c>
      <c r="H684" s="8">
        <v>496.9</v>
      </c>
      <c r="I684" s="2" t="s">
        <v>22</v>
      </c>
      <c r="J684" s="2" t="s">
        <v>26</v>
      </c>
      <c r="K684" s="2">
        <v>9</v>
      </c>
      <c r="L684" s="2" t="s">
        <v>20</v>
      </c>
      <c r="M684" s="2">
        <v>1964</v>
      </c>
      <c r="N684" s="3" t="s">
        <v>23</v>
      </c>
      <c r="O684" s="3" t="s">
        <v>4777</v>
      </c>
      <c r="P684" s="3" t="s">
        <v>4778</v>
      </c>
      <c r="Q684" s="2">
        <v>2843</v>
      </c>
    </row>
    <row r="685" spans="1:17" ht="143.25" customHeight="1" x14ac:dyDescent="0.25">
      <c r="A685" s="5" t="str">
        <f>_xll.JChemExcel.Functions.JCSYSStructure("97DF1642FCD089D5C764671DF3B8FE18")</f>
        <v/>
      </c>
      <c r="B685" s="3" t="s">
        <v>4779</v>
      </c>
      <c r="C685" s="3" t="s">
        <v>4780</v>
      </c>
      <c r="D685" s="2" t="s">
        <v>4782</v>
      </c>
      <c r="E685" s="2" t="s">
        <v>7803</v>
      </c>
      <c r="F685" s="3" t="s">
        <v>4781</v>
      </c>
      <c r="G685" s="2" t="s">
        <v>4783</v>
      </c>
      <c r="H685" s="8">
        <v>426.5</v>
      </c>
      <c r="I685" s="2" t="s">
        <v>22</v>
      </c>
      <c r="J685" s="2" t="s">
        <v>26</v>
      </c>
      <c r="K685" s="2">
        <v>9</v>
      </c>
      <c r="L685" s="2" t="s">
        <v>20</v>
      </c>
      <c r="M685" s="2">
        <v>2006</v>
      </c>
      <c r="N685" s="3" t="s">
        <v>4784</v>
      </c>
      <c r="O685" s="3" t="s">
        <v>4785</v>
      </c>
      <c r="P685" s="3" t="s">
        <v>4786</v>
      </c>
      <c r="Q685" s="2">
        <v>2843</v>
      </c>
    </row>
    <row r="686" spans="1:17" ht="143.25" customHeight="1" x14ac:dyDescent="0.25">
      <c r="A686" s="5" t="str">
        <f>_xll.JChemExcel.Functions.JCSYSStructure("3D3A6874CF8C5CF5B09FEEDB2CF2E5A8")</f>
        <v/>
      </c>
      <c r="B686" s="3" t="s">
        <v>4787</v>
      </c>
      <c r="C686" s="3" t="s">
        <v>4788</v>
      </c>
      <c r="D686" s="2" t="s">
        <v>4790</v>
      </c>
      <c r="E686" s="2" t="s">
        <v>7804</v>
      </c>
      <c r="F686" s="3" t="s">
        <v>4789</v>
      </c>
      <c r="G686" s="2" t="s">
        <v>4791</v>
      </c>
      <c r="H686" s="8">
        <v>332.9</v>
      </c>
      <c r="I686" s="2" t="s">
        <v>22</v>
      </c>
      <c r="J686" s="2" t="s">
        <v>26</v>
      </c>
      <c r="K686" s="2">
        <v>9</v>
      </c>
      <c r="L686" s="2" t="s">
        <v>20</v>
      </c>
      <c r="M686" s="2">
        <v>2003</v>
      </c>
      <c r="N686" s="3" t="s">
        <v>4792</v>
      </c>
      <c r="O686" s="3" t="s">
        <v>4793</v>
      </c>
      <c r="P686" s="3" t="s">
        <v>4794</v>
      </c>
      <c r="Q686" s="2">
        <v>2843</v>
      </c>
    </row>
    <row r="687" spans="1:17" ht="143.25" customHeight="1" x14ac:dyDescent="0.25">
      <c r="A687" s="5" t="str">
        <f>_xll.JChemExcel.Functions.JCSYSStructure("AA4A5198AFADC7468031489590D0C9D0")</f>
        <v/>
      </c>
      <c r="B687" s="3" t="s">
        <v>4795</v>
      </c>
      <c r="C687" s="3" t="s">
        <v>4796</v>
      </c>
      <c r="D687" s="2" t="s">
        <v>4798</v>
      </c>
      <c r="E687" s="2" t="s">
        <v>7805</v>
      </c>
      <c r="F687" s="3" t="s">
        <v>4797</v>
      </c>
      <c r="G687" s="2" t="s">
        <v>4799</v>
      </c>
      <c r="H687" s="8">
        <v>713.7</v>
      </c>
      <c r="I687" s="2" t="s">
        <v>22</v>
      </c>
      <c r="J687" s="2" t="s">
        <v>26</v>
      </c>
      <c r="K687" s="2">
        <v>9</v>
      </c>
      <c r="L687" s="2" t="s">
        <v>20</v>
      </c>
      <c r="M687" s="2">
        <v>1969</v>
      </c>
      <c r="N687" s="3" t="s">
        <v>4800</v>
      </c>
      <c r="O687" s="3" t="s">
        <v>4801</v>
      </c>
      <c r="P687" s="3" t="s">
        <v>4802</v>
      </c>
      <c r="Q687" s="2">
        <v>2843</v>
      </c>
    </row>
    <row r="688" spans="1:17" ht="143.25" customHeight="1" x14ac:dyDescent="0.25">
      <c r="A688" s="5" t="str">
        <f>_xll.JChemExcel.Functions.JCSYSStructure("459F180DEB81F1AFDE92D0FB3CBF3B54")</f>
        <v/>
      </c>
      <c r="B688" s="3" t="s">
        <v>4803</v>
      </c>
      <c r="C688" s="3" t="s">
        <v>4804</v>
      </c>
      <c r="D688" s="2" t="s">
        <v>4806</v>
      </c>
      <c r="E688" s="2" t="s">
        <v>7806</v>
      </c>
      <c r="F688" s="3" t="s">
        <v>4805</v>
      </c>
      <c r="G688" s="2" t="s">
        <v>4807</v>
      </c>
      <c r="H688" s="8">
        <v>474</v>
      </c>
      <c r="I688" s="2" t="s">
        <v>22</v>
      </c>
      <c r="J688" s="2" t="s">
        <v>26</v>
      </c>
      <c r="K688" s="2">
        <v>9</v>
      </c>
      <c r="L688" s="2" t="s">
        <v>20</v>
      </c>
      <c r="M688" s="2">
        <v>2009</v>
      </c>
      <c r="N688" s="3" t="s">
        <v>563</v>
      </c>
      <c r="O688" s="3" t="s">
        <v>4808</v>
      </c>
      <c r="P688" s="3" t="s">
        <v>4809</v>
      </c>
      <c r="Q688" s="2">
        <v>2843</v>
      </c>
    </row>
    <row r="689" spans="1:17" ht="143.25" customHeight="1" x14ac:dyDescent="0.25">
      <c r="A689" s="5" t="str">
        <f>_xll.JChemExcel.Functions.JCSYSStructure("A1B0C8A0D66C55F46F59F96D0F5C897D")</f>
        <v/>
      </c>
      <c r="B689" s="3" t="s">
        <v>4810</v>
      </c>
      <c r="C689" s="3" t="s">
        <v>4811</v>
      </c>
      <c r="D689" s="2" t="s">
        <v>4813</v>
      </c>
      <c r="E689" s="2" t="s">
        <v>7807</v>
      </c>
      <c r="F689" s="3" t="s">
        <v>4812</v>
      </c>
      <c r="G689" s="2" t="s">
        <v>4814</v>
      </c>
      <c r="H689" s="8">
        <v>471.4</v>
      </c>
      <c r="I689" s="2" t="s">
        <v>22</v>
      </c>
      <c r="J689" s="2" t="s">
        <v>1013</v>
      </c>
      <c r="K689" s="2">
        <v>9</v>
      </c>
      <c r="L689" s="2" t="s">
        <v>20</v>
      </c>
      <c r="M689" s="2">
        <v>2004</v>
      </c>
      <c r="N689" s="3" t="s">
        <v>563</v>
      </c>
      <c r="O689" s="3" t="s">
        <v>4815</v>
      </c>
      <c r="P689" s="3" t="s">
        <v>4816</v>
      </c>
      <c r="Q689" s="2">
        <v>2843</v>
      </c>
    </row>
    <row r="690" spans="1:17" ht="143.25" customHeight="1" x14ac:dyDescent="0.25">
      <c r="A690" s="5" t="str">
        <f>_xll.JChemExcel.Functions.JCSYSStructure("037912A762D5A168A94142F8A9D553B3")</f>
        <v/>
      </c>
      <c r="B690" s="3" t="s">
        <v>4817</v>
      </c>
      <c r="C690" s="3" t="s">
        <v>4818</v>
      </c>
      <c r="D690" s="2" t="s">
        <v>4820</v>
      </c>
      <c r="E690" s="2" t="s">
        <v>7808</v>
      </c>
      <c r="F690" s="3" t="s">
        <v>4819</v>
      </c>
      <c r="G690" s="2" t="s">
        <v>4821</v>
      </c>
      <c r="H690" s="8">
        <v>266.3</v>
      </c>
      <c r="I690" s="2" t="s">
        <v>22</v>
      </c>
      <c r="J690" s="2" t="s">
        <v>26</v>
      </c>
      <c r="K690" s="2">
        <v>9</v>
      </c>
      <c r="L690" s="2" t="s">
        <v>20</v>
      </c>
      <c r="M690" s="2">
        <v>1999</v>
      </c>
      <c r="N690" s="3" t="s">
        <v>3106</v>
      </c>
      <c r="O690" s="3" t="s">
        <v>4822</v>
      </c>
      <c r="P690" s="3" t="s">
        <v>4823</v>
      </c>
      <c r="Q690" s="2">
        <v>2843</v>
      </c>
    </row>
    <row r="691" spans="1:17" ht="143.25" customHeight="1" x14ac:dyDescent="0.25">
      <c r="A691" s="5" t="str">
        <f>_xll.JChemExcel.Functions.JCSYSStructure("86FA4B39A8DC482E32DA445A39AB9DEF")</f>
        <v/>
      </c>
      <c r="B691" s="3" t="s">
        <v>4824</v>
      </c>
      <c r="C691" s="3" t="s">
        <v>4825</v>
      </c>
      <c r="D691" s="2" t="s">
        <v>4827</v>
      </c>
      <c r="E691" s="2" t="s">
        <v>7809</v>
      </c>
      <c r="F691" s="3" t="s">
        <v>4826</v>
      </c>
      <c r="G691" s="2" t="s">
        <v>4828</v>
      </c>
      <c r="H691" s="8">
        <v>149.19999999999999</v>
      </c>
      <c r="I691" s="2" t="s">
        <v>22</v>
      </c>
      <c r="J691" s="2" t="s">
        <v>26</v>
      </c>
      <c r="K691" s="2">
        <v>9</v>
      </c>
      <c r="L691" s="2" t="s">
        <v>20</v>
      </c>
      <c r="M691" s="2">
        <v>1970</v>
      </c>
      <c r="N691" s="3" t="s">
        <v>4829</v>
      </c>
      <c r="O691" s="3" t="s">
        <v>4830</v>
      </c>
      <c r="P691" s="3" t="s">
        <v>4831</v>
      </c>
      <c r="Q691" s="2">
        <v>2843</v>
      </c>
    </row>
    <row r="692" spans="1:17" ht="143.25" customHeight="1" x14ac:dyDescent="0.25">
      <c r="A692" s="5" t="str">
        <f>_xll.JChemExcel.Functions.JCSYSStructure("9338E35A0BDAE092F097DAA0E62EB6C9")</f>
        <v/>
      </c>
      <c r="B692" s="3" t="s">
        <v>4832</v>
      </c>
      <c r="C692" s="3" t="s">
        <v>4833</v>
      </c>
      <c r="D692" s="2" t="s">
        <v>4834</v>
      </c>
      <c r="E692" s="2" t="s">
        <v>7810</v>
      </c>
      <c r="F692" s="3" t="s">
        <v>8038</v>
      </c>
      <c r="G692" s="2" t="s">
        <v>4835</v>
      </c>
      <c r="H692" s="8">
        <v>372.5</v>
      </c>
      <c r="I692" s="2" t="s">
        <v>22</v>
      </c>
      <c r="J692" s="2" t="s">
        <v>26</v>
      </c>
      <c r="K692" s="2">
        <v>9</v>
      </c>
      <c r="L692" s="2" t="s">
        <v>20</v>
      </c>
      <c r="M692" s="2" t="s">
        <v>124</v>
      </c>
      <c r="N692" s="3" t="s">
        <v>1568</v>
      </c>
      <c r="O692" s="3" t="s">
        <v>4836</v>
      </c>
      <c r="P692" s="3" t="s">
        <v>4837</v>
      </c>
      <c r="Q692" s="2">
        <v>2843</v>
      </c>
    </row>
    <row r="693" spans="1:17" ht="143.25" customHeight="1" x14ac:dyDescent="0.25">
      <c r="A693" s="5" t="str">
        <f>_xll.JChemExcel.Functions.JCSYSStructure("B8B91A61C668220651448C29DC9459E1")</f>
        <v/>
      </c>
      <c r="B693" s="3" t="s">
        <v>4838</v>
      </c>
      <c r="C693" s="3" t="s">
        <v>4839</v>
      </c>
      <c r="D693" s="2" t="s">
        <v>4841</v>
      </c>
      <c r="E693" s="2" t="s">
        <v>7811</v>
      </c>
      <c r="F693" s="3" t="s">
        <v>4840</v>
      </c>
      <c r="G693" s="2" t="s">
        <v>4842</v>
      </c>
      <c r="H693" s="8">
        <v>592.70000000000005</v>
      </c>
      <c r="I693" s="2" t="s">
        <v>22</v>
      </c>
      <c r="J693" s="2" t="s">
        <v>26</v>
      </c>
      <c r="K693" s="2">
        <v>9</v>
      </c>
      <c r="L693" s="2" t="s">
        <v>20</v>
      </c>
      <c r="M693" s="2">
        <v>1984</v>
      </c>
      <c r="N693" s="3" t="s">
        <v>4843</v>
      </c>
      <c r="O693" s="3" t="s">
        <v>4844</v>
      </c>
      <c r="P693" s="3" t="s">
        <v>4845</v>
      </c>
      <c r="Q693" s="2">
        <v>2843</v>
      </c>
    </row>
    <row r="694" spans="1:17" ht="143.25" customHeight="1" x14ac:dyDescent="0.25">
      <c r="A694" s="5" t="str">
        <f>_xll.JChemExcel.Functions.JCSYSStructure("DA651DE4104C85A499B773BD0B58A937")</f>
        <v/>
      </c>
      <c r="B694" s="3" t="s">
        <v>4846</v>
      </c>
      <c r="C694" s="3" t="s">
        <v>4847</v>
      </c>
      <c r="D694" s="2" t="s">
        <v>4849</v>
      </c>
      <c r="E694" s="2" t="s">
        <v>7812</v>
      </c>
      <c r="F694" s="3" t="s">
        <v>4848</v>
      </c>
      <c r="G694" s="2" t="s">
        <v>4850</v>
      </c>
      <c r="H694" s="8">
        <v>268.3</v>
      </c>
      <c r="I694" s="2" t="s">
        <v>22</v>
      </c>
      <c r="J694" s="2" t="s">
        <v>26</v>
      </c>
      <c r="K694" s="2">
        <v>9</v>
      </c>
      <c r="L694" s="2" t="s">
        <v>20</v>
      </c>
      <c r="M694" s="2">
        <v>1991</v>
      </c>
      <c r="N694" s="3" t="s">
        <v>563</v>
      </c>
      <c r="O694" s="3" t="s">
        <v>4851</v>
      </c>
      <c r="P694" s="3" t="s">
        <v>4852</v>
      </c>
      <c r="Q694" s="2">
        <v>2843</v>
      </c>
    </row>
    <row r="695" spans="1:17" ht="143.25" customHeight="1" x14ac:dyDescent="0.25">
      <c r="A695" s="5" t="str">
        <f>_xll.JChemExcel.Functions.JCSYSStructure("6CC246A676505628752596B60A1F698B")</f>
        <v/>
      </c>
      <c r="B695" s="3" t="s">
        <v>4853</v>
      </c>
      <c r="C695" s="3" t="s">
        <v>4854</v>
      </c>
      <c r="D695" s="2" t="s">
        <v>4856</v>
      </c>
      <c r="E695" s="2" t="s">
        <v>7813</v>
      </c>
      <c r="F695" s="3" t="s">
        <v>4855</v>
      </c>
      <c r="G695" s="2" t="s">
        <v>4857</v>
      </c>
      <c r="H695" s="8">
        <v>441.6</v>
      </c>
      <c r="I695" s="2" t="s">
        <v>22</v>
      </c>
      <c r="J695" s="2" t="s">
        <v>26</v>
      </c>
      <c r="K695" s="2">
        <v>9</v>
      </c>
      <c r="L695" s="2" t="s">
        <v>20</v>
      </c>
      <c r="M695" s="2">
        <v>1993</v>
      </c>
      <c r="N695" s="3" t="s">
        <v>183</v>
      </c>
      <c r="O695" s="3" t="s">
        <v>4858</v>
      </c>
      <c r="P695" s="3" t="s">
        <v>4859</v>
      </c>
      <c r="Q695" s="2">
        <v>2843</v>
      </c>
    </row>
    <row r="696" spans="1:17" ht="143.25" customHeight="1" x14ac:dyDescent="0.25">
      <c r="A696" s="5" t="str">
        <f>_xll.JChemExcel.Functions.JCSYSStructure("88C7766238C473E6036B68D2073C4D0F")</f>
        <v/>
      </c>
      <c r="B696" s="3" t="s">
        <v>4860</v>
      </c>
      <c r="C696" s="3" t="s">
        <v>4861</v>
      </c>
      <c r="D696" s="2" t="s">
        <v>4863</v>
      </c>
      <c r="E696" s="2" t="s">
        <v>7814</v>
      </c>
      <c r="F696" s="3" t="s">
        <v>4862</v>
      </c>
      <c r="G696" s="2" t="s">
        <v>4864</v>
      </c>
      <c r="H696" s="8">
        <v>391.3</v>
      </c>
      <c r="I696" s="2" t="s">
        <v>22</v>
      </c>
      <c r="J696" s="2" t="s">
        <v>26</v>
      </c>
      <c r="K696" s="2">
        <v>9</v>
      </c>
      <c r="L696" s="2" t="s">
        <v>20</v>
      </c>
      <c r="M696" s="2">
        <v>1986</v>
      </c>
      <c r="N696" s="3" t="s">
        <v>4865</v>
      </c>
      <c r="O696" s="3" t="s">
        <v>4866</v>
      </c>
      <c r="P696" s="3" t="s">
        <v>4867</v>
      </c>
      <c r="Q696" s="2">
        <v>2843</v>
      </c>
    </row>
    <row r="697" spans="1:17" ht="143.25" customHeight="1" x14ac:dyDescent="0.25">
      <c r="A697" s="5" t="str">
        <f>_xll.JChemExcel.Functions.JCSYSStructure("2744319194B8788F0266CACCB6347B2B")</f>
        <v/>
      </c>
      <c r="B697" s="3" t="s">
        <v>4868</v>
      </c>
      <c r="C697" s="3" t="s">
        <v>4869</v>
      </c>
      <c r="D697" s="2" t="s">
        <v>4871</v>
      </c>
      <c r="E697" s="2" t="s">
        <v>7815</v>
      </c>
      <c r="F697" s="3" t="s">
        <v>4870</v>
      </c>
      <c r="G697" s="2" t="s">
        <v>4872</v>
      </c>
      <c r="H697" s="8">
        <v>404</v>
      </c>
      <c r="I697" s="2" t="s">
        <v>22</v>
      </c>
      <c r="J697" s="2" t="s">
        <v>26</v>
      </c>
      <c r="K697" s="2">
        <v>9</v>
      </c>
      <c r="L697" s="2" t="s">
        <v>20</v>
      </c>
      <c r="M697" s="2">
        <v>1988</v>
      </c>
      <c r="N697" s="3" t="s">
        <v>94</v>
      </c>
      <c r="O697" s="3" t="s">
        <v>4873</v>
      </c>
      <c r="P697" s="3" t="s">
        <v>4874</v>
      </c>
      <c r="Q697" s="2">
        <v>2843</v>
      </c>
    </row>
    <row r="698" spans="1:17" ht="143.25" customHeight="1" x14ac:dyDescent="0.25">
      <c r="A698" s="5" t="str">
        <f>_xll.JChemExcel.Functions.JCSYSStructure("89051CEC46ECEB8BD3EA8BC9A7F6D8A2")</f>
        <v/>
      </c>
      <c r="B698" s="3" t="s">
        <v>4875</v>
      </c>
      <c r="C698" s="3" t="s">
        <v>4876</v>
      </c>
      <c r="D698" s="2" t="s">
        <v>4878</v>
      </c>
      <c r="E698" s="2" t="s">
        <v>7816</v>
      </c>
      <c r="F698" s="3" t="s">
        <v>4877</v>
      </c>
      <c r="G698" s="2" t="s">
        <v>4879</v>
      </c>
      <c r="H698" s="8">
        <v>234.3</v>
      </c>
      <c r="I698" s="2" t="s">
        <v>22</v>
      </c>
      <c r="J698" s="2" t="s">
        <v>26</v>
      </c>
      <c r="K698" s="2">
        <v>9</v>
      </c>
      <c r="L698" s="2" t="s">
        <v>20</v>
      </c>
      <c r="M698" s="2">
        <v>1961</v>
      </c>
      <c r="N698" s="3" t="s">
        <v>4880</v>
      </c>
      <c r="O698" s="3" t="s">
        <v>4881</v>
      </c>
      <c r="P698" s="3" t="s">
        <v>4882</v>
      </c>
      <c r="Q698" s="2">
        <v>2843</v>
      </c>
    </row>
    <row r="699" spans="1:17" ht="143.25" customHeight="1" x14ac:dyDescent="0.25">
      <c r="A699" s="5" t="str">
        <f>_xll.JChemExcel.Functions.JCSYSStructure("E426479D5CC637FE223DAE82DBE689BB")</f>
        <v/>
      </c>
      <c r="B699" s="3" t="s">
        <v>4883</v>
      </c>
      <c r="C699" s="3" t="s">
        <v>4884</v>
      </c>
      <c r="D699" s="2" t="s">
        <v>4886</v>
      </c>
      <c r="E699" s="2" t="s">
        <v>7817</v>
      </c>
      <c r="F699" s="3" t="s">
        <v>4885</v>
      </c>
      <c r="G699" s="2" t="s">
        <v>4887</v>
      </c>
      <c r="H699" s="8">
        <v>167.2</v>
      </c>
      <c r="I699" s="2" t="s">
        <v>22</v>
      </c>
      <c r="J699" s="2" t="s">
        <v>26</v>
      </c>
      <c r="K699" s="2">
        <v>9</v>
      </c>
      <c r="L699" s="2" t="s">
        <v>20</v>
      </c>
      <c r="M699" s="2" t="s">
        <v>124</v>
      </c>
      <c r="N699" s="3" t="s">
        <v>4888</v>
      </c>
      <c r="O699" s="3" t="s">
        <v>4889</v>
      </c>
      <c r="P699" s="3" t="s">
        <v>4890</v>
      </c>
      <c r="Q699" s="2">
        <v>2843</v>
      </c>
    </row>
    <row r="700" spans="1:17" ht="143.25" customHeight="1" x14ac:dyDescent="0.25">
      <c r="A700" s="5" t="str">
        <f>_xll.JChemExcel.Functions.JCSYSStructure("35F84D7E80C690EF49EBCD37D9B7D643")</f>
        <v/>
      </c>
      <c r="B700" s="3" t="s">
        <v>4891</v>
      </c>
      <c r="C700" s="3" t="s">
        <v>4892</v>
      </c>
      <c r="D700" s="2" t="s">
        <v>4894</v>
      </c>
      <c r="E700" s="2" t="s">
        <v>7818</v>
      </c>
      <c r="F700" s="3" t="s">
        <v>4893</v>
      </c>
      <c r="G700" s="2" t="s">
        <v>4895</v>
      </c>
      <c r="H700" s="8">
        <v>450.7</v>
      </c>
      <c r="I700" s="2" t="s">
        <v>22</v>
      </c>
      <c r="J700" s="2" t="s">
        <v>26</v>
      </c>
      <c r="K700" s="2">
        <v>9</v>
      </c>
      <c r="L700" s="2" t="s">
        <v>20</v>
      </c>
      <c r="M700" s="2">
        <v>1955</v>
      </c>
      <c r="N700" s="3" t="s">
        <v>4896</v>
      </c>
      <c r="O700" s="3" t="s">
        <v>4897</v>
      </c>
      <c r="P700" s="3" t="s">
        <v>4898</v>
      </c>
      <c r="Q700" s="2">
        <v>2843</v>
      </c>
    </row>
    <row r="701" spans="1:17" ht="143.25" customHeight="1" x14ac:dyDescent="0.25">
      <c r="A701" s="5" t="str">
        <f>_xll.JChemExcel.Functions.JCSYSStructure("48022748D5222C634AB11591BA65D0AA")</f>
        <v/>
      </c>
      <c r="B701" s="3" t="s">
        <v>4899</v>
      </c>
      <c r="C701" s="3" t="s">
        <v>4900</v>
      </c>
      <c r="D701" s="2" t="s">
        <v>4902</v>
      </c>
      <c r="E701" s="2" t="s">
        <v>7819</v>
      </c>
      <c r="F701" s="3" t="s">
        <v>4901</v>
      </c>
      <c r="G701" s="2" t="s">
        <v>4903</v>
      </c>
      <c r="H701" s="8">
        <v>810.5</v>
      </c>
      <c r="I701" s="2" t="s">
        <v>22</v>
      </c>
      <c r="J701" s="2" t="s">
        <v>26</v>
      </c>
      <c r="K701" s="2">
        <v>9</v>
      </c>
      <c r="L701" s="2" t="s">
        <v>20</v>
      </c>
      <c r="M701" s="2">
        <v>2001</v>
      </c>
      <c r="N701" s="3" t="s">
        <v>4904</v>
      </c>
      <c r="O701" s="3" t="s">
        <v>4905</v>
      </c>
      <c r="P701" s="3" t="s">
        <v>4906</v>
      </c>
      <c r="Q701" s="2">
        <v>2843</v>
      </c>
    </row>
    <row r="702" spans="1:17" ht="143.25" customHeight="1" x14ac:dyDescent="0.25">
      <c r="A702" s="5" t="str">
        <f>_xll.JChemExcel.Functions.JCSYSStructure("5FEAA5293B7FAACA06E91EB446CF2BEF")</f>
        <v/>
      </c>
      <c r="B702" s="3" t="s">
        <v>4907</v>
      </c>
      <c r="C702" s="3" t="s">
        <v>4908</v>
      </c>
      <c r="D702" s="2" t="s">
        <v>4910</v>
      </c>
      <c r="E702" s="2" t="s">
        <v>7820</v>
      </c>
      <c r="F702" s="3" t="s">
        <v>4909</v>
      </c>
      <c r="G702" s="2" t="s">
        <v>4911</v>
      </c>
      <c r="H702" s="8">
        <v>881</v>
      </c>
      <c r="I702" s="2" t="s">
        <v>22</v>
      </c>
      <c r="J702" s="2" t="s">
        <v>26</v>
      </c>
      <c r="K702" s="2">
        <v>9</v>
      </c>
      <c r="L702" s="2" t="s">
        <v>20</v>
      </c>
      <c r="M702" s="2">
        <v>2009</v>
      </c>
      <c r="N702" s="3" t="s">
        <v>4912</v>
      </c>
      <c r="O702" s="3" t="s">
        <v>4913</v>
      </c>
      <c r="P702" s="3" t="s">
        <v>4914</v>
      </c>
      <c r="Q702" s="2">
        <v>2843</v>
      </c>
    </row>
    <row r="703" spans="1:17" ht="143.25" customHeight="1" x14ac:dyDescent="0.25">
      <c r="D703" s="2" t="s">
        <v>4915</v>
      </c>
      <c r="F703" s="3" t="s">
        <v>2847</v>
      </c>
      <c r="G703" s="2"/>
      <c r="K703" s="2">
        <v>9</v>
      </c>
      <c r="L703" s="2" t="s">
        <v>20</v>
      </c>
      <c r="Q703" s="2">
        <v>2843</v>
      </c>
    </row>
    <row r="704" spans="1:17" ht="143.25" customHeight="1" x14ac:dyDescent="0.25">
      <c r="A704" s="5" t="str">
        <f>_xll.JChemExcel.Functions.JCSYSStructure("DF6AAA1704DD6FE8BC727ECBEA2F6916")</f>
        <v/>
      </c>
      <c r="B704" s="3" t="s">
        <v>4916</v>
      </c>
      <c r="C704" s="3" t="s">
        <v>4917</v>
      </c>
      <c r="D704" s="2" t="s">
        <v>4918</v>
      </c>
      <c r="E704" s="2" t="s">
        <v>8040</v>
      </c>
      <c r="F704" s="3" t="s">
        <v>8039</v>
      </c>
      <c r="G704" s="2" t="s">
        <v>4919</v>
      </c>
      <c r="H704" s="8">
        <v>414.4</v>
      </c>
      <c r="I704" s="2" t="s">
        <v>22</v>
      </c>
      <c r="J704" s="2" t="s">
        <v>26</v>
      </c>
      <c r="K704" s="2">
        <v>9</v>
      </c>
      <c r="L704" s="2" t="s">
        <v>20</v>
      </c>
      <c r="M704" s="2" t="s">
        <v>3943</v>
      </c>
      <c r="N704" s="3" t="s">
        <v>1931</v>
      </c>
      <c r="O704" s="3" t="s">
        <v>4920</v>
      </c>
      <c r="P704" s="3" t="s">
        <v>4921</v>
      </c>
      <c r="Q704" s="2">
        <v>2843</v>
      </c>
    </row>
    <row r="705" spans="1:17" ht="143.25" customHeight="1" x14ac:dyDescent="0.25">
      <c r="A705" s="5" t="str">
        <f>_xll.JChemExcel.Functions.JCSYSStructure("1735FF6A7F2EB0E432C9011CD3C39D79")</f>
        <v/>
      </c>
      <c r="B705" s="3" t="s">
        <v>4922</v>
      </c>
      <c r="C705" s="3" t="s">
        <v>4923</v>
      </c>
      <c r="D705" s="2" t="s">
        <v>4925</v>
      </c>
      <c r="E705" s="2" t="s">
        <v>7821</v>
      </c>
      <c r="F705" s="3" t="s">
        <v>4924</v>
      </c>
      <c r="G705" s="2" t="s">
        <v>4926</v>
      </c>
      <c r="H705" s="8">
        <v>700.8</v>
      </c>
      <c r="I705" s="2" t="s">
        <v>22</v>
      </c>
      <c r="J705" s="2" t="s">
        <v>26</v>
      </c>
      <c r="K705" s="2">
        <v>10</v>
      </c>
      <c r="L705" s="2" t="s">
        <v>20</v>
      </c>
      <c r="M705" s="2">
        <v>2006</v>
      </c>
      <c r="N705" s="3" t="s">
        <v>676</v>
      </c>
      <c r="O705" s="3" t="s">
        <v>4927</v>
      </c>
      <c r="P705" s="3" t="s">
        <v>4928</v>
      </c>
      <c r="Q705" s="2">
        <v>2843</v>
      </c>
    </row>
    <row r="706" spans="1:17" ht="143.25" customHeight="1" x14ac:dyDescent="0.25">
      <c r="A706" s="5" t="str">
        <f>_xll.JChemExcel.Functions.JCSYSStructure("F4B6CBD4153F7CA651777AF87EF34787")</f>
        <v/>
      </c>
      <c r="B706" s="3" t="s">
        <v>4929</v>
      </c>
      <c r="C706" s="3" t="s">
        <v>4930</v>
      </c>
      <c r="D706" s="2" t="s">
        <v>4932</v>
      </c>
      <c r="E706" s="2" t="s">
        <v>7822</v>
      </c>
      <c r="F706" s="3" t="s">
        <v>4931</v>
      </c>
      <c r="G706" s="2" t="s">
        <v>4933</v>
      </c>
      <c r="H706" s="8">
        <v>172.6</v>
      </c>
      <c r="I706" s="2" t="s">
        <v>22</v>
      </c>
      <c r="J706" s="2" t="s">
        <v>26</v>
      </c>
      <c r="K706" s="2">
        <v>10</v>
      </c>
      <c r="L706" s="2" t="s">
        <v>20</v>
      </c>
      <c r="M706" s="2">
        <v>1964</v>
      </c>
      <c r="N706" s="3" t="s">
        <v>4934</v>
      </c>
      <c r="O706" s="3" t="s">
        <v>4935</v>
      </c>
      <c r="P706" s="3" t="s">
        <v>4936</v>
      </c>
      <c r="Q706" s="2">
        <v>2843</v>
      </c>
    </row>
    <row r="707" spans="1:17" ht="143.25" customHeight="1" x14ac:dyDescent="0.25">
      <c r="A707" s="5" t="str">
        <f>_xll.JChemExcel.Functions.JCSYSStructure("5581D7A980C123EB4D7EBF3431E7E0C7")</f>
        <v/>
      </c>
      <c r="B707" s="3" t="s">
        <v>4937</v>
      </c>
      <c r="C707" s="3" t="s">
        <v>4938</v>
      </c>
      <c r="D707" s="2" t="s">
        <v>4940</v>
      </c>
      <c r="E707" s="2" t="s">
        <v>7823</v>
      </c>
      <c r="F707" s="3" t="s">
        <v>4939</v>
      </c>
      <c r="G707" s="2" t="s">
        <v>4941</v>
      </c>
      <c r="H707" s="8">
        <v>373.4</v>
      </c>
      <c r="I707" s="2" t="s">
        <v>22</v>
      </c>
      <c r="J707" s="2" t="s">
        <v>26</v>
      </c>
      <c r="K707" s="2">
        <v>10</v>
      </c>
      <c r="L707" s="2" t="s">
        <v>20</v>
      </c>
      <c r="M707" s="2">
        <v>2009</v>
      </c>
      <c r="N707" s="3" t="s">
        <v>4942</v>
      </c>
      <c r="O707" s="3" t="s">
        <v>4943</v>
      </c>
      <c r="P707" s="3" t="s">
        <v>4944</v>
      </c>
      <c r="Q707" s="2">
        <v>2843</v>
      </c>
    </row>
    <row r="708" spans="1:17" ht="143.25" customHeight="1" x14ac:dyDescent="0.25">
      <c r="A708" s="5" t="str">
        <f>_xll.JChemExcel.Functions.JCSYSStructure("F11C489C86DA4CB6F53694661D36BD46")</f>
        <v/>
      </c>
      <c r="B708" s="3" t="s">
        <v>4945</v>
      </c>
      <c r="C708" s="3" t="s">
        <v>4946</v>
      </c>
      <c r="D708" s="2" t="s">
        <v>4947</v>
      </c>
      <c r="E708" s="2" t="s">
        <v>7824</v>
      </c>
      <c r="F708" s="3" t="s">
        <v>7243</v>
      </c>
      <c r="G708" s="2" t="s">
        <v>4948</v>
      </c>
      <c r="H708" s="8">
        <v>446.5</v>
      </c>
      <c r="I708" s="2" t="s">
        <v>22</v>
      </c>
      <c r="J708" s="2" t="s">
        <v>26</v>
      </c>
      <c r="K708" s="2">
        <v>10</v>
      </c>
      <c r="L708" s="2" t="s">
        <v>20</v>
      </c>
      <c r="M708" s="2">
        <v>1991</v>
      </c>
      <c r="N708" s="3" t="s">
        <v>4912</v>
      </c>
      <c r="O708" s="3" t="s">
        <v>4949</v>
      </c>
      <c r="P708" s="3" t="s">
        <v>2781</v>
      </c>
      <c r="Q708" s="2">
        <v>2843</v>
      </c>
    </row>
    <row r="709" spans="1:17" ht="143.25" customHeight="1" x14ac:dyDescent="0.25">
      <c r="D709" s="2" t="s">
        <v>4950</v>
      </c>
      <c r="F709" s="3" t="s">
        <v>2847</v>
      </c>
      <c r="G709" s="2"/>
      <c r="K709" s="2">
        <v>10</v>
      </c>
      <c r="L709" s="2" t="s">
        <v>20</v>
      </c>
      <c r="Q709" s="2">
        <v>2843</v>
      </c>
    </row>
    <row r="710" spans="1:17" ht="143.25" customHeight="1" x14ac:dyDescent="0.25">
      <c r="A710" s="5" t="str">
        <f>_xll.JChemExcel.Functions.JCSYSStructure("082A72727C13D5D174FB065CCEF988BA")</f>
        <v/>
      </c>
      <c r="B710" s="3" t="s">
        <v>4951</v>
      </c>
      <c r="C710" s="3" t="s">
        <v>4952</v>
      </c>
      <c r="D710" s="2" t="s">
        <v>4954</v>
      </c>
      <c r="E710" s="2" t="s">
        <v>7825</v>
      </c>
      <c r="F710" s="3" t="s">
        <v>4953</v>
      </c>
      <c r="G710" s="2" t="s">
        <v>4955</v>
      </c>
      <c r="H710" s="8">
        <v>256.8</v>
      </c>
      <c r="I710" s="2" t="s">
        <v>22</v>
      </c>
      <c r="J710" s="2" t="s">
        <v>26</v>
      </c>
      <c r="K710" s="2">
        <v>10</v>
      </c>
      <c r="L710" s="2" t="s">
        <v>20</v>
      </c>
      <c r="M710" s="2">
        <v>1965</v>
      </c>
      <c r="N710" s="3" t="s">
        <v>4956</v>
      </c>
      <c r="O710" s="3" t="s">
        <v>4957</v>
      </c>
      <c r="P710" s="3" t="s">
        <v>4958</v>
      </c>
      <c r="Q710" s="2">
        <v>2843</v>
      </c>
    </row>
    <row r="711" spans="1:17" ht="143.25" customHeight="1" x14ac:dyDescent="0.25">
      <c r="A711" s="5" t="str">
        <f>_xll.JChemExcel.Functions.JCSYSStructure("07FF84A09C63A15BC7C831EAFEF141DD")</f>
        <v/>
      </c>
      <c r="B711" s="3" t="s">
        <v>4959</v>
      </c>
      <c r="C711" s="3" t="s">
        <v>4960</v>
      </c>
      <c r="D711" s="2" t="s">
        <v>4962</v>
      </c>
      <c r="E711" s="2" t="s">
        <v>7826</v>
      </c>
      <c r="F711" s="3" t="s">
        <v>4961</v>
      </c>
      <c r="G711" s="2" t="s">
        <v>4963</v>
      </c>
      <c r="H711" s="8">
        <v>218.3</v>
      </c>
      <c r="I711" s="2" t="s">
        <v>22</v>
      </c>
      <c r="J711" s="2" t="s">
        <v>26</v>
      </c>
      <c r="K711" s="2">
        <v>10</v>
      </c>
      <c r="L711" s="2" t="s">
        <v>20</v>
      </c>
      <c r="M711" s="2">
        <v>1954</v>
      </c>
      <c r="N711" s="3" t="s">
        <v>32</v>
      </c>
      <c r="O711" s="3" t="s">
        <v>4964</v>
      </c>
      <c r="P711" s="3" t="s">
        <v>4965</v>
      </c>
      <c r="Q711" s="2">
        <v>2843</v>
      </c>
    </row>
    <row r="712" spans="1:17" ht="143.25" customHeight="1" x14ac:dyDescent="0.25">
      <c r="A712" s="5" t="str">
        <f>_xll.JChemExcel.Functions.JCSYSStructure("6C847014305BACB86D3F3FC17EC92E72")</f>
        <v/>
      </c>
      <c r="B712" s="3" t="s">
        <v>4966</v>
      </c>
      <c r="C712" s="3" t="s">
        <v>4967</v>
      </c>
      <c r="D712" s="2" t="s">
        <v>4969</v>
      </c>
      <c r="E712" s="2">
        <v>430113</v>
      </c>
      <c r="F712" s="3" t="s">
        <v>4968</v>
      </c>
      <c r="G712" s="2" t="s">
        <v>4970</v>
      </c>
      <c r="H712" s="8">
        <v>285.39999999999998</v>
      </c>
      <c r="I712" s="2" t="s">
        <v>22</v>
      </c>
      <c r="J712" s="2" t="s">
        <v>26</v>
      </c>
      <c r="K712" s="2">
        <v>10</v>
      </c>
      <c r="L712" s="2" t="s">
        <v>20</v>
      </c>
      <c r="M712" s="2">
        <v>1951</v>
      </c>
      <c r="N712" s="3" t="s">
        <v>4971</v>
      </c>
      <c r="O712" s="3" t="s">
        <v>4972</v>
      </c>
      <c r="P712" s="3" t="s">
        <v>4973</v>
      </c>
      <c r="Q712" s="2">
        <v>2843</v>
      </c>
    </row>
    <row r="713" spans="1:17" ht="143.25" customHeight="1" x14ac:dyDescent="0.25">
      <c r="D713" s="2" t="s">
        <v>4974</v>
      </c>
      <c r="F713" s="3" t="s">
        <v>2847</v>
      </c>
      <c r="G713" s="2"/>
      <c r="K713" s="2">
        <v>10</v>
      </c>
      <c r="L713" s="2" t="s">
        <v>20</v>
      </c>
      <c r="Q713" s="2">
        <v>2843</v>
      </c>
    </row>
    <row r="714" spans="1:17" ht="143.25" customHeight="1" x14ac:dyDescent="0.25">
      <c r="A714" s="5" t="str">
        <f>_xll.JChemExcel.Functions.JCSYSStructure("AA72B184D4BE63ACED48F83518E22EB3")</f>
        <v/>
      </c>
      <c r="B714" s="3" t="s">
        <v>4975</v>
      </c>
      <c r="C714" s="3" t="s">
        <v>4976</v>
      </c>
      <c r="D714" s="2" t="s">
        <v>4978</v>
      </c>
      <c r="E714" s="2" t="s">
        <v>7827</v>
      </c>
      <c r="F714" s="3" t="s">
        <v>4977</v>
      </c>
      <c r="G714" s="4" t="s">
        <v>7155</v>
      </c>
      <c r="H714" s="8">
        <v>330.9</v>
      </c>
      <c r="I714" s="2" t="s">
        <v>22</v>
      </c>
      <c r="J714" s="2" t="s">
        <v>26</v>
      </c>
      <c r="K714" s="2">
        <v>10</v>
      </c>
      <c r="L714" s="2" t="s">
        <v>20</v>
      </c>
      <c r="M714" s="2">
        <v>1953</v>
      </c>
      <c r="N714" s="3" t="s">
        <v>4979</v>
      </c>
      <c r="O714" s="3" t="s">
        <v>4980</v>
      </c>
      <c r="P714" s="3" t="s">
        <v>4981</v>
      </c>
      <c r="Q714" s="2">
        <v>2843</v>
      </c>
    </row>
    <row r="715" spans="1:17" ht="143.25" customHeight="1" x14ac:dyDescent="0.25">
      <c r="A715" s="5" t="str">
        <f>_xll.JChemExcel.Functions.JCSYSStructure("9260CC13D2AC8DC310BB26B5D57BA6EF")</f>
        <v/>
      </c>
      <c r="B715" s="3" t="s">
        <v>4982</v>
      </c>
      <c r="C715" s="3" t="s">
        <v>4983</v>
      </c>
      <c r="D715" s="2" t="s">
        <v>4985</v>
      </c>
      <c r="E715" s="2" t="s">
        <v>7828</v>
      </c>
      <c r="F715" s="3" t="s">
        <v>4984</v>
      </c>
      <c r="G715" s="2" t="s">
        <v>4986</v>
      </c>
      <c r="H715" s="8">
        <v>170.2</v>
      </c>
      <c r="I715" s="2" t="s">
        <v>22</v>
      </c>
      <c r="J715" s="2" t="s">
        <v>26</v>
      </c>
      <c r="K715" s="2">
        <v>10</v>
      </c>
      <c r="L715" s="2" t="s">
        <v>20</v>
      </c>
      <c r="M715" s="2">
        <v>1947</v>
      </c>
      <c r="N715" s="3" t="s">
        <v>4987</v>
      </c>
      <c r="O715" s="3" t="s">
        <v>4988</v>
      </c>
      <c r="P715" s="3" t="s">
        <v>4989</v>
      </c>
      <c r="Q715" s="2">
        <v>2843</v>
      </c>
    </row>
    <row r="716" spans="1:17" ht="143.25" customHeight="1" x14ac:dyDescent="0.25">
      <c r="A716" s="5" t="str">
        <f>_xll.JChemExcel.Functions.JCSYSStructure("7A8ED16AD81732B76592767C32851405")</f>
        <v/>
      </c>
      <c r="B716" s="3" t="s">
        <v>4990</v>
      </c>
      <c r="C716" s="3" t="s">
        <v>4991</v>
      </c>
      <c r="D716" s="2" t="s">
        <v>4993</v>
      </c>
      <c r="E716" s="2" t="s">
        <v>7829</v>
      </c>
      <c r="F716" s="3" t="s">
        <v>4992</v>
      </c>
      <c r="G716" s="2" t="s">
        <v>4994</v>
      </c>
      <c r="H716" s="8">
        <v>299.8</v>
      </c>
      <c r="I716" s="2" t="s">
        <v>22</v>
      </c>
      <c r="J716" s="2" t="s">
        <v>26</v>
      </c>
      <c r="K716" s="2">
        <v>10</v>
      </c>
      <c r="L716" s="2" t="s">
        <v>20</v>
      </c>
      <c r="M716" s="2">
        <v>1967</v>
      </c>
      <c r="N716" s="3" t="s">
        <v>269</v>
      </c>
      <c r="O716" s="3" t="s">
        <v>4995</v>
      </c>
      <c r="P716" s="3" t="s">
        <v>4996</v>
      </c>
      <c r="Q716" s="2">
        <v>2843</v>
      </c>
    </row>
    <row r="717" spans="1:17" ht="143.25" customHeight="1" x14ac:dyDescent="0.25">
      <c r="A717" s="5" t="str">
        <f>_xll.JChemExcel.Functions.JCSYSStructure("3A2C1E46FA853452773858F754AF82B1")</f>
        <v/>
      </c>
      <c r="B717" s="3" t="s">
        <v>4997</v>
      </c>
      <c r="C717" s="3" t="s">
        <v>4998</v>
      </c>
      <c r="D717" s="2" t="s">
        <v>5000</v>
      </c>
      <c r="E717" s="2" t="s">
        <v>7830</v>
      </c>
      <c r="F717" s="3" t="s">
        <v>4999</v>
      </c>
      <c r="G717" s="2" t="s">
        <v>5001</v>
      </c>
      <c r="H717" s="8">
        <v>123.1</v>
      </c>
      <c r="I717" s="2" t="s">
        <v>22</v>
      </c>
      <c r="J717" s="2" t="s">
        <v>26</v>
      </c>
      <c r="K717" s="2">
        <v>10</v>
      </c>
      <c r="L717" s="2" t="s">
        <v>20</v>
      </c>
      <c r="M717" s="2" t="s">
        <v>124</v>
      </c>
      <c r="N717" s="3" t="s">
        <v>5002</v>
      </c>
      <c r="O717" s="3" t="s">
        <v>5003</v>
      </c>
      <c r="P717" s="3" t="s">
        <v>5004</v>
      </c>
      <c r="Q717" s="2">
        <v>2843</v>
      </c>
    </row>
    <row r="718" spans="1:17" ht="143.25" customHeight="1" x14ac:dyDescent="0.25">
      <c r="A718" s="5" t="str">
        <f>_xll.JChemExcel.Functions.JCSYSStructure("1CABEE6D491642DCA77FE396F313CC26")</f>
        <v/>
      </c>
      <c r="B718" s="3" t="s">
        <v>5005</v>
      </c>
      <c r="C718" s="3" t="s">
        <v>5006</v>
      </c>
      <c r="D718" s="2" t="s">
        <v>5008</v>
      </c>
      <c r="E718" s="2" t="s">
        <v>7831</v>
      </c>
      <c r="F718" s="3" t="s">
        <v>5007</v>
      </c>
      <c r="G718" s="2" t="s">
        <v>5009</v>
      </c>
      <c r="H718" s="8">
        <v>261.10000000000002</v>
      </c>
      <c r="I718" s="2" t="s">
        <v>22</v>
      </c>
      <c r="J718" s="2" t="s">
        <v>26</v>
      </c>
      <c r="K718" s="2">
        <v>10</v>
      </c>
      <c r="L718" s="2" t="s">
        <v>20</v>
      </c>
      <c r="M718" s="2">
        <v>1955</v>
      </c>
      <c r="N718" s="3" t="s">
        <v>5010</v>
      </c>
      <c r="O718" s="3" t="s">
        <v>5011</v>
      </c>
      <c r="P718" s="3" t="s">
        <v>5012</v>
      </c>
      <c r="Q718" s="2">
        <v>2843</v>
      </c>
    </row>
    <row r="719" spans="1:17" ht="143.25" customHeight="1" x14ac:dyDescent="0.25">
      <c r="A719" s="5" t="str">
        <f>_xll.JChemExcel.Functions.JCSYSStructure("30B148B54A9BAA16C2AA652AA7B3238F")</f>
        <v/>
      </c>
      <c r="B719" s="3" t="s">
        <v>5013</v>
      </c>
      <c r="C719" s="3" t="s">
        <v>5014</v>
      </c>
      <c r="D719" s="2" t="s">
        <v>5016</v>
      </c>
      <c r="E719" s="2" t="s">
        <v>7832</v>
      </c>
      <c r="F719" s="3" t="s">
        <v>5015</v>
      </c>
      <c r="G719" s="2" t="s">
        <v>5017</v>
      </c>
      <c r="H719" s="8">
        <v>248.7</v>
      </c>
      <c r="I719" s="2" t="s">
        <v>22</v>
      </c>
      <c r="J719" s="2" t="s">
        <v>26</v>
      </c>
      <c r="K719" s="2">
        <v>10</v>
      </c>
      <c r="L719" s="2" t="s">
        <v>20</v>
      </c>
      <c r="M719" s="2">
        <v>1953</v>
      </c>
      <c r="N719" s="3" t="s">
        <v>5018</v>
      </c>
      <c r="O719" s="3" t="s">
        <v>5019</v>
      </c>
      <c r="P719" s="3" t="s">
        <v>5020</v>
      </c>
      <c r="Q719" s="2">
        <v>2843</v>
      </c>
    </row>
    <row r="720" spans="1:17" ht="143.25" customHeight="1" x14ac:dyDescent="0.25">
      <c r="A720" s="5" t="str">
        <f>_xll.JChemExcel.Functions.JCSYSStructure("17AFA975B9F2093919C426F5D6B7174A")</f>
        <v/>
      </c>
      <c r="B720" s="3" t="s">
        <v>5021</v>
      </c>
      <c r="C720" s="3" t="s">
        <v>5022</v>
      </c>
      <c r="D720" s="2" t="s">
        <v>5023</v>
      </c>
      <c r="E720" s="2" t="s">
        <v>7833</v>
      </c>
      <c r="F720" s="3" t="s">
        <v>7244</v>
      </c>
      <c r="G720" s="2" t="s">
        <v>5024</v>
      </c>
      <c r="H720" s="8">
        <v>378.9</v>
      </c>
      <c r="I720" s="2" t="s">
        <v>22</v>
      </c>
      <c r="J720" s="2" t="s">
        <v>26</v>
      </c>
      <c r="K720" s="2">
        <v>10</v>
      </c>
      <c r="L720" s="2" t="s">
        <v>20</v>
      </c>
      <c r="M720" s="2" t="e">
        <v>#N/A</v>
      </c>
      <c r="N720" s="3" t="s">
        <v>5025</v>
      </c>
      <c r="O720" s="3" t="s">
        <v>5026</v>
      </c>
      <c r="P720" s="3" t="s">
        <v>5027</v>
      </c>
      <c r="Q720" s="2">
        <v>2843</v>
      </c>
    </row>
    <row r="721" spans="1:17" ht="143.25" customHeight="1" x14ac:dyDescent="0.25">
      <c r="A721" s="5" t="str">
        <f>_xll.JChemExcel.Functions.JCSYSStructure("C1A01CBC42E75165A53ADC6EDDF8B5D7")</f>
        <v/>
      </c>
      <c r="B721" s="3" t="s">
        <v>5028</v>
      </c>
      <c r="C721" s="3" t="s">
        <v>5029</v>
      </c>
      <c r="D721" s="2" t="s">
        <v>5030</v>
      </c>
      <c r="E721" s="2" t="s">
        <v>7834</v>
      </c>
      <c r="F721" s="3" t="s">
        <v>7245</v>
      </c>
      <c r="G721" s="2" t="s">
        <v>5031</v>
      </c>
      <c r="H721" s="8">
        <v>381.4</v>
      </c>
      <c r="I721" s="2" t="s">
        <v>22</v>
      </c>
      <c r="J721" s="2" t="s">
        <v>26</v>
      </c>
      <c r="K721" s="2">
        <v>10</v>
      </c>
      <c r="L721" s="2" t="s">
        <v>20</v>
      </c>
      <c r="M721" s="2">
        <v>1999</v>
      </c>
      <c r="N721" s="3" t="s">
        <v>456</v>
      </c>
      <c r="O721" s="3" t="s">
        <v>4204</v>
      </c>
      <c r="P721" s="3" t="s">
        <v>5032</v>
      </c>
      <c r="Q721" s="2">
        <v>2843</v>
      </c>
    </row>
    <row r="722" spans="1:17" ht="143.25" customHeight="1" x14ac:dyDescent="0.25">
      <c r="A722" s="5" t="str">
        <f>_xll.JChemExcel.Functions.JCSYSStructure("5A6E11E7C27D1CE6ED01F2053BB92DDF")</f>
        <v/>
      </c>
      <c r="B722" s="3" t="s">
        <v>5033</v>
      </c>
      <c r="C722" s="3" t="s">
        <v>5034</v>
      </c>
      <c r="D722" s="2" t="s">
        <v>5036</v>
      </c>
      <c r="E722" s="2" t="s">
        <v>7835</v>
      </c>
      <c r="F722" s="3" t="s">
        <v>5035</v>
      </c>
      <c r="G722" s="2" t="s">
        <v>7246</v>
      </c>
      <c r="H722" s="8">
        <v>482.5</v>
      </c>
      <c r="I722" s="2" t="s">
        <v>22</v>
      </c>
      <c r="J722" s="2" t="s">
        <v>26</v>
      </c>
      <c r="K722" s="2">
        <v>10</v>
      </c>
      <c r="L722" s="2" t="s">
        <v>20</v>
      </c>
      <c r="M722" s="2" t="s">
        <v>124</v>
      </c>
      <c r="N722" s="3" t="s">
        <v>1134</v>
      </c>
      <c r="O722" s="3" t="s">
        <v>5037</v>
      </c>
      <c r="P722" s="3" t="s">
        <v>53</v>
      </c>
      <c r="Q722" s="2">
        <v>2843</v>
      </c>
    </row>
    <row r="723" spans="1:17" ht="143.25" customHeight="1" x14ac:dyDescent="0.25">
      <c r="A723" s="5" t="str">
        <f>_xll.JChemExcel.Functions.JCSYSStructure("7D49E483959D05462F6A42D996E57C2E")</f>
        <v/>
      </c>
      <c r="B723" s="3" t="s">
        <v>5038</v>
      </c>
      <c r="C723" s="3" t="s">
        <v>5039</v>
      </c>
      <c r="D723" s="2" t="s">
        <v>5041</v>
      </c>
      <c r="E723" s="2" t="s">
        <v>7836</v>
      </c>
      <c r="F723" s="3" t="s">
        <v>5040</v>
      </c>
      <c r="G723" s="2" t="s">
        <v>5042</v>
      </c>
      <c r="H723" s="8">
        <v>259.3</v>
      </c>
      <c r="I723" s="2" t="s">
        <v>22</v>
      </c>
      <c r="J723" s="2" t="s">
        <v>26</v>
      </c>
      <c r="K723" s="2">
        <v>10</v>
      </c>
      <c r="L723" s="2" t="s">
        <v>20</v>
      </c>
      <c r="M723" s="2">
        <v>2005</v>
      </c>
      <c r="N723" s="3" t="s">
        <v>5043</v>
      </c>
      <c r="O723" s="3" t="s">
        <v>5044</v>
      </c>
      <c r="P723" s="3" t="s">
        <v>5045</v>
      </c>
      <c r="Q723" s="2">
        <v>2843</v>
      </c>
    </row>
    <row r="724" spans="1:17" ht="143.25" customHeight="1" x14ac:dyDescent="0.25">
      <c r="A724" s="5" t="str">
        <f>_xll.JChemExcel.Functions.JCSYSStructure("90793BA23854FA620864D14F4368ABCD")</f>
        <v/>
      </c>
      <c r="B724" s="3" t="s">
        <v>5046</v>
      </c>
      <c r="C724" s="3" t="s">
        <v>5047</v>
      </c>
      <c r="D724" s="2" t="s">
        <v>5049</v>
      </c>
      <c r="E724" s="2" t="s">
        <v>7837</v>
      </c>
      <c r="F724" s="3" t="s">
        <v>5048</v>
      </c>
      <c r="G724" s="2" t="s">
        <v>5050</v>
      </c>
      <c r="H724" s="8">
        <v>267.3</v>
      </c>
      <c r="I724" s="2" t="s">
        <v>22</v>
      </c>
      <c r="J724" s="2" t="s">
        <v>26</v>
      </c>
      <c r="K724" s="2">
        <v>10</v>
      </c>
      <c r="L724" s="2" t="s">
        <v>20</v>
      </c>
      <c r="M724" s="2">
        <v>2006</v>
      </c>
      <c r="N724" s="3" t="s">
        <v>5051</v>
      </c>
      <c r="O724" s="3" t="s">
        <v>5052</v>
      </c>
      <c r="P724" s="3" t="s">
        <v>5053</v>
      </c>
      <c r="Q724" s="2">
        <v>2843</v>
      </c>
    </row>
    <row r="725" spans="1:17" ht="143.25" customHeight="1" x14ac:dyDescent="0.25">
      <c r="A725" s="5" t="str">
        <f>_xll.JChemExcel.Functions.JCSYSStructure("679ED3EB2BECBE94C2E2EE6D700A361B")</f>
        <v/>
      </c>
      <c r="B725" s="3" t="s">
        <v>5054</v>
      </c>
      <c r="C725" s="3" t="s">
        <v>5055</v>
      </c>
      <c r="D725" s="2" t="s">
        <v>5057</v>
      </c>
      <c r="E725" s="2" t="s">
        <v>7838</v>
      </c>
      <c r="F725" s="3" t="s">
        <v>5056</v>
      </c>
      <c r="G725" s="2" t="s">
        <v>5058</v>
      </c>
      <c r="H725" s="8">
        <v>390.4</v>
      </c>
      <c r="I725" s="2" t="s">
        <v>22</v>
      </c>
      <c r="J725" s="2" t="s">
        <v>26</v>
      </c>
      <c r="K725" s="2">
        <v>10</v>
      </c>
      <c r="L725" s="2" t="s">
        <v>20</v>
      </c>
      <c r="M725" s="2">
        <v>2008</v>
      </c>
      <c r="N725" s="3" t="s">
        <v>5059</v>
      </c>
      <c r="O725" s="3" t="s">
        <v>5060</v>
      </c>
      <c r="P725" s="3" t="s">
        <v>5061</v>
      </c>
      <c r="Q725" s="2">
        <v>2843</v>
      </c>
    </row>
    <row r="726" spans="1:17" ht="143.25" customHeight="1" x14ac:dyDescent="0.25">
      <c r="A726" s="5" t="str">
        <f>_xll.JChemExcel.Functions.JCSYSStructure("BF2023865196AE12D625823322C9805F")</f>
        <v/>
      </c>
      <c r="B726" s="3" t="s">
        <v>5062</v>
      </c>
      <c r="C726" s="3" t="s">
        <v>5063</v>
      </c>
      <c r="D726" s="2" t="s">
        <v>5065</v>
      </c>
      <c r="E726" s="2" t="s">
        <v>7839</v>
      </c>
      <c r="F726" s="3" t="s">
        <v>5064</v>
      </c>
      <c r="G726" s="2" t="s">
        <v>5066</v>
      </c>
      <c r="H726" s="8">
        <v>452.6</v>
      </c>
      <c r="I726" s="2" t="s">
        <v>22</v>
      </c>
      <c r="J726" s="2" t="s">
        <v>26</v>
      </c>
      <c r="K726" s="2">
        <v>10</v>
      </c>
      <c r="L726" s="2" t="s">
        <v>20</v>
      </c>
      <c r="M726" s="2">
        <v>1997</v>
      </c>
      <c r="N726" s="3" t="s">
        <v>5067</v>
      </c>
      <c r="O726" s="3" t="s">
        <v>5068</v>
      </c>
      <c r="P726" s="3" t="s">
        <v>5069</v>
      </c>
      <c r="Q726" s="2">
        <v>2843</v>
      </c>
    </row>
    <row r="727" spans="1:17" ht="143.25" customHeight="1" x14ac:dyDescent="0.25">
      <c r="A727" s="5" t="str">
        <f>_xll.JChemExcel.Functions.JCSYSStructure("6BE8B57B57988AB16B1BE16B212AD0E0")</f>
        <v/>
      </c>
      <c r="B727" s="3" t="s">
        <v>5070</v>
      </c>
      <c r="C727" s="3" t="s">
        <v>5071</v>
      </c>
      <c r="D727" s="2" t="s">
        <v>5073</v>
      </c>
      <c r="E727" s="2" t="s">
        <v>7840</v>
      </c>
      <c r="F727" s="3" t="s">
        <v>5072</v>
      </c>
      <c r="G727" s="2" t="s">
        <v>5074</v>
      </c>
      <c r="H727" s="8">
        <v>608.70000000000005</v>
      </c>
      <c r="I727" s="2" t="s">
        <v>22</v>
      </c>
      <c r="J727" s="2" t="s">
        <v>26</v>
      </c>
      <c r="K727" s="2">
        <v>10</v>
      </c>
      <c r="L727" s="2" t="s">
        <v>20</v>
      </c>
      <c r="M727" s="2" t="s">
        <v>124</v>
      </c>
      <c r="N727" s="3" t="s">
        <v>5075</v>
      </c>
      <c r="O727" s="3" t="s">
        <v>5076</v>
      </c>
      <c r="P727" s="3" t="s">
        <v>5077</v>
      </c>
      <c r="Q727" s="2">
        <v>2843</v>
      </c>
    </row>
    <row r="728" spans="1:17" ht="143.25" customHeight="1" x14ac:dyDescent="0.25">
      <c r="A728" s="5" t="str">
        <f>_xll.JChemExcel.Functions.JCSYSStructure("979419C3DC665B9385D04414C755496F")</f>
        <v/>
      </c>
      <c r="B728" s="3" t="s">
        <v>5078</v>
      </c>
      <c r="C728" s="3" t="s">
        <v>5079</v>
      </c>
      <c r="D728" s="2" t="s">
        <v>5081</v>
      </c>
      <c r="E728" s="2" t="s">
        <v>7841</v>
      </c>
      <c r="F728" s="3" t="s">
        <v>5080</v>
      </c>
      <c r="G728" s="2" t="s">
        <v>5082</v>
      </c>
      <c r="H728" s="8">
        <v>847</v>
      </c>
      <c r="I728" s="2" t="s">
        <v>22</v>
      </c>
      <c r="J728" s="2" t="s">
        <v>26</v>
      </c>
      <c r="K728" s="2">
        <v>10</v>
      </c>
      <c r="L728" s="2" t="s">
        <v>20</v>
      </c>
      <c r="M728" s="2">
        <v>1992</v>
      </c>
      <c r="N728" s="3" t="s">
        <v>5083</v>
      </c>
      <c r="O728" s="3" t="s">
        <v>5084</v>
      </c>
      <c r="P728" s="3" t="s">
        <v>5085</v>
      </c>
      <c r="Q728" s="2">
        <v>2843</v>
      </c>
    </row>
    <row r="729" spans="1:17" ht="143.25" customHeight="1" x14ac:dyDescent="0.25">
      <c r="A729" s="5" t="str">
        <f>_xll.JChemExcel.Functions.JCSYSStructure("5B79E42698E1AAA340CE0853614319A8")</f>
        <v/>
      </c>
      <c r="B729" s="3" t="s">
        <v>5086</v>
      </c>
      <c r="C729" s="3" t="s">
        <v>5087</v>
      </c>
      <c r="D729" s="2" t="s">
        <v>5089</v>
      </c>
      <c r="E729" s="2" t="s">
        <v>7842</v>
      </c>
      <c r="F729" s="3" t="s">
        <v>5088</v>
      </c>
      <c r="G729" s="2" t="s">
        <v>5090</v>
      </c>
      <c r="H729" s="8">
        <v>877</v>
      </c>
      <c r="I729" s="2" t="s">
        <v>22</v>
      </c>
      <c r="J729" s="2" t="s">
        <v>26</v>
      </c>
      <c r="K729" s="2">
        <v>10</v>
      </c>
      <c r="L729" s="2" t="s">
        <v>20</v>
      </c>
      <c r="M729" s="2">
        <v>1998</v>
      </c>
      <c r="N729" s="3" t="s">
        <v>5091</v>
      </c>
      <c r="O729" s="3" t="s">
        <v>5092</v>
      </c>
      <c r="P729" s="3" t="s">
        <v>5093</v>
      </c>
      <c r="Q729" s="2">
        <v>2843</v>
      </c>
    </row>
    <row r="730" spans="1:17" ht="143.25" customHeight="1" x14ac:dyDescent="0.25">
      <c r="A730" s="5" t="str">
        <f>_xll.JChemExcel.Functions.JCSYSStructure("E2A74C7AA616D2A8C580A861ACEBF74F")</f>
        <v/>
      </c>
      <c r="B730" s="3" t="s">
        <v>5094</v>
      </c>
      <c r="C730" s="3" t="s">
        <v>5095</v>
      </c>
      <c r="D730" s="2" t="s">
        <v>5097</v>
      </c>
      <c r="E730" s="2" t="s">
        <v>7843</v>
      </c>
      <c r="F730" s="3" t="s">
        <v>5096</v>
      </c>
      <c r="G730" s="2" t="s">
        <v>5098</v>
      </c>
      <c r="H730" s="8">
        <v>785.9</v>
      </c>
      <c r="I730" s="2" t="s">
        <v>22</v>
      </c>
      <c r="J730" s="2" t="s">
        <v>26</v>
      </c>
      <c r="K730" s="2">
        <v>10</v>
      </c>
      <c r="L730" s="2" t="s">
        <v>20</v>
      </c>
      <c r="M730" s="2">
        <v>2004</v>
      </c>
      <c r="N730" s="3" t="s">
        <v>5099</v>
      </c>
      <c r="O730" s="3" t="s">
        <v>5100</v>
      </c>
      <c r="P730" s="3" t="s">
        <v>5101</v>
      </c>
      <c r="Q730" s="2">
        <v>2843</v>
      </c>
    </row>
    <row r="731" spans="1:17" ht="143.25" customHeight="1" x14ac:dyDescent="0.25">
      <c r="A731" s="5" t="str">
        <f>_xll.JChemExcel.Functions.JCSYSStructure("2A3E65F062AC8F3BC24A1DDE797FCCD0")</f>
        <v/>
      </c>
      <c r="B731" s="3" t="s">
        <v>5102</v>
      </c>
      <c r="C731" s="3" t="s">
        <v>5103</v>
      </c>
      <c r="D731" s="2" t="s">
        <v>5105</v>
      </c>
      <c r="E731" s="2" t="s">
        <v>7844</v>
      </c>
      <c r="F731" s="3" t="s">
        <v>5104</v>
      </c>
      <c r="G731" s="2" t="s">
        <v>5106</v>
      </c>
      <c r="H731" s="8">
        <v>720.9</v>
      </c>
      <c r="I731" s="2" t="s">
        <v>22</v>
      </c>
      <c r="J731" s="2" t="s">
        <v>26</v>
      </c>
      <c r="K731" s="2">
        <v>10</v>
      </c>
      <c r="L731" s="2" t="s">
        <v>20</v>
      </c>
      <c r="M731" s="2">
        <v>1996</v>
      </c>
      <c r="N731" s="3" t="s">
        <v>207</v>
      </c>
      <c r="O731" s="3" t="s">
        <v>5107</v>
      </c>
      <c r="P731" s="3" t="s">
        <v>4114</v>
      </c>
      <c r="Q731" s="2">
        <v>2843</v>
      </c>
    </row>
    <row r="732" spans="1:17" ht="143.25" customHeight="1" x14ac:dyDescent="0.25">
      <c r="A732" s="5" t="str">
        <f>_xll.JChemExcel.Functions.JCSYSStructure("363A048110D3D47990AD5E5EC3B6AC3C")</f>
        <v/>
      </c>
      <c r="B732" s="3" t="s">
        <v>5108</v>
      </c>
      <c r="C732" s="3" t="s">
        <v>5109</v>
      </c>
      <c r="D732" s="2" t="s">
        <v>5111</v>
      </c>
      <c r="E732" s="2" t="s">
        <v>7845</v>
      </c>
      <c r="F732" s="3" t="s">
        <v>5110</v>
      </c>
      <c r="G732" s="2" t="s">
        <v>5112</v>
      </c>
      <c r="H732" s="8">
        <v>391.5</v>
      </c>
      <c r="I732" s="2" t="s">
        <v>22</v>
      </c>
      <c r="J732" s="2" t="s">
        <v>26</v>
      </c>
      <c r="K732" s="2">
        <v>10</v>
      </c>
      <c r="L732" s="2" t="s">
        <v>20</v>
      </c>
      <c r="M732" s="2">
        <v>1998</v>
      </c>
      <c r="N732" s="3" t="s">
        <v>4624</v>
      </c>
      <c r="O732" s="3" t="s">
        <v>4625</v>
      </c>
      <c r="P732" s="3" t="s">
        <v>5113</v>
      </c>
      <c r="Q732" s="2">
        <v>2843</v>
      </c>
    </row>
    <row r="733" spans="1:17" ht="143.25" customHeight="1" x14ac:dyDescent="0.25">
      <c r="A733" s="5" t="str">
        <f>_xll.JChemExcel.Functions.JCSYSStructure("5C723556D67F1307C4261DBA2211087E")</f>
        <v/>
      </c>
      <c r="B733" s="3" t="s">
        <v>5114</v>
      </c>
      <c r="C733" s="3" t="s">
        <v>5115</v>
      </c>
      <c r="D733" s="2" t="s">
        <v>5117</v>
      </c>
      <c r="E733" s="2" t="s">
        <v>7846</v>
      </c>
      <c r="F733" s="3" t="s">
        <v>5116</v>
      </c>
      <c r="G733" s="2" t="s">
        <v>5118</v>
      </c>
      <c r="H733" s="8">
        <v>296.8</v>
      </c>
      <c r="I733" s="2" t="s">
        <v>22</v>
      </c>
      <c r="J733" s="2" t="s">
        <v>26</v>
      </c>
      <c r="K733" s="2">
        <v>10</v>
      </c>
      <c r="L733" s="2" t="s">
        <v>20</v>
      </c>
      <c r="M733" s="2">
        <v>1997</v>
      </c>
      <c r="N733" s="3" t="s">
        <v>3076</v>
      </c>
      <c r="O733" s="3" t="s">
        <v>5119</v>
      </c>
      <c r="P733" s="3" t="s">
        <v>5120</v>
      </c>
      <c r="Q733" s="2">
        <v>2843</v>
      </c>
    </row>
    <row r="734" spans="1:17" ht="143.25" customHeight="1" x14ac:dyDescent="0.25">
      <c r="A734" s="5" t="str">
        <f>_xll.JChemExcel.Functions.JCSYSStructure("E6C86BA18DEAA7419C0C36314F749706")</f>
        <v/>
      </c>
      <c r="B734" s="3" t="s">
        <v>5121</v>
      </c>
      <c r="C734" s="3" t="s">
        <v>5122</v>
      </c>
      <c r="D734" s="2" t="s">
        <v>5124</v>
      </c>
      <c r="E734" s="2" t="s">
        <v>7847</v>
      </c>
      <c r="F734" s="3" t="s">
        <v>5123</v>
      </c>
      <c r="G734" s="2" t="s">
        <v>5125</v>
      </c>
      <c r="H734" s="8">
        <v>328.9</v>
      </c>
      <c r="I734" s="2" t="s">
        <v>22</v>
      </c>
      <c r="J734" s="2" t="s">
        <v>26</v>
      </c>
      <c r="K734" s="2">
        <v>10</v>
      </c>
      <c r="L734" s="2" t="s">
        <v>20</v>
      </c>
      <c r="M734" s="2">
        <v>1996</v>
      </c>
      <c r="N734" s="3" t="s">
        <v>5126</v>
      </c>
      <c r="O734" s="3" t="s">
        <v>5127</v>
      </c>
      <c r="P734" s="3" t="s">
        <v>5128</v>
      </c>
      <c r="Q734" s="2">
        <v>2843</v>
      </c>
    </row>
    <row r="735" spans="1:17" ht="143.25" customHeight="1" x14ac:dyDescent="0.25">
      <c r="A735" s="5" t="str">
        <f>_xll.JChemExcel.Functions.JCSYSStructure("2AAA68C8CF16AABCCBC807C3C222D56A")</f>
        <v/>
      </c>
      <c r="B735" s="3" t="s">
        <v>5129</v>
      </c>
      <c r="C735" s="3" t="s">
        <v>5130</v>
      </c>
      <c r="D735" s="2" t="s">
        <v>5132</v>
      </c>
      <c r="E735" s="2" t="s">
        <v>7848</v>
      </c>
      <c r="F735" s="3" t="s">
        <v>5131</v>
      </c>
      <c r="G735" s="2" t="s">
        <v>5133</v>
      </c>
      <c r="H735" s="8">
        <v>1001.1</v>
      </c>
      <c r="I735" s="2" t="s">
        <v>22</v>
      </c>
      <c r="J735" s="2" t="s">
        <v>26</v>
      </c>
      <c r="K735" s="2">
        <v>10</v>
      </c>
      <c r="L735" s="2" t="s">
        <v>20</v>
      </c>
      <c r="M735" s="2">
        <v>2003</v>
      </c>
      <c r="N735" s="3" t="s">
        <v>2011</v>
      </c>
      <c r="O735" s="3" t="s">
        <v>5134</v>
      </c>
      <c r="P735" s="3" t="s">
        <v>5135</v>
      </c>
      <c r="Q735" s="2">
        <v>2843</v>
      </c>
    </row>
    <row r="736" spans="1:17" ht="143.25" customHeight="1" x14ac:dyDescent="0.25">
      <c r="A736" s="5" t="str">
        <f>_xll.JChemExcel.Functions.JCSYSStructure("8074EAC576BEBE47E936ED6E8D15E9A8")</f>
        <v/>
      </c>
      <c r="B736" s="3" t="s">
        <v>5136</v>
      </c>
      <c r="C736" s="3" t="s">
        <v>5137</v>
      </c>
      <c r="D736" s="2" t="s">
        <v>5139</v>
      </c>
      <c r="E736" s="2" t="s">
        <v>7849</v>
      </c>
      <c r="F736" s="3" t="s">
        <v>5138</v>
      </c>
      <c r="G736" s="2" t="s">
        <v>5140</v>
      </c>
      <c r="H736" s="8">
        <v>238.2</v>
      </c>
      <c r="I736" s="2" t="s">
        <v>22</v>
      </c>
      <c r="J736" s="2" t="s">
        <v>26</v>
      </c>
      <c r="K736" s="2">
        <v>10</v>
      </c>
      <c r="L736" s="2" t="s">
        <v>20</v>
      </c>
      <c r="M736" s="2">
        <v>2008</v>
      </c>
      <c r="N736" s="3" t="s">
        <v>32</v>
      </c>
      <c r="O736" s="3" t="s">
        <v>5141</v>
      </c>
      <c r="P736" s="3" t="s">
        <v>5142</v>
      </c>
      <c r="Q736" s="2">
        <v>2843</v>
      </c>
    </row>
    <row r="737" spans="1:17" ht="143.25" customHeight="1" x14ac:dyDescent="0.25">
      <c r="A737" s="5" t="str">
        <f>_xll.JChemExcel.Functions.JCSYSStructure("3C0A91DD6853EB5D4E0581212DEE8F93")</f>
        <v/>
      </c>
      <c r="B737" s="3" t="s">
        <v>5143</v>
      </c>
      <c r="C737" s="3" t="s">
        <v>5144</v>
      </c>
      <c r="D737" s="2" t="s">
        <v>5146</v>
      </c>
      <c r="E737" s="2" t="s">
        <v>7850</v>
      </c>
      <c r="F737" s="3" t="s">
        <v>5145</v>
      </c>
      <c r="G737" s="2" t="s">
        <v>5147</v>
      </c>
      <c r="H737" s="8">
        <v>766.9</v>
      </c>
      <c r="I737" s="2" t="s">
        <v>22</v>
      </c>
      <c r="J737" s="2" t="s">
        <v>26</v>
      </c>
      <c r="K737" s="2">
        <v>10</v>
      </c>
      <c r="L737" s="2" t="s">
        <v>20</v>
      </c>
      <c r="M737" s="2">
        <v>1995</v>
      </c>
      <c r="N737" s="3" t="s">
        <v>5148</v>
      </c>
      <c r="O737" s="3" t="s">
        <v>5149</v>
      </c>
      <c r="P737" s="3" t="s">
        <v>5150</v>
      </c>
      <c r="Q737" s="2">
        <v>2843</v>
      </c>
    </row>
    <row r="738" spans="1:17" ht="143.25" customHeight="1" x14ac:dyDescent="0.25">
      <c r="A738" s="5" t="str">
        <f>_xll.JChemExcel.Functions.JCSYSStructure("A3C0D6320D9D89B8D5378462F1FB3222")</f>
        <v/>
      </c>
      <c r="B738" s="3" t="s">
        <v>5151</v>
      </c>
      <c r="C738" s="3" t="s">
        <v>5152</v>
      </c>
      <c r="D738" s="2" t="s">
        <v>5154</v>
      </c>
      <c r="E738" s="2" t="s">
        <v>7247</v>
      </c>
      <c r="F738" s="3" t="s">
        <v>5153</v>
      </c>
      <c r="G738" s="2" t="s">
        <v>5155</v>
      </c>
      <c r="H738" s="8">
        <v>223.74171999999999</v>
      </c>
      <c r="I738" s="2" t="s">
        <v>22</v>
      </c>
      <c r="J738" s="2" t="s">
        <v>26</v>
      </c>
      <c r="K738" s="2">
        <v>10</v>
      </c>
      <c r="L738" s="2" t="s">
        <v>20</v>
      </c>
      <c r="M738" s="2">
        <v>1989</v>
      </c>
      <c r="N738" s="3" t="s">
        <v>5051</v>
      </c>
      <c r="O738" s="3" t="s">
        <v>5156</v>
      </c>
      <c r="P738" s="3" t="s">
        <v>5157</v>
      </c>
      <c r="Q738" s="2">
        <v>2843</v>
      </c>
    </row>
    <row r="739" spans="1:17" ht="143.25" customHeight="1" x14ac:dyDescent="0.25">
      <c r="A739" s="5" t="str">
        <f>_xll.JChemExcel.Functions.JCSYSStructure("23796EB76BC4E24EDA7022C76D309868")</f>
        <v/>
      </c>
      <c r="B739" s="3" t="s">
        <v>5158</v>
      </c>
      <c r="C739" s="3" t="s">
        <v>5159</v>
      </c>
      <c r="D739" s="2" t="s">
        <v>5161</v>
      </c>
      <c r="E739" s="2" t="s">
        <v>7851</v>
      </c>
      <c r="F739" s="3" t="s">
        <v>5160</v>
      </c>
      <c r="G739" s="2" t="s">
        <v>5162</v>
      </c>
      <c r="H739" s="8">
        <v>342.69051999999999</v>
      </c>
      <c r="I739" s="2" t="s">
        <v>22</v>
      </c>
      <c r="J739" s="2" t="s">
        <v>26</v>
      </c>
      <c r="K739" s="2">
        <v>10</v>
      </c>
      <c r="L739" s="2" t="s">
        <v>20</v>
      </c>
      <c r="M739" s="2">
        <v>1991</v>
      </c>
      <c r="N739" s="3" t="s">
        <v>269</v>
      </c>
      <c r="O739" s="3" t="s">
        <v>5163</v>
      </c>
      <c r="P739" s="3" t="s">
        <v>5164</v>
      </c>
      <c r="Q739" s="2">
        <v>2843</v>
      </c>
    </row>
    <row r="740" spans="1:17" ht="143.25" customHeight="1" x14ac:dyDescent="0.25">
      <c r="A740" s="5" t="str">
        <f>_xll.JChemExcel.Functions.JCSYSStructure("EB3A18A7566359A50CC391F35FB1AC67")</f>
        <v/>
      </c>
      <c r="B740" s="3" t="s">
        <v>5165</v>
      </c>
      <c r="C740" s="3" t="s">
        <v>5166</v>
      </c>
      <c r="D740" s="2" t="s">
        <v>5168</v>
      </c>
      <c r="E740" s="2" t="s">
        <v>7852</v>
      </c>
      <c r="F740" s="3" t="s">
        <v>5167</v>
      </c>
      <c r="G740" s="2" t="s">
        <v>5169</v>
      </c>
      <c r="H740" s="8">
        <v>357.1</v>
      </c>
      <c r="I740" s="2" t="s">
        <v>22</v>
      </c>
      <c r="J740" s="2" t="s">
        <v>26</v>
      </c>
      <c r="K740" s="2">
        <v>10</v>
      </c>
      <c r="L740" s="2" t="s">
        <v>20</v>
      </c>
      <c r="M740" s="2">
        <v>1973</v>
      </c>
      <c r="N740" s="3" t="s">
        <v>5170</v>
      </c>
      <c r="O740" s="3" t="s">
        <v>5171</v>
      </c>
      <c r="P740" s="3" t="s">
        <v>5172</v>
      </c>
      <c r="Q740" s="2">
        <v>2843</v>
      </c>
    </row>
    <row r="741" spans="1:17" ht="143.25" customHeight="1" x14ac:dyDescent="0.25">
      <c r="A741" s="5" t="str">
        <f>_xll.JChemExcel.Functions.JCSYSStructure("656D60DEEEC643B71D5BF505DBED7C13")</f>
        <v/>
      </c>
      <c r="B741" s="3" t="s">
        <v>5173</v>
      </c>
      <c r="C741" s="3" t="s">
        <v>5174</v>
      </c>
      <c r="D741" s="2" t="s">
        <v>5176</v>
      </c>
      <c r="E741" s="2" t="s">
        <v>7853</v>
      </c>
      <c r="F741" s="3" t="s">
        <v>5175</v>
      </c>
      <c r="G741" s="2" t="s">
        <v>5177</v>
      </c>
      <c r="H741" s="8">
        <v>523.29999999999995</v>
      </c>
      <c r="I741" s="2" t="s">
        <v>22</v>
      </c>
      <c r="J741" s="2" t="s">
        <v>26</v>
      </c>
      <c r="K741" s="2">
        <v>10</v>
      </c>
      <c r="L741" s="2" t="s">
        <v>20</v>
      </c>
      <c r="M741" s="2">
        <v>2006</v>
      </c>
      <c r="N741" s="3" t="s">
        <v>5178</v>
      </c>
      <c r="O741" s="3" t="s">
        <v>5179</v>
      </c>
      <c r="P741" s="3" t="s">
        <v>5180</v>
      </c>
      <c r="Q741" s="2">
        <v>2843</v>
      </c>
    </row>
    <row r="742" spans="1:17" ht="143.25" customHeight="1" x14ac:dyDescent="0.25">
      <c r="A742" s="5" t="str">
        <f>_xll.JChemExcel.Functions.JCSYSStructure("CA7C3B8A5868F65986254A1791BF2428")</f>
        <v/>
      </c>
      <c r="B742" s="3" t="s">
        <v>5181</v>
      </c>
      <c r="C742" s="3" t="s">
        <v>5182</v>
      </c>
      <c r="D742" s="2" t="s">
        <v>5183</v>
      </c>
      <c r="E742" s="2" t="s">
        <v>7854</v>
      </c>
      <c r="F742" s="3" t="s">
        <v>7901</v>
      </c>
      <c r="G742" s="2" t="s">
        <v>5184</v>
      </c>
      <c r="H742" s="8">
        <v>637</v>
      </c>
      <c r="I742" s="2" t="s">
        <v>22</v>
      </c>
      <c r="J742" s="2" t="s">
        <v>26</v>
      </c>
      <c r="K742" s="2">
        <v>10</v>
      </c>
      <c r="L742" s="2" t="s">
        <v>20</v>
      </c>
      <c r="M742" s="2">
        <v>2005</v>
      </c>
      <c r="N742" s="3" t="s">
        <v>5185</v>
      </c>
      <c r="O742" s="3" t="s">
        <v>5186</v>
      </c>
      <c r="P742" s="3" t="s">
        <v>5187</v>
      </c>
      <c r="Q742" s="2">
        <v>2843</v>
      </c>
    </row>
    <row r="743" spans="1:17" ht="143.25" customHeight="1" x14ac:dyDescent="0.25">
      <c r="A743" s="5" t="str">
        <f>_xll.JChemExcel.Functions.JCSYSStructure("9BAD28A637283933BC9775AC3053E0DD")</f>
        <v/>
      </c>
      <c r="B743" s="3" t="s">
        <v>5188</v>
      </c>
      <c r="C743" s="3" t="s">
        <v>5189</v>
      </c>
      <c r="D743" s="2" t="s">
        <v>5191</v>
      </c>
      <c r="E743" s="2" t="s">
        <v>7855</v>
      </c>
      <c r="F743" s="3" t="s">
        <v>5190</v>
      </c>
      <c r="G743" s="2" t="s">
        <v>5192</v>
      </c>
      <c r="H743" s="8">
        <v>224.2</v>
      </c>
      <c r="I743" s="2" t="s">
        <v>22</v>
      </c>
      <c r="J743" s="2" t="s">
        <v>26</v>
      </c>
      <c r="K743" s="2">
        <v>10</v>
      </c>
      <c r="L743" s="2" t="s">
        <v>20</v>
      </c>
      <c r="M743" s="2">
        <v>1994</v>
      </c>
      <c r="N743" s="3" t="s">
        <v>207</v>
      </c>
      <c r="O743" s="3" t="s">
        <v>1515</v>
      </c>
      <c r="P743" s="3" t="s">
        <v>5193</v>
      </c>
      <c r="Q743" s="2">
        <v>2843</v>
      </c>
    </row>
    <row r="744" spans="1:17" ht="143.25" customHeight="1" x14ac:dyDescent="0.25">
      <c r="A744" s="5" t="str">
        <f>_xll.JChemExcel.Functions.JCSYSStructure("7FE1EEA9A565B79CA75C9922B85B267A")</f>
        <v/>
      </c>
      <c r="B744" s="3" t="s">
        <v>5194</v>
      </c>
      <c r="C744" s="3" t="s">
        <v>5195</v>
      </c>
      <c r="D744" s="2" t="s">
        <v>5197</v>
      </c>
      <c r="E744" s="2">
        <v>380010</v>
      </c>
      <c r="F744" s="3" t="s">
        <v>5196</v>
      </c>
      <c r="G744" s="2" t="s">
        <v>5198</v>
      </c>
      <c r="H744" s="8">
        <v>265.2</v>
      </c>
      <c r="I744" s="2" t="s">
        <v>22</v>
      </c>
      <c r="J744" s="2" t="s">
        <v>26</v>
      </c>
      <c r="K744" s="2">
        <v>10</v>
      </c>
      <c r="L744" s="2" t="s">
        <v>20</v>
      </c>
      <c r="M744" s="2">
        <v>1982</v>
      </c>
      <c r="N744" s="3" t="s">
        <v>1931</v>
      </c>
      <c r="O744" s="3" t="s">
        <v>5199</v>
      </c>
      <c r="P744" s="3" t="s">
        <v>5200</v>
      </c>
      <c r="Q744" s="2">
        <v>2843</v>
      </c>
    </row>
    <row r="745" spans="1:17" ht="143.25" customHeight="1" x14ac:dyDescent="0.25">
      <c r="A745" s="5" t="str">
        <f>_xll.JChemExcel.Functions.JCSYSStructure("7C14D489C1E6849ADD9C7822E3DB53D4")</f>
        <v/>
      </c>
      <c r="B745" s="3" t="s">
        <v>5201</v>
      </c>
      <c r="C745" s="3" t="s">
        <v>5202</v>
      </c>
      <c r="D745" s="2" t="s">
        <v>5204</v>
      </c>
      <c r="E745" s="2" t="s">
        <v>7856</v>
      </c>
      <c r="F745" s="3" t="s">
        <v>5203</v>
      </c>
      <c r="G745" s="2" t="s">
        <v>5205</v>
      </c>
      <c r="H745" s="8">
        <v>460.76193999999998</v>
      </c>
      <c r="I745" s="2" t="s">
        <v>22</v>
      </c>
      <c r="J745" s="2" t="s">
        <v>26</v>
      </c>
      <c r="K745" s="2">
        <v>10</v>
      </c>
      <c r="L745" s="2" t="s">
        <v>20</v>
      </c>
      <c r="M745" s="2">
        <v>1989</v>
      </c>
      <c r="N745" s="3" t="s">
        <v>3377</v>
      </c>
      <c r="O745" s="3" t="s">
        <v>5206</v>
      </c>
      <c r="P745" s="3" t="s">
        <v>5207</v>
      </c>
      <c r="Q745" s="2">
        <v>2843</v>
      </c>
    </row>
    <row r="746" spans="1:17" ht="143.25" customHeight="1" x14ac:dyDescent="0.25">
      <c r="A746" s="5" t="str">
        <f>_xll.JChemExcel.Functions.JCSYSStructure("012F6B01AAC32981E8DACB9DE914EA01")</f>
        <v/>
      </c>
      <c r="B746" s="3" t="s">
        <v>5208</v>
      </c>
      <c r="C746" s="3" t="s">
        <v>5209</v>
      </c>
      <c r="D746" s="2" t="s">
        <v>5211</v>
      </c>
      <c r="E746" s="2" t="s">
        <v>7857</v>
      </c>
      <c r="F746" s="3" t="s">
        <v>5210</v>
      </c>
      <c r="G746" s="2" t="s">
        <v>5212</v>
      </c>
      <c r="H746" s="8">
        <v>236.22342900000001</v>
      </c>
      <c r="I746" s="2" t="s">
        <v>22</v>
      </c>
      <c r="J746" s="2" t="s">
        <v>26</v>
      </c>
      <c r="K746" s="2">
        <v>10</v>
      </c>
      <c r="L746" s="2" t="s">
        <v>20</v>
      </c>
      <c r="M746" s="2">
        <v>1970</v>
      </c>
      <c r="N746" s="3" t="s">
        <v>5213</v>
      </c>
      <c r="O746" s="3" t="s">
        <v>5214</v>
      </c>
      <c r="P746" s="3" t="s">
        <v>5215</v>
      </c>
      <c r="Q746" s="2">
        <v>2843</v>
      </c>
    </row>
    <row r="747" spans="1:17" ht="143.25" customHeight="1" x14ac:dyDescent="0.25">
      <c r="A747" s="5" t="str">
        <f>_xll.JChemExcel.Functions.JCSYSStructure("C757342278248BA72C07D4613289C1D0")</f>
        <v/>
      </c>
      <c r="B747" s="3" t="s">
        <v>5216</v>
      </c>
      <c r="C747" s="3" t="s">
        <v>5217</v>
      </c>
      <c r="D747" s="2" t="s">
        <v>5219</v>
      </c>
      <c r="E747" s="2" t="s">
        <v>7858</v>
      </c>
      <c r="F747" s="3" t="s">
        <v>5218</v>
      </c>
      <c r="G747" s="2" t="s">
        <v>5220</v>
      </c>
      <c r="H747" s="8">
        <v>253.3</v>
      </c>
      <c r="I747" s="2" t="s">
        <v>22</v>
      </c>
      <c r="J747" s="2" t="s">
        <v>26</v>
      </c>
      <c r="K747" s="2">
        <v>10</v>
      </c>
      <c r="L747" s="2" t="s">
        <v>20</v>
      </c>
      <c r="M747" s="2" t="s">
        <v>124</v>
      </c>
      <c r="N747" s="3" t="s">
        <v>1568</v>
      </c>
      <c r="O747" s="3" t="s">
        <v>5221</v>
      </c>
      <c r="P747" s="3" t="s">
        <v>5222</v>
      </c>
      <c r="Q747" s="2">
        <v>2843</v>
      </c>
    </row>
    <row r="748" spans="1:17" ht="143.25" customHeight="1" x14ac:dyDescent="0.25">
      <c r="A748" s="5" t="str">
        <f>_xll.JChemExcel.Functions.JCSYSStructure("5304E368A166A960A432857BC52273F6")</f>
        <v/>
      </c>
      <c r="B748" s="3" t="s">
        <v>5223</v>
      </c>
      <c r="C748" s="3" t="s">
        <v>5224</v>
      </c>
      <c r="D748" s="2" t="s">
        <v>5226</v>
      </c>
      <c r="E748" s="2" t="s">
        <v>7859</v>
      </c>
      <c r="F748" s="3" t="s">
        <v>5225</v>
      </c>
      <c r="G748" s="2" t="s">
        <v>5227</v>
      </c>
      <c r="H748" s="8">
        <v>172.20491999999999</v>
      </c>
      <c r="I748" s="2" t="s">
        <v>22</v>
      </c>
      <c r="J748" s="2" t="s">
        <v>26</v>
      </c>
      <c r="K748" s="2">
        <v>10</v>
      </c>
      <c r="L748" s="2" t="s">
        <v>20</v>
      </c>
      <c r="M748" s="2" t="s">
        <v>124</v>
      </c>
      <c r="N748" s="3" t="s">
        <v>5228</v>
      </c>
      <c r="O748" s="3" t="s">
        <v>5229</v>
      </c>
      <c r="P748" s="3" t="s">
        <v>5230</v>
      </c>
      <c r="Q748" s="2">
        <v>2843</v>
      </c>
    </row>
    <row r="749" spans="1:17" ht="143.25" customHeight="1" x14ac:dyDescent="0.25">
      <c r="A749" s="5" t="str">
        <f>_xll.JChemExcel.Functions.JCSYSStructure("68E04048DF3CC26C5DC64E15B8C943B4")</f>
        <v/>
      </c>
      <c r="B749" s="3" t="s">
        <v>5231</v>
      </c>
      <c r="C749" s="3" t="s">
        <v>5232</v>
      </c>
      <c r="D749" s="2" t="s">
        <v>5233</v>
      </c>
      <c r="E749" s="2" t="s">
        <v>7860</v>
      </c>
      <c r="F749" s="3" t="s">
        <v>7902</v>
      </c>
      <c r="G749" s="2" t="s">
        <v>5234</v>
      </c>
      <c r="H749" s="8">
        <v>532.6</v>
      </c>
      <c r="I749" s="2" t="s">
        <v>22</v>
      </c>
      <c r="J749" s="2" t="s">
        <v>26</v>
      </c>
      <c r="K749" s="2">
        <v>10</v>
      </c>
      <c r="L749" s="2" t="s">
        <v>20</v>
      </c>
      <c r="M749" s="2">
        <v>2006</v>
      </c>
      <c r="N749" s="3" t="s">
        <v>563</v>
      </c>
      <c r="O749" s="3" t="s">
        <v>5235</v>
      </c>
      <c r="P749" s="3" t="s">
        <v>5236</v>
      </c>
      <c r="Q749" s="2">
        <v>2843</v>
      </c>
    </row>
    <row r="750" spans="1:17" ht="143.25" customHeight="1" x14ac:dyDescent="0.25">
      <c r="A750" s="5" t="str">
        <f>_xll.JChemExcel.Functions.JCSYSStructure("0A90F0091C0E03D3DFD8F1F9A8C0EDCF")</f>
        <v/>
      </c>
      <c r="B750" s="3" t="s">
        <v>5237</v>
      </c>
      <c r="C750" s="3" t="s">
        <v>5238</v>
      </c>
      <c r="D750" s="2" t="s">
        <v>5240</v>
      </c>
      <c r="E750" s="2">
        <v>380008</v>
      </c>
      <c r="F750" s="3" t="s">
        <v>5239</v>
      </c>
      <c r="G750" s="2" t="s">
        <v>5241</v>
      </c>
      <c r="H750" s="8">
        <v>804</v>
      </c>
      <c r="I750" s="2" t="s">
        <v>22</v>
      </c>
      <c r="J750" s="2" t="s">
        <v>26</v>
      </c>
      <c r="K750" s="2">
        <v>10</v>
      </c>
      <c r="L750" s="2" t="s">
        <v>20</v>
      </c>
      <c r="M750" s="2">
        <v>1994</v>
      </c>
      <c r="N750" s="3" t="s">
        <v>5242</v>
      </c>
      <c r="O750" s="3" t="s">
        <v>5243</v>
      </c>
      <c r="P750" s="3" t="s">
        <v>5244</v>
      </c>
      <c r="Q750" s="2">
        <v>2843</v>
      </c>
    </row>
    <row r="751" spans="1:17" ht="143.25" customHeight="1" x14ac:dyDescent="0.25">
      <c r="A751" s="5" t="str">
        <f>_xll.JChemExcel.Functions.JCSYSStructure("A90ECDCF8E568862C9F6DF8670AA0396")</f>
        <v/>
      </c>
      <c r="B751" s="3" t="s">
        <v>5245</v>
      </c>
      <c r="C751" s="3" t="s">
        <v>5246</v>
      </c>
      <c r="D751" s="2" t="s">
        <v>5248</v>
      </c>
      <c r="E751" s="2" t="s">
        <v>7861</v>
      </c>
      <c r="F751" s="3" t="s">
        <v>5247</v>
      </c>
      <c r="G751" s="2" t="s">
        <v>5249</v>
      </c>
      <c r="H751" s="8">
        <v>389.4</v>
      </c>
      <c r="I751" s="2" t="s">
        <v>22</v>
      </c>
      <c r="J751" s="2" t="s">
        <v>26</v>
      </c>
      <c r="K751" s="2">
        <v>10</v>
      </c>
      <c r="L751" s="2" t="s">
        <v>20</v>
      </c>
      <c r="M751" s="2">
        <v>2003</v>
      </c>
      <c r="N751" s="3" t="s">
        <v>5250</v>
      </c>
      <c r="O751" s="3" t="s">
        <v>5251</v>
      </c>
      <c r="P751" s="3" t="s">
        <v>5252</v>
      </c>
      <c r="Q751" s="2">
        <v>2843</v>
      </c>
    </row>
    <row r="752" spans="1:17" ht="143.25" customHeight="1" x14ac:dyDescent="0.25">
      <c r="A752" s="5" t="str">
        <f>_xll.JChemExcel.Functions.JCSYSStructure("B9E2ABBA2A295660015B200F146D357E")</f>
        <v/>
      </c>
      <c r="B752" s="3" t="s">
        <v>5253</v>
      </c>
      <c r="C752" s="3" t="s">
        <v>5254</v>
      </c>
      <c r="D752" s="2" t="s">
        <v>5256</v>
      </c>
      <c r="E752" s="2" t="s">
        <v>7862</v>
      </c>
      <c r="F752" s="3" t="s">
        <v>5255</v>
      </c>
      <c r="G752" s="2" t="s">
        <v>5257</v>
      </c>
      <c r="H752" s="8">
        <v>351.46194000000003</v>
      </c>
      <c r="I752" s="2" t="s">
        <v>22</v>
      </c>
      <c r="J752" s="2" t="s">
        <v>26</v>
      </c>
      <c r="K752" s="2">
        <v>10</v>
      </c>
      <c r="L752" s="2" t="s">
        <v>20</v>
      </c>
      <c r="M752" s="2">
        <v>1997</v>
      </c>
      <c r="N752" s="3" t="s">
        <v>5258</v>
      </c>
      <c r="O752" s="3" t="s">
        <v>5259</v>
      </c>
      <c r="P752" s="3" t="s">
        <v>5260</v>
      </c>
      <c r="Q752" s="2">
        <v>2843</v>
      </c>
    </row>
    <row r="753" spans="1:17" ht="143.25" customHeight="1" x14ac:dyDescent="0.25">
      <c r="A753" s="5" t="str">
        <f>_xll.JChemExcel.Functions.JCSYSStructure("EA1B4104624B93A17AF815DFF7FBA198")</f>
        <v/>
      </c>
      <c r="B753" s="3" t="s">
        <v>5261</v>
      </c>
      <c r="C753" s="3" t="s">
        <v>5262</v>
      </c>
      <c r="D753" s="2" t="s">
        <v>5264</v>
      </c>
      <c r="E753" s="2" t="s">
        <v>7863</v>
      </c>
      <c r="F753" s="3" t="s">
        <v>5263</v>
      </c>
      <c r="G753" s="2" t="s">
        <v>5265</v>
      </c>
      <c r="H753" s="8">
        <v>242.22855999999999</v>
      </c>
      <c r="I753" s="2" t="s">
        <v>22</v>
      </c>
      <c r="J753" s="2" t="s">
        <v>26</v>
      </c>
      <c r="K753" s="2">
        <v>10</v>
      </c>
      <c r="L753" s="2" t="s">
        <v>20</v>
      </c>
      <c r="M753" s="2">
        <v>2006</v>
      </c>
      <c r="N753" s="3" t="s">
        <v>207</v>
      </c>
      <c r="O753" s="3" t="s">
        <v>5266</v>
      </c>
      <c r="P753" s="3" t="s">
        <v>5267</v>
      </c>
      <c r="Q753" s="2">
        <v>2843</v>
      </c>
    </row>
    <row r="754" spans="1:17" ht="143.25" customHeight="1" x14ac:dyDescent="0.25">
      <c r="A754" s="5" t="str">
        <f>_xll.JChemExcel.Functions.JCSYSStructure("59B1E2C84395919A2BB8AD0AAE34A433")</f>
        <v/>
      </c>
      <c r="B754" s="3" t="s">
        <v>5268</v>
      </c>
      <c r="C754" s="3" t="s">
        <v>5269</v>
      </c>
      <c r="D754" s="2" t="s">
        <v>5271</v>
      </c>
      <c r="E754" s="2" t="s">
        <v>7864</v>
      </c>
      <c r="F754" s="3" t="s">
        <v>5270</v>
      </c>
      <c r="G754" s="2" t="s">
        <v>5272</v>
      </c>
      <c r="H754" s="8">
        <v>812.00369999999998</v>
      </c>
      <c r="I754" s="2" t="s">
        <v>22</v>
      </c>
      <c r="J754" s="2" t="s">
        <v>26</v>
      </c>
      <c r="K754" s="2">
        <v>10</v>
      </c>
      <c r="L754" s="2" t="s">
        <v>20</v>
      </c>
      <c r="M754" s="2">
        <v>2004</v>
      </c>
      <c r="N754" s="3" t="s">
        <v>23</v>
      </c>
      <c r="O754" s="3" t="s">
        <v>5273</v>
      </c>
      <c r="P754" s="3" t="s">
        <v>5274</v>
      </c>
      <c r="Q754" s="2">
        <v>2843</v>
      </c>
    </row>
    <row r="755" spans="1:17" ht="143.25" customHeight="1" x14ac:dyDescent="0.25">
      <c r="D755" s="2" t="s">
        <v>5275</v>
      </c>
      <c r="F755" s="3" t="s">
        <v>2847</v>
      </c>
      <c r="G755" s="2"/>
      <c r="K755" s="2">
        <v>10</v>
      </c>
      <c r="L755" s="2" t="s">
        <v>20</v>
      </c>
      <c r="Q755" s="2">
        <v>2843</v>
      </c>
    </row>
    <row r="756" spans="1:17" ht="143.25" customHeight="1" x14ac:dyDescent="0.25">
      <c r="A756" s="5" t="str">
        <f>_xll.JChemExcel.Functions.JCSYSStructure("B69C602C62CC21AAF2AB9EEBEC06882B")</f>
        <v/>
      </c>
      <c r="B756" s="3" t="s">
        <v>5276</v>
      </c>
      <c r="C756" s="3" t="s">
        <v>5277</v>
      </c>
      <c r="D756" s="2" t="s">
        <v>5279</v>
      </c>
      <c r="E756" s="2" t="s">
        <v>7865</v>
      </c>
      <c r="F756" s="3" t="s">
        <v>5278</v>
      </c>
      <c r="G756" s="2" t="s">
        <v>5280</v>
      </c>
      <c r="H756" s="8">
        <v>1030.3</v>
      </c>
      <c r="I756" s="2" t="s">
        <v>22</v>
      </c>
      <c r="J756" s="2" t="s">
        <v>26</v>
      </c>
      <c r="K756" s="2">
        <v>10</v>
      </c>
      <c r="L756" s="2" t="s">
        <v>20</v>
      </c>
      <c r="M756" s="2">
        <v>2007</v>
      </c>
      <c r="N756" s="3" t="s">
        <v>5281</v>
      </c>
      <c r="O756" s="3" t="s">
        <v>5282</v>
      </c>
      <c r="P756" s="3" t="s">
        <v>5283</v>
      </c>
      <c r="Q756" s="2">
        <v>2843</v>
      </c>
    </row>
    <row r="757" spans="1:17" ht="143.25" customHeight="1" x14ac:dyDescent="0.25">
      <c r="A757" s="5" t="str">
        <f>_xll.JChemExcel.Functions.JCSYSStructure("B8BDDC4C9B5A853C1EEC169B7A639D01")</f>
        <v/>
      </c>
      <c r="B757" s="3" t="s">
        <v>5284</v>
      </c>
      <c r="C757" s="3" t="s">
        <v>5285</v>
      </c>
      <c r="D757" s="2" t="s">
        <v>5287</v>
      </c>
      <c r="E757" s="2">
        <v>400053</v>
      </c>
      <c r="F757" s="3" t="s">
        <v>5286</v>
      </c>
      <c r="G757" s="2" t="s">
        <v>5288</v>
      </c>
      <c r="H757" s="8">
        <v>656.7</v>
      </c>
      <c r="I757" s="2" t="s">
        <v>22</v>
      </c>
      <c r="J757" s="2" t="s">
        <v>26</v>
      </c>
      <c r="K757" s="2">
        <v>10</v>
      </c>
      <c r="L757" s="2" t="s">
        <v>20</v>
      </c>
      <c r="M757" s="2">
        <v>1992</v>
      </c>
      <c r="N757" s="3" t="s">
        <v>563</v>
      </c>
      <c r="O757" s="3" t="s">
        <v>5289</v>
      </c>
      <c r="P757" s="3" t="s">
        <v>5290</v>
      </c>
      <c r="Q757" s="2">
        <v>2843</v>
      </c>
    </row>
    <row r="758" spans="1:17" ht="143.25" customHeight="1" x14ac:dyDescent="0.25">
      <c r="A758" s="5" t="str">
        <f>_xll.JChemExcel.Functions.JCSYSStructure("709EFC8FCCBC417BBC1E93EF9D67C2EB")</f>
        <v/>
      </c>
      <c r="B758" s="3" t="s">
        <v>5291</v>
      </c>
      <c r="C758" s="3" t="s">
        <v>5292</v>
      </c>
      <c r="D758" s="2" t="s">
        <v>5293</v>
      </c>
      <c r="E758" s="2" t="s">
        <v>7866</v>
      </c>
      <c r="F758" s="3" t="s">
        <v>7903</v>
      </c>
      <c r="G758" s="2" t="s">
        <v>8051</v>
      </c>
      <c r="H758" s="8" t="s">
        <v>8052</v>
      </c>
      <c r="I758" s="2" t="s">
        <v>22</v>
      </c>
      <c r="J758" s="2" t="s">
        <v>26</v>
      </c>
      <c r="K758" s="2">
        <v>10</v>
      </c>
      <c r="L758" s="2" t="s">
        <v>20</v>
      </c>
      <c r="M758" s="2">
        <v>2001</v>
      </c>
      <c r="N758" s="3" t="s">
        <v>207</v>
      </c>
      <c r="O758" s="3" t="s">
        <v>5294</v>
      </c>
      <c r="P758" s="3" t="s">
        <v>5295</v>
      </c>
      <c r="Q758" s="2">
        <v>2843</v>
      </c>
    </row>
    <row r="759" spans="1:17" ht="143.25" customHeight="1" x14ac:dyDescent="0.25">
      <c r="A759" s="5" t="str">
        <f>_xll.JChemExcel.Functions.JCSYSStructure("227B18E718FB38192A3C5D33333601AC")</f>
        <v/>
      </c>
      <c r="B759" s="3" t="s">
        <v>5296</v>
      </c>
      <c r="C759" s="3" t="s">
        <v>5297</v>
      </c>
      <c r="D759" s="2" t="s">
        <v>5299</v>
      </c>
      <c r="E759" s="2" t="s">
        <v>7867</v>
      </c>
      <c r="F759" s="3" t="s">
        <v>5298</v>
      </c>
      <c r="G759" s="2" t="s">
        <v>5300</v>
      </c>
      <c r="H759" s="8">
        <v>548.64679999999998</v>
      </c>
      <c r="I759" s="2" t="s">
        <v>22</v>
      </c>
      <c r="J759" s="2" t="s">
        <v>26</v>
      </c>
      <c r="K759" s="2">
        <v>10</v>
      </c>
      <c r="L759" s="2" t="s">
        <v>20</v>
      </c>
      <c r="M759" s="2">
        <v>1974</v>
      </c>
      <c r="N759" s="3" t="s">
        <v>5301</v>
      </c>
      <c r="O759" s="3" t="s">
        <v>5302</v>
      </c>
      <c r="P759" s="3" t="s">
        <v>5303</v>
      </c>
      <c r="Q759" s="2">
        <v>2843</v>
      </c>
    </row>
    <row r="760" spans="1:17" ht="143.25" customHeight="1" x14ac:dyDescent="0.25">
      <c r="A760" s="5" t="str">
        <f>_xll.JChemExcel.Functions.JCSYSStructure("AB17039FEF2D826D52EF4E824F140C4F")</f>
        <v/>
      </c>
      <c r="B760" s="3" t="s">
        <v>5304</v>
      </c>
      <c r="C760" s="3" t="s">
        <v>5305</v>
      </c>
      <c r="D760" s="2" t="s">
        <v>5307</v>
      </c>
      <c r="E760" s="2" t="s">
        <v>7868</v>
      </c>
      <c r="F760" s="3" t="s">
        <v>5306</v>
      </c>
      <c r="G760" s="2" t="s">
        <v>5308</v>
      </c>
      <c r="H760" s="8">
        <v>532.46204</v>
      </c>
      <c r="I760" s="2" t="s">
        <v>22</v>
      </c>
      <c r="J760" s="2" t="s">
        <v>26</v>
      </c>
      <c r="K760" s="2">
        <v>10</v>
      </c>
      <c r="L760" s="2" t="s">
        <v>20</v>
      </c>
      <c r="M760" s="2">
        <v>1987</v>
      </c>
      <c r="N760" s="3" t="s">
        <v>935</v>
      </c>
      <c r="O760" s="3" t="s">
        <v>5309</v>
      </c>
      <c r="P760" s="3" t="s">
        <v>5310</v>
      </c>
      <c r="Q760" s="2">
        <v>2843</v>
      </c>
    </row>
    <row r="761" spans="1:17" ht="143.25" customHeight="1" x14ac:dyDescent="0.25">
      <c r="A761" s="5"/>
      <c r="D761" s="2" t="s">
        <v>5311</v>
      </c>
      <c r="F761" s="3" t="s">
        <v>2847</v>
      </c>
      <c r="G761" s="2"/>
      <c r="K761" s="2">
        <v>10</v>
      </c>
      <c r="L761" s="2" t="s">
        <v>20</v>
      </c>
      <c r="Q761" s="2">
        <v>2843</v>
      </c>
    </row>
    <row r="762" spans="1:17" ht="143.25" customHeight="1" x14ac:dyDescent="0.25">
      <c r="A762" s="5" t="str">
        <f>_xll.JChemExcel.Functions.JCSYSStructure("E25A6540488C6B0B37C543F394A95A38")</f>
        <v/>
      </c>
      <c r="B762" s="3" t="s">
        <v>5312</v>
      </c>
      <c r="C762" s="3" t="s">
        <v>5313</v>
      </c>
      <c r="D762" s="2" t="s">
        <v>5315</v>
      </c>
      <c r="E762" s="2" t="s">
        <v>7869</v>
      </c>
      <c r="F762" s="3" t="s">
        <v>5314</v>
      </c>
      <c r="G762" s="2" t="s">
        <v>5316</v>
      </c>
      <c r="H762" s="8">
        <v>317.39999999999998</v>
      </c>
      <c r="I762" s="2" t="s">
        <v>22</v>
      </c>
      <c r="J762" s="2" t="s">
        <v>26</v>
      </c>
      <c r="K762" s="2">
        <v>10</v>
      </c>
      <c r="L762" s="2" t="s">
        <v>20</v>
      </c>
      <c r="M762" s="2">
        <v>2008</v>
      </c>
      <c r="N762" s="3" t="s">
        <v>5317</v>
      </c>
      <c r="O762" s="3" t="s">
        <v>5318</v>
      </c>
      <c r="P762" s="3" t="s">
        <v>5319</v>
      </c>
      <c r="Q762" s="2">
        <v>2843</v>
      </c>
    </row>
    <row r="763" spans="1:17" ht="143.25" customHeight="1" x14ac:dyDescent="0.25">
      <c r="A763" s="5" t="str">
        <f>_xll.JChemExcel.Functions.JCSYSStructure("938A1BD605C14BE497CA79A389E861A2")</f>
        <v/>
      </c>
      <c r="B763" s="3" t="s">
        <v>5320</v>
      </c>
      <c r="C763" s="3" t="s">
        <v>5321</v>
      </c>
      <c r="D763" s="2" t="s">
        <v>5323</v>
      </c>
      <c r="E763" s="2" t="s">
        <v>7870</v>
      </c>
      <c r="F763" s="3" t="s">
        <v>5322</v>
      </c>
      <c r="G763" s="2" t="s">
        <v>5324</v>
      </c>
      <c r="H763" s="8">
        <v>236.7</v>
      </c>
      <c r="I763" s="2" t="s">
        <v>22</v>
      </c>
      <c r="J763" s="2" t="s">
        <v>26</v>
      </c>
      <c r="K763" s="2">
        <v>10</v>
      </c>
      <c r="L763" s="2" t="s">
        <v>20</v>
      </c>
      <c r="M763" s="2" t="s">
        <v>124</v>
      </c>
      <c r="N763" s="3" t="s">
        <v>5325</v>
      </c>
      <c r="O763" s="3" t="s">
        <v>5326</v>
      </c>
      <c r="P763" s="3" t="s">
        <v>5327</v>
      </c>
      <c r="Q763" s="2">
        <v>2843</v>
      </c>
    </row>
    <row r="764" spans="1:17" ht="143.25" customHeight="1" x14ac:dyDescent="0.25">
      <c r="A764" s="5" t="str">
        <f>_xll.JChemExcel.Functions.JCSYSStructure("960CBAF2871E9A59DD1D4E7499FD6C97")</f>
        <v/>
      </c>
      <c r="B764" s="3" t="s">
        <v>5328</v>
      </c>
      <c r="C764" s="3" t="s">
        <v>5329</v>
      </c>
      <c r="D764" s="2" t="s">
        <v>5331</v>
      </c>
      <c r="E764" s="2">
        <v>480062</v>
      </c>
      <c r="F764" s="3" t="s">
        <v>5330</v>
      </c>
      <c r="G764" s="2" t="s">
        <v>5332</v>
      </c>
      <c r="H764" s="8">
        <v>180.2</v>
      </c>
      <c r="I764" s="2" t="s">
        <v>22</v>
      </c>
      <c r="J764" s="2" t="s">
        <v>26</v>
      </c>
      <c r="K764" s="2">
        <v>10</v>
      </c>
      <c r="L764" s="2" t="s">
        <v>20</v>
      </c>
      <c r="M764" s="2" t="s">
        <v>124</v>
      </c>
      <c r="N764" s="3" t="s">
        <v>5333</v>
      </c>
      <c r="O764" s="3" t="s">
        <v>5334</v>
      </c>
      <c r="P764" s="3" t="s">
        <v>5335</v>
      </c>
      <c r="Q764" s="2">
        <v>2843</v>
      </c>
    </row>
    <row r="765" spans="1:17" ht="143.25" customHeight="1" x14ac:dyDescent="0.25">
      <c r="A765" s="5" t="str">
        <f>_xll.JChemExcel.Functions.JCSYSStructure("1E537CA4D8D3A4D2F578D19BD8B261B6")</f>
        <v/>
      </c>
      <c r="B765" s="3" t="s">
        <v>5336</v>
      </c>
      <c r="C765" s="3" t="s">
        <v>5337</v>
      </c>
      <c r="D765" s="2" t="s">
        <v>5338</v>
      </c>
      <c r="E765" s="2" t="s">
        <v>7871</v>
      </c>
      <c r="F765" s="3" t="s">
        <v>7904</v>
      </c>
      <c r="G765" s="2" t="s">
        <v>5339</v>
      </c>
      <c r="H765" s="8">
        <v>167.2</v>
      </c>
      <c r="I765" s="2" t="s">
        <v>22</v>
      </c>
      <c r="J765" s="2" t="s">
        <v>26</v>
      </c>
      <c r="K765" s="2">
        <v>10</v>
      </c>
      <c r="L765" s="2" t="s">
        <v>20</v>
      </c>
      <c r="M765" s="2">
        <v>1966</v>
      </c>
      <c r="N765" s="3" t="s">
        <v>563</v>
      </c>
      <c r="O765" s="3" t="s">
        <v>5340</v>
      </c>
      <c r="P765" s="3" t="s">
        <v>5341</v>
      </c>
      <c r="Q765" s="2">
        <v>2843</v>
      </c>
    </row>
    <row r="766" spans="1:17" ht="143.25" customHeight="1" x14ac:dyDescent="0.25">
      <c r="A766" s="5" t="str">
        <f>_xll.JChemExcel.Functions.JCSYSStructure("E46B206A64DA06203C016D5E61891E72")</f>
        <v/>
      </c>
      <c r="B766" s="3" t="s">
        <v>5342</v>
      </c>
      <c r="C766" s="3" t="s">
        <v>5343</v>
      </c>
      <c r="D766" s="2" t="s">
        <v>5344</v>
      </c>
      <c r="E766" s="2" t="s">
        <v>7872</v>
      </c>
      <c r="F766" s="3" t="s">
        <v>7905</v>
      </c>
      <c r="G766" s="2" t="s">
        <v>5345</v>
      </c>
      <c r="H766" s="8">
        <v>189.2</v>
      </c>
      <c r="I766" s="2" t="s">
        <v>22</v>
      </c>
      <c r="J766" s="2" t="s">
        <v>26</v>
      </c>
      <c r="K766" s="2">
        <v>10</v>
      </c>
      <c r="L766" s="2" t="s">
        <v>20</v>
      </c>
      <c r="M766" s="2">
        <v>1959</v>
      </c>
      <c r="N766" s="3" t="s">
        <v>563</v>
      </c>
      <c r="O766" s="3" t="s">
        <v>5346</v>
      </c>
      <c r="P766" s="3" t="s">
        <v>5347</v>
      </c>
      <c r="Q766" s="2">
        <v>2843</v>
      </c>
    </row>
    <row r="767" spans="1:17" ht="143.25" customHeight="1" x14ac:dyDescent="0.25">
      <c r="D767" s="2" t="s">
        <v>5348</v>
      </c>
      <c r="F767" s="3" t="s">
        <v>2847</v>
      </c>
      <c r="G767" s="2"/>
      <c r="K767" s="2">
        <v>10</v>
      </c>
      <c r="L767" s="2" t="s">
        <v>20</v>
      </c>
      <c r="Q767" s="2">
        <v>2843</v>
      </c>
    </row>
    <row r="768" spans="1:17" ht="143.25" customHeight="1" x14ac:dyDescent="0.25">
      <c r="A768" s="5" t="str">
        <f>_xll.JChemExcel.Functions.JCSYSStructure("B79F75426A6F34E001BD289CD3165C32")</f>
        <v/>
      </c>
      <c r="B768" s="3" t="s">
        <v>5349</v>
      </c>
      <c r="C768" s="3" t="s">
        <v>5350</v>
      </c>
      <c r="D768" s="2" t="s">
        <v>5352</v>
      </c>
      <c r="E768" s="2" t="s">
        <v>7873</v>
      </c>
      <c r="F768" s="3" t="s">
        <v>5351</v>
      </c>
      <c r="G768" s="2" t="s">
        <v>5353</v>
      </c>
      <c r="H768" s="8">
        <v>412</v>
      </c>
      <c r="I768" s="2" t="s">
        <v>22</v>
      </c>
      <c r="J768" s="2" t="s">
        <v>26</v>
      </c>
      <c r="K768" s="2">
        <v>10</v>
      </c>
      <c r="L768" s="2" t="s">
        <v>20</v>
      </c>
      <c r="M768" s="2">
        <v>1997</v>
      </c>
      <c r="N768" s="3" t="s">
        <v>5354</v>
      </c>
      <c r="O768" s="3" t="s">
        <v>5355</v>
      </c>
      <c r="P768" s="3" t="s">
        <v>5356</v>
      </c>
      <c r="Q768" s="2">
        <v>2843</v>
      </c>
    </row>
    <row r="769" spans="1:17" ht="143.25" customHeight="1" x14ac:dyDescent="0.25">
      <c r="A769" s="5" t="str">
        <f>_xll.JChemExcel.Functions.JCSYSStructure("94F686B5BC5C72F57ED21BAC00672718")</f>
        <v/>
      </c>
      <c r="B769" s="3" t="s">
        <v>5357</v>
      </c>
      <c r="C769" s="3" t="s">
        <v>5358</v>
      </c>
      <c r="D769" s="2" t="s">
        <v>5360</v>
      </c>
      <c r="E769" s="2" t="s">
        <v>7874</v>
      </c>
      <c r="F769" s="3" t="s">
        <v>5359</v>
      </c>
      <c r="G769" s="2" t="s">
        <v>5361</v>
      </c>
      <c r="H769" s="8">
        <v>585.70000000000005</v>
      </c>
      <c r="I769" s="2" t="s">
        <v>22</v>
      </c>
      <c r="J769" s="2" t="s">
        <v>26</v>
      </c>
      <c r="K769" s="2">
        <v>10</v>
      </c>
      <c r="L769" s="2" t="s">
        <v>20</v>
      </c>
      <c r="M769" s="2">
        <v>2005</v>
      </c>
      <c r="N769" s="3" t="s">
        <v>23</v>
      </c>
      <c r="O769" s="3" t="s">
        <v>5362</v>
      </c>
      <c r="P769" s="3" t="s">
        <v>5363</v>
      </c>
      <c r="Q769" s="2">
        <v>2843</v>
      </c>
    </row>
    <row r="770" spans="1:17" ht="143.25" customHeight="1" x14ac:dyDescent="0.25">
      <c r="A770" s="5" t="str">
        <f>_xll.JChemExcel.Functions.JCSYSStructure("75701D7B5C88AB1C89790620E6DBF248")</f>
        <v/>
      </c>
      <c r="B770" s="3" t="s">
        <v>5364</v>
      </c>
      <c r="C770" s="3" t="s">
        <v>5365</v>
      </c>
      <c r="D770" s="2" t="s">
        <v>5367</v>
      </c>
      <c r="E770" s="2" t="s">
        <v>7875</v>
      </c>
      <c r="F770" s="3" t="s">
        <v>5366</v>
      </c>
      <c r="G770" s="2" t="s">
        <v>5368</v>
      </c>
      <c r="H770" s="8">
        <v>362.6</v>
      </c>
      <c r="I770" s="2" t="s">
        <v>22</v>
      </c>
      <c r="J770" s="2" t="s">
        <v>1013</v>
      </c>
      <c r="K770" s="2">
        <v>10</v>
      </c>
      <c r="L770" s="2" t="s">
        <v>20</v>
      </c>
      <c r="M770" s="2">
        <v>1997</v>
      </c>
      <c r="N770" s="3" t="s">
        <v>5369</v>
      </c>
      <c r="O770" s="3" t="s">
        <v>5370</v>
      </c>
      <c r="P770" s="3" t="s">
        <v>5371</v>
      </c>
      <c r="Q770" s="2">
        <v>2843</v>
      </c>
    </row>
    <row r="771" spans="1:17" ht="143.25" customHeight="1" x14ac:dyDescent="0.25">
      <c r="A771" s="5" t="str">
        <f>_xll.JChemExcel.Functions.JCSYSStructure("7624BBFE9D111BF5985DD380ADA55E21")</f>
        <v/>
      </c>
      <c r="B771" s="3" t="s">
        <v>5372</v>
      </c>
      <c r="C771" s="3" t="s">
        <v>5373</v>
      </c>
      <c r="D771" s="2" t="s">
        <v>5375</v>
      </c>
      <c r="E771" s="2" t="s">
        <v>7876</v>
      </c>
      <c r="F771" s="3" t="s">
        <v>5374</v>
      </c>
      <c r="G771" s="4" t="s">
        <v>7156</v>
      </c>
      <c r="H771" s="8">
        <v>163.19999999999999</v>
      </c>
      <c r="I771" s="2" t="s">
        <v>22</v>
      </c>
      <c r="J771" s="2" t="s">
        <v>1013</v>
      </c>
      <c r="K771" s="2">
        <v>10</v>
      </c>
      <c r="L771" s="2" t="s">
        <v>20</v>
      </c>
      <c r="M771" s="2">
        <v>1988</v>
      </c>
      <c r="N771" s="3" t="s">
        <v>5376</v>
      </c>
      <c r="O771" s="3" t="s">
        <v>5377</v>
      </c>
      <c r="P771" s="3" t="s">
        <v>5378</v>
      </c>
      <c r="Q771" s="2">
        <v>2843</v>
      </c>
    </row>
    <row r="772" spans="1:17" ht="143.25" customHeight="1" x14ac:dyDescent="0.25">
      <c r="A772" s="5" t="str">
        <f>_xll.JChemExcel.Functions.JCSYSStructure("197B052C9B90EEA44D32D9B00018099C")</f>
        <v/>
      </c>
      <c r="B772" s="3" t="s">
        <v>5379</v>
      </c>
      <c r="C772" s="3" t="s">
        <v>5380</v>
      </c>
      <c r="D772" s="2" t="s">
        <v>5382</v>
      </c>
      <c r="E772" s="2" t="s">
        <v>7877</v>
      </c>
      <c r="F772" s="3" t="s">
        <v>5381</v>
      </c>
      <c r="G772" s="2" t="s">
        <v>5383</v>
      </c>
      <c r="H772" s="8">
        <v>495.1</v>
      </c>
      <c r="I772" s="2" t="s">
        <v>22</v>
      </c>
      <c r="J772" s="2" t="s">
        <v>26</v>
      </c>
      <c r="K772" s="2">
        <v>10</v>
      </c>
      <c r="L772" s="2" t="s">
        <v>20</v>
      </c>
      <c r="M772" s="2">
        <v>2000</v>
      </c>
      <c r="N772" s="3" t="s">
        <v>5384</v>
      </c>
      <c r="O772" s="3" t="s">
        <v>5385</v>
      </c>
      <c r="P772" s="3" t="s">
        <v>5386</v>
      </c>
      <c r="Q772" s="2">
        <v>2843</v>
      </c>
    </row>
    <row r="773" spans="1:17" ht="143.25" customHeight="1" x14ac:dyDescent="0.25">
      <c r="A773" s="5" t="str">
        <f>_xll.JChemExcel.Functions.JCSYSStructure("FB38B3ECEA4381688B183129F29F6FD9")</f>
        <v/>
      </c>
      <c r="B773" s="3" t="s">
        <v>5387</v>
      </c>
      <c r="C773" s="3" t="s">
        <v>5388</v>
      </c>
      <c r="D773" s="2" t="s">
        <v>5390</v>
      </c>
      <c r="E773" s="2" t="s">
        <v>7878</v>
      </c>
      <c r="F773" s="3" t="s">
        <v>5389</v>
      </c>
      <c r="G773" s="2" t="s">
        <v>5391</v>
      </c>
      <c r="H773" s="8">
        <v>475.6</v>
      </c>
      <c r="I773" s="2" t="s">
        <v>22</v>
      </c>
      <c r="J773" s="2" t="s">
        <v>26</v>
      </c>
      <c r="K773" s="2">
        <v>10</v>
      </c>
      <c r="L773" s="2" t="s">
        <v>20</v>
      </c>
      <c r="M773" s="2">
        <v>1998</v>
      </c>
      <c r="N773" s="3" t="s">
        <v>5392</v>
      </c>
      <c r="O773" s="3" t="s">
        <v>5393</v>
      </c>
      <c r="P773" s="3" t="s">
        <v>5394</v>
      </c>
      <c r="Q773" s="2">
        <v>2843</v>
      </c>
    </row>
    <row r="774" spans="1:17" ht="143.25" customHeight="1" x14ac:dyDescent="0.25">
      <c r="A774" s="5" t="str">
        <f>_xll.JChemExcel.Functions.JCSYSStructure("4D04AD3EC9653022B0499888C8257C84")</f>
        <v/>
      </c>
      <c r="B774" s="3" t="s">
        <v>5395</v>
      </c>
      <c r="C774" s="3" t="s">
        <v>5396</v>
      </c>
      <c r="D774" s="2" t="s">
        <v>5398</v>
      </c>
      <c r="E774" s="2" t="s">
        <v>7879</v>
      </c>
      <c r="F774" s="3" t="s">
        <v>5397</v>
      </c>
      <c r="G774" s="2" t="s">
        <v>5399</v>
      </c>
      <c r="H774" s="8">
        <v>448.9</v>
      </c>
      <c r="I774" s="2" t="s">
        <v>22</v>
      </c>
      <c r="J774" s="2" t="s">
        <v>26</v>
      </c>
      <c r="K774" s="2">
        <v>10</v>
      </c>
      <c r="L774" s="2" t="s">
        <v>20</v>
      </c>
      <c r="M774" s="2">
        <v>2009</v>
      </c>
      <c r="N774" s="3" t="s">
        <v>5400</v>
      </c>
      <c r="O774" s="3" t="s">
        <v>5401</v>
      </c>
      <c r="P774" s="3" t="s">
        <v>5402</v>
      </c>
      <c r="Q774" s="2">
        <v>2843</v>
      </c>
    </row>
    <row r="775" spans="1:17" ht="143.25" customHeight="1" x14ac:dyDescent="0.25">
      <c r="A775" s="5" t="str">
        <f>_xll.JChemExcel.Functions.JCSYSStructure("7992C623F637EA0D5971EBFF5AC9EA82")</f>
        <v/>
      </c>
      <c r="B775" s="3" t="s">
        <v>5403</v>
      </c>
      <c r="C775" s="3" t="s">
        <v>5404</v>
      </c>
      <c r="D775" s="2" t="s">
        <v>5406</v>
      </c>
      <c r="E775" s="2" t="s">
        <v>7880</v>
      </c>
      <c r="F775" s="3" t="s">
        <v>5405</v>
      </c>
      <c r="G775" s="2" t="s">
        <v>5407</v>
      </c>
      <c r="H775" s="8">
        <v>339.4</v>
      </c>
      <c r="I775" s="2" t="s">
        <v>22</v>
      </c>
      <c r="J775" s="2" t="s">
        <v>26</v>
      </c>
      <c r="K775" s="2">
        <v>10</v>
      </c>
      <c r="L775" s="2" t="s">
        <v>20</v>
      </c>
      <c r="M775" s="2">
        <v>1996</v>
      </c>
      <c r="N775" s="3" t="s">
        <v>5408</v>
      </c>
      <c r="O775" s="3" t="s">
        <v>5409</v>
      </c>
      <c r="P775" s="3" t="s">
        <v>5410</v>
      </c>
      <c r="Q775" s="2">
        <v>2843</v>
      </c>
    </row>
    <row r="776" spans="1:17" ht="143.25" customHeight="1" x14ac:dyDescent="0.25">
      <c r="A776" s="5" t="str">
        <f>_xll.JChemExcel.Functions.JCSYSStructure("5FA54E33EEF013EDDE4ACFC40F28EB9F")</f>
        <v/>
      </c>
      <c r="B776" s="3" t="s">
        <v>5411</v>
      </c>
      <c r="C776" s="3" t="s">
        <v>5412</v>
      </c>
      <c r="D776" s="2" t="s">
        <v>5414</v>
      </c>
      <c r="E776" s="2" t="s">
        <v>7881</v>
      </c>
      <c r="F776" s="3" t="s">
        <v>5413</v>
      </c>
      <c r="G776" s="2" t="s">
        <v>5415</v>
      </c>
      <c r="H776" s="8">
        <v>348.4</v>
      </c>
      <c r="I776" s="2" t="s">
        <v>22</v>
      </c>
      <c r="J776" s="2" t="s">
        <v>26</v>
      </c>
      <c r="K776" s="2">
        <v>10</v>
      </c>
      <c r="L776" s="2" t="s">
        <v>20</v>
      </c>
      <c r="M776" s="2">
        <v>1993</v>
      </c>
      <c r="N776" s="3" t="s">
        <v>5416</v>
      </c>
      <c r="O776" s="3" t="s">
        <v>5417</v>
      </c>
      <c r="P776" s="3" t="s">
        <v>5418</v>
      </c>
      <c r="Q776" s="2">
        <v>2843</v>
      </c>
    </row>
    <row r="777" spans="1:17" ht="143.25" customHeight="1" x14ac:dyDescent="0.25">
      <c r="A777" s="5" t="str">
        <f>_xll.JChemExcel.Functions.JCSYSStructure("E99DA0E5B249A731E4044AF9CEF59FC5")</f>
        <v/>
      </c>
      <c r="B777" s="3" t="s">
        <v>5419</v>
      </c>
      <c r="C777" s="3" t="s">
        <v>5420</v>
      </c>
      <c r="D777" s="2" t="s">
        <v>5422</v>
      </c>
      <c r="E777" s="2">
        <v>270493</v>
      </c>
      <c r="F777" s="3" t="s">
        <v>5421</v>
      </c>
      <c r="G777" s="2" t="s">
        <v>5423</v>
      </c>
      <c r="H777" s="8">
        <v>430.5</v>
      </c>
      <c r="I777" s="2" t="s">
        <v>22</v>
      </c>
      <c r="J777" s="2" t="s">
        <v>26</v>
      </c>
      <c r="K777" s="2">
        <v>10</v>
      </c>
      <c r="L777" s="2" t="s">
        <v>20</v>
      </c>
      <c r="M777" s="2">
        <v>1996</v>
      </c>
      <c r="N777" s="3" t="s">
        <v>183</v>
      </c>
      <c r="O777" s="3" t="s">
        <v>1336</v>
      </c>
      <c r="P777" s="3" t="s">
        <v>5424</v>
      </c>
      <c r="Q777" s="2">
        <v>2843</v>
      </c>
    </row>
    <row r="778" spans="1:17" ht="143.25" customHeight="1" x14ac:dyDescent="0.25">
      <c r="A778" s="5" t="str">
        <f>_xll.JChemExcel.Functions.JCSYSStructure("B756F240D1809826027427891EA76CD1")</f>
        <v/>
      </c>
      <c r="B778" s="3" t="s">
        <v>5425</v>
      </c>
      <c r="C778" s="3" t="s">
        <v>5426</v>
      </c>
      <c r="D778" s="2" t="s">
        <v>5428</v>
      </c>
      <c r="E778" s="2" t="s">
        <v>7882</v>
      </c>
      <c r="F778" s="3" t="s">
        <v>5427</v>
      </c>
      <c r="G778" s="2" t="s">
        <v>5429</v>
      </c>
      <c r="H778" s="8">
        <v>500.6</v>
      </c>
      <c r="I778" s="2" t="s">
        <v>22</v>
      </c>
      <c r="J778" s="2" t="s">
        <v>26</v>
      </c>
      <c r="K778" s="2">
        <v>10</v>
      </c>
      <c r="L778" s="2" t="s">
        <v>20</v>
      </c>
      <c r="M778" s="2">
        <v>2001</v>
      </c>
      <c r="N778" s="3" t="s">
        <v>5430</v>
      </c>
      <c r="O778" s="3" t="s">
        <v>5431</v>
      </c>
      <c r="P778" s="3" t="s">
        <v>5432</v>
      </c>
      <c r="Q778" s="2">
        <v>2843</v>
      </c>
    </row>
    <row r="779" spans="1:17" ht="143.25" customHeight="1" x14ac:dyDescent="0.25">
      <c r="A779" s="5" t="str">
        <f>_xll.JChemExcel.Functions.JCSYSStructure("FAEC2C6964ABFD8D9FCC331187826F99")</f>
        <v/>
      </c>
      <c r="B779" s="3" t="s">
        <v>5433</v>
      </c>
      <c r="C779" s="3" t="s">
        <v>5434</v>
      </c>
      <c r="D779" s="2" t="s">
        <v>5436</v>
      </c>
      <c r="E779" s="2" t="s">
        <v>7883</v>
      </c>
      <c r="F779" s="3" t="s">
        <v>5435</v>
      </c>
      <c r="G779" s="2" t="s">
        <v>5437</v>
      </c>
      <c r="H779" s="8">
        <v>408.3</v>
      </c>
      <c r="I779" s="2" t="s">
        <v>22</v>
      </c>
      <c r="J779" s="2" t="s">
        <v>26</v>
      </c>
      <c r="K779" s="2">
        <v>10</v>
      </c>
      <c r="L779" s="2" t="s">
        <v>20</v>
      </c>
      <c r="M779" s="2">
        <v>1981</v>
      </c>
      <c r="N779" s="3" t="s">
        <v>269</v>
      </c>
      <c r="O779" s="3" t="s">
        <v>5438</v>
      </c>
      <c r="P779" s="3" t="s">
        <v>5439</v>
      </c>
      <c r="Q779" s="2">
        <v>2843</v>
      </c>
    </row>
    <row r="780" spans="1:17" ht="143.25" customHeight="1" x14ac:dyDescent="0.25">
      <c r="A780" s="5" t="str">
        <f>_xll.JChemExcel.Functions.JCSYSStructure("A8B0C866C30387550FE72F4F5D541ED5")</f>
        <v/>
      </c>
      <c r="B780" s="3" t="s">
        <v>5440</v>
      </c>
      <c r="C780" s="3" t="s">
        <v>5441</v>
      </c>
      <c r="D780" s="2" t="s">
        <v>5443</v>
      </c>
      <c r="E780" s="2" t="s">
        <v>7906</v>
      </c>
      <c r="F780" s="3" t="s">
        <v>5442</v>
      </c>
      <c r="G780" s="2" t="s">
        <v>5444</v>
      </c>
      <c r="H780" s="8">
        <v>300.39999999999998</v>
      </c>
      <c r="I780" s="2" t="s">
        <v>22</v>
      </c>
      <c r="J780" s="2" t="s">
        <v>26</v>
      </c>
      <c r="K780" s="2">
        <v>10</v>
      </c>
      <c r="L780" s="2" t="s">
        <v>20</v>
      </c>
      <c r="M780" s="2">
        <v>1971</v>
      </c>
      <c r="N780" s="3" t="s">
        <v>5445</v>
      </c>
      <c r="O780" s="3" t="s">
        <v>5446</v>
      </c>
      <c r="P780" s="3" t="s">
        <v>5004</v>
      </c>
      <c r="Q780" s="2">
        <v>2843</v>
      </c>
    </row>
    <row r="781" spans="1:17" ht="143.25" customHeight="1" x14ac:dyDescent="0.25">
      <c r="A781" s="5" t="str">
        <f>_xll.JChemExcel.Functions.JCSYSStructure("2266B7BCDC8814DC0C3F3835EBBA145B")</f>
        <v/>
      </c>
      <c r="B781" s="3" t="s">
        <v>5447</v>
      </c>
      <c r="C781" s="3" t="s">
        <v>5448</v>
      </c>
      <c r="D781" s="2" t="s">
        <v>5450</v>
      </c>
      <c r="E781" s="2" t="s">
        <v>7884</v>
      </c>
      <c r="F781" s="3" t="s">
        <v>5449</v>
      </c>
      <c r="G781" s="2" t="s">
        <v>5451</v>
      </c>
      <c r="H781" s="8">
        <v>434.5</v>
      </c>
      <c r="I781" s="2" t="s">
        <v>22</v>
      </c>
      <c r="J781" s="2" t="s">
        <v>26</v>
      </c>
      <c r="K781" s="2">
        <v>10</v>
      </c>
      <c r="L781" s="2" t="s">
        <v>20</v>
      </c>
      <c r="M781" s="2">
        <v>1957</v>
      </c>
      <c r="N781" s="3" t="s">
        <v>5452</v>
      </c>
      <c r="O781" s="3" t="s">
        <v>5453</v>
      </c>
      <c r="P781" s="3" t="s">
        <v>5454</v>
      </c>
      <c r="Q781" s="2">
        <v>2843</v>
      </c>
    </row>
    <row r="782" spans="1:17" ht="143.25" customHeight="1" x14ac:dyDescent="0.25">
      <c r="A782" s="5" t="str">
        <f>_xll.JChemExcel.Functions.JCSYSStructure("428512F0B5534306A4B1B5F51C91F28D")</f>
        <v/>
      </c>
      <c r="B782" s="3" t="s">
        <v>5455</v>
      </c>
      <c r="C782" s="3" t="s">
        <v>5456</v>
      </c>
      <c r="D782" s="2" t="s">
        <v>5458</v>
      </c>
      <c r="E782" s="2">
        <v>440043</v>
      </c>
      <c r="F782" s="3" t="s">
        <v>5457</v>
      </c>
      <c r="G782" s="2" t="s">
        <v>5459</v>
      </c>
      <c r="H782" s="8">
        <v>253.3</v>
      </c>
      <c r="I782" s="2" t="s">
        <v>22</v>
      </c>
      <c r="J782" s="2" t="s">
        <v>26</v>
      </c>
      <c r="K782" s="2">
        <v>10</v>
      </c>
      <c r="L782" s="2" t="s">
        <v>20</v>
      </c>
      <c r="M782" s="2">
        <v>1964</v>
      </c>
      <c r="N782" s="3" t="s">
        <v>5460</v>
      </c>
      <c r="O782" s="3" t="s">
        <v>5461</v>
      </c>
      <c r="P782" s="3" t="s">
        <v>5462</v>
      </c>
      <c r="Q782" s="2">
        <v>2843</v>
      </c>
    </row>
    <row r="783" spans="1:17" ht="143.25" customHeight="1" x14ac:dyDescent="0.25">
      <c r="D783" s="2" t="s">
        <v>5463</v>
      </c>
      <c r="F783" s="3" t="s">
        <v>2847</v>
      </c>
      <c r="G783" s="2"/>
      <c r="K783" s="2">
        <v>10</v>
      </c>
      <c r="L783" s="2" t="s">
        <v>20</v>
      </c>
      <c r="Q783" s="2">
        <v>2843</v>
      </c>
    </row>
    <row r="784" spans="1:17" ht="143.25" customHeight="1" x14ac:dyDescent="0.25">
      <c r="A784" s="5" t="str">
        <f>_xll.JChemExcel.Functions.JCSYSStructure("D7E4DAD433DD8E9046558650F5675322")</f>
        <v/>
      </c>
      <c r="B784" s="3" t="s">
        <v>5464</v>
      </c>
      <c r="C784" s="3" t="s">
        <v>5465</v>
      </c>
      <c r="D784" s="2" t="s">
        <v>5467</v>
      </c>
      <c r="E784" s="2" t="s">
        <v>7885</v>
      </c>
      <c r="F784" s="3" t="s">
        <v>5466</v>
      </c>
      <c r="G784" s="2" t="s">
        <v>5468</v>
      </c>
      <c r="H784" s="8">
        <v>219.2</v>
      </c>
      <c r="I784" s="2" t="s">
        <v>22</v>
      </c>
      <c r="J784" s="2" t="s">
        <v>26</v>
      </c>
      <c r="K784" s="2">
        <v>10</v>
      </c>
      <c r="L784" s="2" t="s">
        <v>20</v>
      </c>
      <c r="M784" s="2">
        <v>1985</v>
      </c>
      <c r="N784" s="3" t="s">
        <v>5469</v>
      </c>
      <c r="O784" s="3" t="s">
        <v>5470</v>
      </c>
      <c r="P784" s="3" t="s">
        <v>5471</v>
      </c>
      <c r="Q784" s="2">
        <v>2843</v>
      </c>
    </row>
    <row r="785" spans="1:17" ht="143.25" customHeight="1" x14ac:dyDescent="0.25">
      <c r="A785" s="5" t="str">
        <f>_xll.JChemExcel.Functions.JCSYSStructure("9F58E8C50A322FF333080FDB9E63EF85")</f>
        <v/>
      </c>
      <c r="B785" s="3" t="s">
        <v>5472</v>
      </c>
      <c r="C785" s="3" t="s">
        <v>5473</v>
      </c>
      <c r="D785" s="2" t="s">
        <v>5475</v>
      </c>
      <c r="E785" s="2" t="s">
        <v>7886</v>
      </c>
      <c r="F785" s="3" t="s">
        <v>5474</v>
      </c>
      <c r="G785" s="2" t="s">
        <v>5476</v>
      </c>
      <c r="H785" s="8">
        <v>337.9</v>
      </c>
      <c r="I785" s="2" t="s">
        <v>22</v>
      </c>
      <c r="J785" s="2" t="s">
        <v>26</v>
      </c>
      <c r="K785" s="2">
        <v>11</v>
      </c>
      <c r="L785" s="2" t="s">
        <v>20</v>
      </c>
      <c r="M785" s="2">
        <v>1949</v>
      </c>
      <c r="N785" s="3" t="s">
        <v>5477</v>
      </c>
      <c r="O785" s="3" t="s">
        <v>5478</v>
      </c>
      <c r="P785" s="3" t="s">
        <v>5479</v>
      </c>
      <c r="Q785" s="2">
        <v>2843</v>
      </c>
    </row>
    <row r="786" spans="1:17" ht="143.25" customHeight="1" x14ac:dyDescent="0.25">
      <c r="A786" s="5" t="str">
        <f>_xll.JChemExcel.Functions.JCSYSStructure("B2C549F0C5B062FC3E397F409F99EBC7")</f>
        <v/>
      </c>
      <c r="B786" s="3" t="s">
        <v>5480</v>
      </c>
      <c r="C786" s="3" t="s">
        <v>5481</v>
      </c>
      <c r="D786" s="2" t="s">
        <v>5483</v>
      </c>
      <c r="E786" s="2" t="s">
        <v>7887</v>
      </c>
      <c r="F786" s="3" t="s">
        <v>5482</v>
      </c>
      <c r="G786" s="2" t="s">
        <v>5484</v>
      </c>
      <c r="H786" s="8">
        <v>143.1</v>
      </c>
      <c r="I786" s="2" t="s">
        <v>22</v>
      </c>
      <c r="J786" s="2" t="s">
        <v>26</v>
      </c>
      <c r="K786" s="2">
        <v>11</v>
      </c>
      <c r="L786" s="2" t="s">
        <v>20</v>
      </c>
      <c r="M786" s="2">
        <v>1946</v>
      </c>
      <c r="N786" s="3" t="s">
        <v>32</v>
      </c>
      <c r="O786" s="3" t="s">
        <v>5485</v>
      </c>
      <c r="P786" s="3" t="s">
        <v>5486</v>
      </c>
      <c r="Q786" s="2">
        <v>2843</v>
      </c>
    </row>
    <row r="787" spans="1:17" ht="143.25" customHeight="1" x14ac:dyDescent="0.25">
      <c r="A787" s="5" t="str">
        <f>_xll.JChemExcel.Functions.JCSYSStructure("6A0A2AE92C41DFBF1229AEA310F4E3C5")</f>
        <v/>
      </c>
      <c r="B787" s="3" t="s">
        <v>5487</v>
      </c>
      <c r="C787" s="3" t="s">
        <v>5488</v>
      </c>
      <c r="D787" s="2" t="s">
        <v>5490</v>
      </c>
      <c r="E787" s="2" t="s">
        <v>7888</v>
      </c>
      <c r="F787" s="3" t="s">
        <v>5489</v>
      </c>
      <c r="G787" s="2" t="s">
        <v>5491</v>
      </c>
      <c r="H787" s="8">
        <v>424.9</v>
      </c>
      <c r="I787" s="2" t="s">
        <v>22</v>
      </c>
      <c r="J787" s="2" t="s">
        <v>26</v>
      </c>
      <c r="K787" s="2">
        <v>11</v>
      </c>
      <c r="L787" s="2" t="s">
        <v>20</v>
      </c>
      <c r="M787" s="2">
        <v>1974</v>
      </c>
      <c r="N787" s="3" t="s">
        <v>5492</v>
      </c>
      <c r="O787" s="3" t="s">
        <v>5493</v>
      </c>
      <c r="P787" s="3" t="s">
        <v>5494</v>
      </c>
      <c r="Q787" s="2">
        <v>2843</v>
      </c>
    </row>
    <row r="788" spans="1:17" ht="143.25" customHeight="1" x14ac:dyDescent="0.25">
      <c r="A788" s="5" t="str">
        <f>_xll.JChemExcel.Functions.JCSYSStructure("87CD98608B07A202C1335C55C9FE1B92")</f>
        <v/>
      </c>
      <c r="B788" s="3" t="s">
        <v>5495</v>
      </c>
      <c r="C788" s="3" t="s">
        <v>5496</v>
      </c>
      <c r="D788" s="2" t="s">
        <v>5498</v>
      </c>
      <c r="E788" s="2" t="s">
        <v>7889</v>
      </c>
      <c r="F788" s="3" t="s">
        <v>5497</v>
      </c>
      <c r="G788" s="2" t="s">
        <v>5499</v>
      </c>
      <c r="H788" s="8">
        <v>410.5</v>
      </c>
      <c r="I788" s="2" t="s">
        <v>22</v>
      </c>
      <c r="J788" s="2" t="s">
        <v>26</v>
      </c>
      <c r="K788" s="2">
        <v>11</v>
      </c>
      <c r="L788" s="2" t="s">
        <v>20</v>
      </c>
      <c r="M788" s="2">
        <v>1979</v>
      </c>
      <c r="N788" s="3" t="s">
        <v>269</v>
      </c>
      <c r="O788" s="3" t="s">
        <v>5500</v>
      </c>
      <c r="P788" s="3" t="s">
        <v>5501</v>
      </c>
      <c r="Q788" s="2">
        <v>2843</v>
      </c>
    </row>
    <row r="789" spans="1:17" ht="143.25" customHeight="1" x14ac:dyDescent="0.25">
      <c r="A789" s="5" t="str">
        <f>_xll.JChemExcel.Functions.JCSYSStructure("DD1DA7C36A6B7C9A10A72D8224842DAA")</f>
        <v/>
      </c>
      <c r="B789" s="3" t="s">
        <v>5502</v>
      </c>
      <c r="C789" s="3" t="s">
        <v>5503</v>
      </c>
      <c r="D789" s="2" t="s">
        <v>5505</v>
      </c>
      <c r="E789" s="2" t="s">
        <v>7890</v>
      </c>
      <c r="F789" s="3" t="s">
        <v>5504</v>
      </c>
      <c r="G789" s="2" t="s">
        <v>5506</v>
      </c>
      <c r="H789" s="8">
        <v>428</v>
      </c>
      <c r="I789" s="2" t="s">
        <v>22</v>
      </c>
      <c r="J789" s="2" t="s">
        <v>26</v>
      </c>
      <c r="K789" s="2">
        <v>11</v>
      </c>
      <c r="L789" s="2" t="s">
        <v>20</v>
      </c>
      <c r="M789" s="2">
        <v>2004</v>
      </c>
      <c r="N789" s="3" t="s">
        <v>5507</v>
      </c>
      <c r="O789" s="3" t="s">
        <v>5508</v>
      </c>
      <c r="P789" s="3" t="s">
        <v>5509</v>
      </c>
      <c r="Q789" s="2">
        <v>2843</v>
      </c>
    </row>
    <row r="790" spans="1:17" ht="143.25" customHeight="1" x14ac:dyDescent="0.25">
      <c r="A790" s="5" t="str">
        <f>_xll.JChemExcel.Functions.JCSYSStructure("0C7F4D07ED261111186D6E9C92874112")</f>
        <v/>
      </c>
      <c r="B790" s="3" t="s">
        <v>5510</v>
      </c>
      <c r="C790" s="3" t="s">
        <v>5511</v>
      </c>
      <c r="D790" s="2" t="s">
        <v>5513</v>
      </c>
      <c r="E790" s="2" t="s">
        <v>7891</v>
      </c>
      <c r="F790" s="3" t="s">
        <v>5512</v>
      </c>
      <c r="G790" s="2" t="s">
        <v>5514</v>
      </c>
      <c r="H790" s="8">
        <v>392.6</v>
      </c>
      <c r="I790" s="2" t="s">
        <v>22</v>
      </c>
      <c r="J790" s="2" t="s">
        <v>26</v>
      </c>
      <c r="K790" s="2">
        <v>11</v>
      </c>
      <c r="L790" s="2" t="s">
        <v>20</v>
      </c>
      <c r="M790" s="2">
        <v>1987</v>
      </c>
      <c r="N790" s="3" t="s">
        <v>5515</v>
      </c>
      <c r="O790" s="3" t="s">
        <v>5516</v>
      </c>
      <c r="P790" s="3" t="s">
        <v>5517</v>
      </c>
      <c r="Q790" s="2">
        <v>2843</v>
      </c>
    </row>
    <row r="791" spans="1:17" ht="143.25" customHeight="1" x14ac:dyDescent="0.25">
      <c r="A791" s="5" t="str">
        <f>_xll.JChemExcel.Functions.JCSYSStructure("DD4DFF6592CEF1B4EEADA4F84FFB51FD")</f>
        <v/>
      </c>
      <c r="B791" s="3" t="s">
        <v>5518</v>
      </c>
      <c r="C791" s="3" t="s">
        <v>5519</v>
      </c>
      <c r="D791" s="2" t="s">
        <v>5521</v>
      </c>
      <c r="E791" s="2" t="s">
        <v>7892</v>
      </c>
      <c r="F791" s="3" t="s">
        <v>5520</v>
      </c>
      <c r="G791" s="2" t="s">
        <v>5522</v>
      </c>
      <c r="H791" s="8">
        <v>390.8</v>
      </c>
      <c r="I791" s="2" t="s">
        <v>22</v>
      </c>
      <c r="J791" s="2" t="s">
        <v>26</v>
      </c>
      <c r="K791" s="2">
        <v>11</v>
      </c>
      <c r="L791" s="2" t="s">
        <v>20</v>
      </c>
      <c r="M791" s="2">
        <v>2001</v>
      </c>
      <c r="N791" s="3" t="s">
        <v>5523</v>
      </c>
      <c r="O791" s="3" t="s">
        <v>5524</v>
      </c>
      <c r="P791" s="3" t="s">
        <v>5525</v>
      </c>
      <c r="Q791" s="2">
        <v>2843</v>
      </c>
    </row>
    <row r="792" spans="1:17" ht="143.25" customHeight="1" x14ac:dyDescent="0.25">
      <c r="D792" s="2" t="s">
        <v>5526</v>
      </c>
      <c r="F792" s="3" t="s">
        <v>2847</v>
      </c>
      <c r="G792" s="2"/>
      <c r="K792" s="2">
        <v>11</v>
      </c>
      <c r="L792" s="2" t="s">
        <v>20</v>
      </c>
    </row>
    <row r="793" spans="1:17" ht="143.25" customHeight="1" x14ac:dyDescent="0.25">
      <c r="A793" s="5" t="str">
        <f>_xll.JChemExcel.Functions.JCSYSStructure("14F0810D15032CD1D2FA14F1E77B1237")</f>
        <v/>
      </c>
      <c r="B793" s="3" t="s">
        <v>5527</v>
      </c>
      <c r="C793" s="3" t="s">
        <v>5528</v>
      </c>
      <c r="D793" s="2" t="s">
        <v>5530</v>
      </c>
      <c r="E793" s="2" t="s">
        <v>7893</v>
      </c>
      <c r="F793" s="3" t="s">
        <v>5529</v>
      </c>
      <c r="G793" s="2" t="s">
        <v>5531</v>
      </c>
      <c r="H793" s="8">
        <v>435.5</v>
      </c>
      <c r="I793" s="2" t="s">
        <v>22</v>
      </c>
      <c r="J793" s="2" t="s">
        <v>26</v>
      </c>
      <c r="K793" s="2">
        <v>11</v>
      </c>
      <c r="L793" s="2" t="s">
        <v>20</v>
      </c>
      <c r="M793" s="2">
        <v>1996</v>
      </c>
      <c r="N793" s="3" t="s">
        <v>5532</v>
      </c>
      <c r="O793" s="3" t="s">
        <v>5533</v>
      </c>
      <c r="P793" s="3" t="s">
        <v>5534</v>
      </c>
      <c r="Q793" s="2">
        <v>2843</v>
      </c>
    </row>
    <row r="794" spans="1:17" ht="143.25" customHeight="1" x14ac:dyDescent="0.25">
      <c r="A794" s="5" t="str">
        <f>_xll.JChemExcel.Functions.JCSYSStructure("CFBC5E41F5406CFB834D72EAF14B9F48")</f>
        <v/>
      </c>
      <c r="B794" s="3" t="s">
        <v>5535</v>
      </c>
      <c r="C794" s="3" t="s">
        <v>5536</v>
      </c>
      <c r="D794" s="2" t="s">
        <v>5537</v>
      </c>
      <c r="E794" s="2">
        <v>380279</v>
      </c>
      <c r="F794" s="3" t="s">
        <v>7907</v>
      </c>
      <c r="G794" s="2" t="s">
        <v>5538</v>
      </c>
      <c r="H794" s="8">
        <v>1485.7</v>
      </c>
      <c r="I794" s="2" t="s">
        <v>22</v>
      </c>
      <c r="J794" s="2" t="s">
        <v>26</v>
      </c>
      <c r="K794" s="2">
        <v>11</v>
      </c>
      <c r="L794" s="2" t="s">
        <v>20</v>
      </c>
      <c r="M794" s="2">
        <v>1958</v>
      </c>
      <c r="N794" s="3" t="s">
        <v>23</v>
      </c>
      <c r="O794" s="3" t="s">
        <v>5539</v>
      </c>
      <c r="P794" s="3" t="s">
        <v>5540</v>
      </c>
      <c r="Q794" s="2">
        <v>2843</v>
      </c>
    </row>
    <row r="795" spans="1:17" ht="143.25" customHeight="1" x14ac:dyDescent="0.25">
      <c r="A795" s="5" t="str">
        <f>_xll.JChemExcel.Functions.JCSYSStructure("B3F77B6E535A9AF62CA76829F5BA89D8")</f>
        <v/>
      </c>
      <c r="B795" s="3" t="s">
        <v>5541</v>
      </c>
      <c r="C795" s="3" t="s">
        <v>5542</v>
      </c>
      <c r="D795" s="2" t="s">
        <v>5544</v>
      </c>
      <c r="E795" s="2" t="s">
        <v>7894</v>
      </c>
      <c r="F795" s="3" t="s">
        <v>5543</v>
      </c>
      <c r="G795" s="2" t="s">
        <v>5545</v>
      </c>
      <c r="H795" s="8">
        <v>361.4</v>
      </c>
      <c r="I795" s="2" t="s">
        <v>22</v>
      </c>
      <c r="J795" s="2" t="s">
        <v>26</v>
      </c>
      <c r="K795" s="2">
        <v>11</v>
      </c>
      <c r="L795" s="2" t="s">
        <v>20</v>
      </c>
      <c r="M795" s="2">
        <v>2006</v>
      </c>
      <c r="N795" s="3" t="s">
        <v>5546</v>
      </c>
      <c r="O795" s="3" t="s">
        <v>5547</v>
      </c>
      <c r="P795" s="3" t="s">
        <v>5548</v>
      </c>
      <c r="Q795" s="2">
        <v>2843</v>
      </c>
    </row>
    <row r="796" spans="1:17" ht="143.25" customHeight="1" x14ac:dyDescent="0.25">
      <c r="A796" s="5" t="str">
        <f>_xll.JChemExcel.Functions.JCSYSStructure("65F80EF09255A7209B5898E3976D10D3")</f>
        <v/>
      </c>
      <c r="B796" s="3" t="s">
        <v>5549</v>
      </c>
      <c r="C796" s="3" t="s">
        <v>5550</v>
      </c>
      <c r="D796" s="2" t="s">
        <v>5552</v>
      </c>
      <c r="E796" s="2" t="s">
        <v>7895</v>
      </c>
      <c r="F796" s="3" t="s">
        <v>5551</v>
      </c>
      <c r="G796" s="2" t="s">
        <v>5553</v>
      </c>
      <c r="H796" s="8">
        <v>129.19999999999999</v>
      </c>
      <c r="I796" s="2" t="s">
        <v>22</v>
      </c>
      <c r="J796" s="2" t="s">
        <v>1013</v>
      </c>
      <c r="K796" s="2">
        <v>11</v>
      </c>
      <c r="L796" s="2" t="s">
        <v>20</v>
      </c>
      <c r="M796" s="2">
        <v>2009</v>
      </c>
      <c r="N796" s="3" t="s">
        <v>3980</v>
      </c>
      <c r="O796" s="3" t="s">
        <v>5554</v>
      </c>
      <c r="P796" s="3" t="s">
        <v>5555</v>
      </c>
      <c r="Q796" s="2">
        <v>2843</v>
      </c>
    </row>
    <row r="797" spans="1:17" ht="143.25" customHeight="1" x14ac:dyDescent="0.25">
      <c r="A797" s="5" t="str">
        <f>_xll.JChemExcel.Functions.JCSYSStructure("D35C8183CF97E240DEFC29717FA8823F")</f>
        <v/>
      </c>
      <c r="B797" s="3" t="s">
        <v>5556</v>
      </c>
      <c r="C797" s="3" t="s">
        <v>5557</v>
      </c>
      <c r="D797" s="2" t="s">
        <v>5559</v>
      </c>
      <c r="E797" s="2" t="s">
        <v>7896</v>
      </c>
      <c r="F797" s="3" t="s">
        <v>5558</v>
      </c>
      <c r="G797" s="2" t="s">
        <v>5560</v>
      </c>
      <c r="H797" s="8">
        <v>349.3</v>
      </c>
      <c r="I797" s="2" t="s">
        <v>22</v>
      </c>
      <c r="J797" s="2" t="s">
        <v>1013</v>
      </c>
      <c r="K797" s="2">
        <v>11</v>
      </c>
      <c r="L797" s="2" t="s">
        <v>20</v>
      </c>
      <c r="M797" s="2">
        <v>2002</v>
      </c>
      <c r="N797" s="3" t="s">
        <v>5561</v>
      </c>
      <c r="O797" s="3" t="s">
        <v>5562</v>
      </c>
      <c r="P797" s="3" t="s">
        <v>5563</v>
      </c>
      <c r="Q797" s="2">
        <v>2843</v>
      </c>
    </row>
    <row r="798" spans="1:17" ht="143.25" customHeight="1" x14ac:dyDescent="0.25">
      <c r="A798" s="11" t="str">
        <f>_xll.JChemExcel.Functions.JCSYSStructure("4624435C3D1D88B32497C5E01B9AAF39")</f>
        <v/>
      </c>
      <c r="B798" s="7" t="s">
        <v>7164</v>
      </c>
      <c r="C798" s="3" t="s">
        <v>7167</v>
      </c>
      <c r="D798" s="2" t="s">
        <v>5564</v>
      </c>
      <c r="E798" s="2" t="s">
        <v>7897</v>
      </c>
      <c r="F798" s="3" t="s">
        <v>7168</v>
      </c>
      <c r="G798" s="2" t="s">
        <v>7169</v>
      </c>
      <c r="H798" s="8">
        <v>308.3</v>
      </c>
      <c r="I798" s="2" t="s">
        <v>22</v>
      </c>
      <c r="J798" s="2" t="s">
        <v>26</v>
      </c>
      <c r="K798" s="2">
        <v>11</v>
      </c>
      <c r="L798" s="2" t="s">
        <v>20</v>
      </c>
      <c r="M798" s="2">
        <v>1954</v>
      </c>
      <c r="N798" s="3" t="s">
        <v>2658</v>
      </c>
      <c r="O798" s="3" t="s">
        <v>5565</v>
      </c>
      <c r="P798" s="3" t="s">
        <v>5566</v>
      </c>
      <c r="Q798" s="2">
        <v>2843</v>
      </c>
    </row>
    <row r="799" spans="1:17" ht="143.25" customHeight="1" x14ac:dyDescent="0.25">
      <c r="A799" s="5" t="str">
        <f>_xll.JChemExcel.Functions.JCSYSStructure("F8988C0F93381564B79B3DB64ADB8513")</f>
        <v/>
      </c>
      <c r="B799" s="3" t="s">
        <v>5567</v>
      </c>
      <c r="C799" s="3" t="s">
        <v>5568</v>
      </c>
      <c r="D799" s="2" t="s">
        <v>5570</v>
      </c>
      <c r="E799" s="2" t="s">
        <v>7898</v>
      </c>
      <c r="F799" s="3" t="s">
        <v>5569</v>
      </c>
      <c r="G799" s="2" t="s">
        <v>5571</v>
      </c>
      <c r="H799" s="8">
        <v>305.3</v>
      </c>
      <c r="I799" s="2" t="s">
        <v>22</v>
      </c>
      <c r="J799" s="2" t="s">
        <v>26</v>
      </c>
      <c r="K799" s="2">
        <v>11</v>
      </c>
      <c r="L799" s="2" t="s">
        <v>20</v>
      </c>
      <c r="M799" s="2">
        <v>1999</v>
      </c>
      <c r="N799" s="3" t="s">
        <v>5572</v>
      </c>
      <c r="O799" s="3" t="s">
        <v>5573</v>
      </c>
      <c r="P799" s="3" t="s">
        <v>5574</v>
      </c>
      <c r="Q799" s="2">
        <v>2843</v>
      </c>
    </row>
    <row r="800" spans="1:17" ht="143.25" customHeight="1" x14ac:dyDescent="0.25">
      <c r="A800" s="5" t="str">
        <f>_xll.JChemExcel.Functions.JCSYSStructure("BE94722461AACA59D262BA188829DED0")</f>
        <v/>
      </c>
      <c r="B800" s="3" t="s">
        <v>5575</v>
      </c>
      <c r="C800" s="3" t="s">
        <v>5576</v>
      </c>
      <c r="D800" s="2" t="s">
        <v>5578</v>
      </c>
      <c r="E800" s="2" t="s">
        <v>7899</v>
      </c>
      <c r="F800" s="3" t="s">
        <v>5577</v>
      </c>
      <c r="G800" s="2" t="s">
        <v>5579</v>
      </c>
      <c r="H800" s="8">
        <v>332.3</v>
      </c>
      <c r="I800" s="2" t="s">
        <v>22</v>
      </c>
      <c r="J800" s="2" t="s">
        <v>26</v>
      </c>
      <c r="K800" s="2">
        <v>11</v>
      </c>
      <c r="L800" s="2" t="s">
        <v>20</v>
      </c>
      <c r="M800" s="2">
        <v>1999</v>
      </c>
      <c r="N800" s="3" t="s">
        <v>5580</v>
      </c>
      <c r="O800" s="3" t="s">
        <v>5581</v>
      </c>
      <c r="P800" s="3" t="s">
        <v>5582</v>
      </c>
      <c r="Q800" s="2">
        <v>2843</v>
      </c>
    </row>
    <row r="801" spans="1:17" ht="143.25" customHeight="1" x14ac:dyDescent="0.25">
      <c r="A801" s="11" t="str">
        <f>_xll.JChemExcel.Functions.JCSYSStructure("9FD4C2A6ACA16AE6903F0C9373885E39")</f>
        <v/>
      </c>
      <c r="B801" s="7" t="s">
        <v>7170</v>
      </c>
      <c r="C801" s="7" t="s">
        <v>7173</v>
      </c>
      <c r="D801" s="2" t="s">
        <v>5583</v>
      </c>
      <c r="E801" s="2" t="s">
        <v>7900</v>
      </c>
      <c r="F801" s="3" t="s">
        <v>7908</v>
      </c>
      <c r="G801" s="2" t="s">
        <v>7174</v>
      </c>
      <c r="H801" s="8">
        <v>467.4</v>
      </c>
      <c r="I801" s="2" t="s">
        <v>22</v>
      </c>
      <c r="J801" s="2" t="s">
        <v>26</v>
      </c>
      <c r="K801" s="2">
        <v>11</v>
      </c>
      <c r="L801" s="2" t="s">
        <v>20</v>
      </c>
      <c r="M801" s="2">
        <v>2001</v>
      </c>
      <c r="N801" s="3" t="s">
        <v>5584</v>
      </c>
      <c r="O801" s="3" t="s">
        <v>5585</v>
      </c>
      <c r="P801" s="3" t="s">
        <v>5586</v>
      </c>
      <c r="Q801" s="2">
        <v>2843</v>
      </c>
    </row>
  </sheetData>
  <sheetProtection formatCells="0" formatColumns="0" formatRows="0" insertColumns="0" insertRows="0" insertHyperlinks="0" deleteColumns="0" deleteRows="0" sort="0" autoFilter="0" pivotTables="0"/>
  <autoFilter ref="A1:R801">
    <sortState ref="A2:V801">
      <sortCondition ref="K1:K801"/>
    </sortState>
  </autoFilter>
  <pageMargins left="0.7" right="0.7" top="0.75" bottom="0.75" header="0.3" footer="0.3"/>
  <pageSetup orientation="portrait" r:id="rId1"/>
  <ignoredErrors>
    <ignoredError sqref="A475:A476 A14:A21 A45:A57 A4:A5 A44 A62:A65 A310:A354 A2:A3 A7:A13 A223:A301 A302:A309 A355:A385 A398:A400 A402:A438 A440:A442 A444:A451 A452:A461 A463:A474 A478:A479 A481:A499 A500:A509 A511:A512 A514:A516 A518:A531 A533:A542 A544:A562 A564:A593 A613:A624 A626:A645 A647:A649 A651:A655 A657:A680 A682:A702 A704:A708 A710:A712 A714:A754 A756:A760 A768:A782 A784:A791 A793:A797 A762:A766 A799:A800 A22:A27 A28:A43 A58:A61 A66:A69 A71:A164 A211:A222 A386:A396 A594:A611 A166:A210"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__JChemStructureSheet</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Webb</dc:creator>
  <cp:lastModifiedBy>Nayana Kamath</cp:lastModifiedBy>
  <dcterms:created xsi:type="dcterms:W3CDTF">2017-05-03T15:52:04Z</dcterms:created>
  <dcterms:modified xsi:type="dcterms:W3CDTF">2019-12-19T15:23:11Z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ChemExcelWorkbookGUID">
    <vt:lpwstr>a3fe3658-176a-4fad-b009-8b4afb228a25</vt:lpwstr>
  </property>
  <property fmtid="{D5CDD505-2E9C-101B-9397-08002B2CF9AE}" pid="3" name="JChemExcelVersion">
    <vt:lpwstr>5.4.1</vt:lpwstr>
  </property>
</Properties>
</file>