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cio\Downloads\"/>
    </mc:Choice>
  </mc:AlternateContent>
  <xr:revisionPtr revIDLastSave="0" documentId="13_ncr:1_{68A26083-720D-475A-BF6F-6AD06282BF6C}" xr6:coauthVersionLast="47" xr6:coauthVersionMax="47" xr10:uidLastSave="{00000000-0000-0000-0000-000000000000}"/>
  <bookViews>
    <workbookView xWindow="-108" yWindow="-108" windowWidth="23256" windowHeight="12576" tabRatio="755" firstSheet="1" activeTab="11" xr2:uid="{2D33FCD5-8BD4-43BA-9E48-BEAA42D95744}"/>
  </bookViews>
  <sheets>
    <sheet name="DESCUENTOS" sheetId="15" r:id="rId1"/>
    <sheet name="RESUMEN ANTICIPOS" sheetId="14" r:id="rId2"/>
    <sheet name="MEXLAM" sheetId="9" r:id="rId3"/>
    <sheet name="DAC" sheetId="7" r:id="rId4"/>
    <sheet name="IBM" sheetId="6" r:id="rId5"/>
    <sheet name="PREPA (BLOCK)" sheetId="4" r:id="rId6"/>
    <sheet name="COMARCA" sheetId="13" r:id="rId7"/>
    <sheet name="VALMAR" sheetId="2" r:id="rId8"/>
    <sheet name="COMBAG" sheetId="3" r:id="rId9"/>
    <sheet name="PREPA (V Y B)" sheetId="5" r:id="rId10"/>
    <sheet name="GRAFFITI" sheetId="8" r:id="rId11"/>
    <sheet name="MUESTRA" sheetId="10" r:id="rId12"/>
  </sheets>
  <externalReferences>
    <externalReference r:id="rId13"/>
    <externalReference r:id="rId14"/>
    <externalReference r:id="rId15"/>
    <externalReference r:id="rId16"/>
  </externalReferences>
  <definedNames>
    <definedName name="_xlnm._FilterDatabase" localSheetId="3" hidden="1">DAC!$A$5:$AD$18</definedName>
    <definedName name="_xlnm._FilterDatabase" localSheetId="0" hidden="1">DESCUENTOS!$A$5:$AA$18</definedName>
    <definedName name="_xlnm._FilterDatabase" localSheetId="10" hidden="1">GRAFFITI!$A$5:$AJ$18</definedName>
    <definedName name="_xlnm._FilterDatabase" localSheetId="2" hidden="1">MEXLAM!$A$5:$AV$18</definedName>
    <definedName name="_xlnm._FilterDatabase" localSheetId="1" hidden="1">'RESUMEN ANTICIPOS'!$B$4:$R$198</definedName>
    <definedName name="area" localSheetId="0">#REF!</definedName>
    <definedName name="area">#REF!</definedName>
    <definedName name="_xlnm.Print_Area" localSheetId="1">'RESUMEN ANTICIPOS'!$A$1:$R$18</definedName>
    <definedName name="cargo" localSheetId="0">#REF!</definedName>
    <definedName name="cargo">#REF!</definedName>
    <definedName name="cargocontacto" localSheetId="0">#REF!</definedName>
    <definedName name="cargocontacto">#REF!</definedName>
    <definedName name="cargovendedor" localSheetId="0">#REF!</definedName>
    <definedName name="cargovendedor">#REF!</definedName>
    <definedName name="ciudad" localSheetId="0">#REF!</definedName>
    <definedName name="ciudad">#REF!</definedName>
    <definedName name="ciudadcliente" localSheetId="0">#REF!</definedName>
    <definedName name="ciudadcliente">#REF!</definedName>
    <definedName name="ciudaddelaobra" localSheetId="0">#REF!</definedName>
    <definedName name="ciudaddelaobra">#REF!</definedName>
    <definedName name="cmic" localSheetId="0">#REF!</definedName>
    <definedName name="cmic">#REF!</definedName>
    <definedName name="codigodelaobra" localSheetId="0">#REF!</definedName>
    <definedName name="codigodelaobra">#REF!</definedName>
    <definedName name="codigopostalcliente" localSheetId="0">#REF!</definedName>
    <definedName name="codigopostalcliente">#REF!</definedName>
    <definedName name="codigopostaldelaobra" localSheetId="0">#REF!</definedName>
    <definedName name="codigopostaldelaobra">#REF!</definedName>
    <definedName name="codigovendedor" localSheetId="0">#REF!</definedName>
    <definedName name="codigovendedor">#REF!</definedName>
    <definedName name="colonia" localSheetId="0">#REF!</definedName>
    <definedName name="colonia">#REF!</definedName>
    <definedName name="coloniacliente" localSheetId="0">#REF!</definedName>
    <definedName name="coloniacliente">#REF!</definedName>
    <definedName name="coloniadelaobra" localSheetId="0">#REF!</definedName>
    <definedName name="coloniadelaobra">#REF!</definedName>
    <definedName name="contactocliente" localSheetId="0">#REF!</definedName>
    <definedName name="contactocliente">#REF!</definedName>
    <definedName name="decimalesredondeo" localSheetId="0">#REF!</definedName>
    <definedName name="decimalesredondeo">#REF!</definedName>
    <definedName name="departamento" localSheetId="0">#REF!</definedName>
    <definedName name="departamento">#REF!</definedName>
    <definedName name="direccioncliente" localSheetId="0">#REF!</definedName>
    <definedName name="direccioncliente">#REF!</definedName>
    <definedName name="direcciondeconcurso" localSheetId="0">#REF!</definedName>
    <definedName name="direcciondeconcurso">#REF!</definedName>
    <definedName name="direcciondelaobra" localSheetId="0">#REF!</definedName>
    <definedName name="direcciondelaobra">#REF!</definedName>
    <definedName name="domicilio" localSheetId="0">#REF!</definedName>
    <definedName name="domicilio">#REF!</definedName>
    <definedName name="email" localSheetId="0">#REF!</definedName>
    <definedName name="email">#REF!</definedName>
    <definedName name="emailcliente" localSheetId="0">#REF!</definedName>
    <definedName name="emailcliente">#REF!</definedName>
    <definedName name="emaildelaobra" localSheetId="0">#REF!</definedName>
    <definedName name="emaildelaobra">#REF!</definedName>
    <definedName name="estado" localSheetId="0">#REF!</definedName>
    <definedName name="estado">#REF!</definedName>
    <definedName name="estadodelaobra" localSheetId="0">#REF!</definedName>
    <definedName name="estadodelaobra">#REF!</definedName>
    <definedName name="fechaconcursocadena">'[1]N_Campos Generales'!$D$31</definedName>
    <definedName name="fechaconvocatoria" localSheetId="0">#REF!</definedName>
    <definedName name="fechaconvocatoria">#REF!</definedName>
    <definedName name="fechadeconcurso" localSheetId="0">#REF!</definedName>
    <definedName name="fechadeconcurso">#REF!</definedName>
    <definedName name="fechainicio" localSheetId="0">#REF!</definedName>
    <definedName name="fechainicio">#REF!</definedName>
    <definedName name="fechainiciotexto">'[1]N_Campos Generales'!$D$46</definedName>
    <definedName name="fechaterminacion" localSheetId="0">#REF!</definedName>
    <definedName name="fechaterminacion">#REF!</definedName>
    <definedName name="fechaterminaciontexto">'[1]N_Campos Generales'!$D$47</definedName>
    <definedName name="imss" localSheetId="0">#REF!</definedName>
    <definedName name="imss">#REF!</definedName>
    <definedName name="infonavit" localSheetId="0">#REF!</definedName>
    <definedName name="infonavit">#REF!</definedName>
    <definedName name="mailcontacto" localSheetId="0">#REF!</definedName>
    <definedName name="mailcontacto">#REF!</definedName>
    <definedName name="mailvendedor" localSheetId="0">#REF!</definedName>
    <definedName name="mailvendedor">#REF!</definedName>
    <definedName name="nombrecliente" localSheetId="0">#REF!</definedName>
    <definedName name="nombrecliente">#REF!</definedName>
    <definedName name="nombredelaobra" localSheetId="0">#REF!</definedName>
    <definedName name="nombredelaobra">#REF!</definedName>
    <definedName name="nombrevendedor" localSheetId="0">#REF!</definedName>
    <definedName name="nombrevendedor">#REF!</definedName>
    <definedName name="numconvocatoria" localSheetId="0">#REF!</definedName>
    <definedName name="numconvocatoria">#REF!</definedName>
    <definedName name="numerodeconcurso" localSheetId="0">#REF!</definedName>
    <definedName name="numerodeconcurso">#REF!</definedName>
    <definedName name="plazocalculado" localSheetId="0">#REF!</definedName>
    <definedName name="plazocalculado">#REF!</definedName>
    <definedName name="plazoreal" localSheetId="0">#REF!</definedName>
    <definedName name="plazoreal">#REF!</definedName>
    <definedName name="porcentajeivapresupuesto" localSheetId="0">#REF!</definedName>
    <definedName name="porcentajeivapresupuesto">#REF!</definedName>
    <definedName name="primeramoneda" localSheetId="0">#REF!</definedName>
    <definedName name="primeramoneda">#REF!</definedName>
    <definedName name="razonsocial" localSheetId="0">#REF!</definedName>
    <definedName name="razonsocial">#REF!</definedName>
    <definedName name="remateprimeramoneda" localSheetId="0">#REF!</definedName>
    <definedName name="remateprimeramoneda">#REF!</definedName>
    <definedName name="rematesegundamoneda" localSheetId="0">#REF!</definedName>
    <definedName name="rematesegundamoneda">#REF!</definedName>
    <definedName name="responsable" localSheetId="0">#REF!</definedName>
    <definedName name="responsable">#REF!</definedName>
    <definedName name="responsabledelaobra" localSheetId="0">#REF!</definedName>
    <definedName name="responsabledelaobra">#REF!</definedName>
    <definedName name="rfc" localSheetId="0">#REF!</definedName>
    <definedName name="rfc">#REF!</definedName>
    <definedName name="segundamoneda" localSheetId="0">#REF!</definedName>
    <definedName name="segundamoneda">#REF!</definedName>
    <definedName name="telefono" localSheetId="0">#REF!</definedName>
    <definedName name="telefono">#REF!</definedName>
    <definedName name="telefonocliente" localSheetId="0">#REF!</definedName>
    <definedName name="telefonocliente">#REF!</definedName>
    <definedName name="telefonocontacto" localSheetId="0">#REF!</definedName>
    <definedName name="telefonocontacto">#REF!</definedName>
    <definedName name="telefonodelaobra" localSheetId="0">#REF!</definedName>
    <definedName name="telefonodelaobra">#REF!</definedName>
    <definedName name="telefonovendedor" localSheetId="0">#REF!</definedName>
    <definedName name="telefonovendedor">#REF!</definedName>
    <definedName name="tipodelicitacion" localSheetId="0">#REF!</definedName>
    <definedName name="tipodelicitacion">#REF!</definedName>
    <definedName name="totalpresupuestoprimeramoneda" localSheetId="0">#REF!</definedName>
    <definedName name="totalpresupuestoprimeramoneda">#REF!</definedName>
    <definedName name="totalpresupuestosegundamoneda" localSheetId="0">#REF!</definedName>
    <definedName name="totalpresupuestosegundamoned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P17" i="14" s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7" i="2"/>
  <c r="D16" i="2"/>
  <c r="D15" i="2"/>
  <c r="D14" i="2"/>
  <c r="D13" i="2"/>
  <c r="D12" i="2"/>
  <c r="D11" i="2"/>
  <c r="D10" i="2"/>
  <c r="D9" i="2"/>
  <c r="D8" i="2"/>
  <c r="D7" i="2"/>
  <c r="D6" i="2"/>
  <c r="D18" i="2"/>
  <c r="M17" i="9"/>
  <c r="Q17" i="9"/>
  <c r="M18" i="15"/>
  <c r="M17" i="15"/>
  <c r="M16" i="15"/>
  <c r="M15" i="15"/>
  <c r="M14" i="15"/>
  <c r="M13" i="15"/>
  <c r="M12" i="15"/>
  <c r="M11" i="15"/>
  <c r="M10" i="15"/>
  <c r="M8" i="15"/>
  <c r="M7" i="15"/>
  <c r="M6" i="15"/>
  <c r="M9" i="15"/>
  <c r="L5" i="15"/>
  <c r="O15" i="15" l="1"/>
  <c r="O11" i="15"/>
  <c r="O7" i="15"/>
  <c r="Z20" i="15"/>
  <c r="V20" i="15"/>
  <c r="N18" i="15"/>
  <c r="O18" i="15"/>
  <c r="N17" i="15"/>
  <c r="O17" i="15"/>
  <c r="U5" i="15"/>
  <c r="N16" i="15"/>
  <c r="O16" i="15"/>
  <c r="N15" i="15"/>
  <c r="N14" i="15"/>
  <c r="O14" i="15"/>
  <c r="N13" i="15"/>
  <c r="O13" i="15"/>
  <c r="N12" i="15"/>
  <c r="O12" i="15"/>
  <c r="N11" i="15"/>
  <c r="N10" i="15"/>
  <c r="O10" i="15"/>
  <c r="N9" i="15"/>
  <c r="O9" i="15"/>
  <c r="N8" i="15"/>
  <c r="O8" i="15"/>
  <c r="N7" i="15"/>
  <c r="N6" i="15"/>
  <c r="O6" i="15"/>
  <c r="Y5" i="15"/>
  <c r="X5" i="15"/>
  <c r="T5" i="15"/>
  <c r="K5" i="15"/>
  <c r="R9" i="15" l="1"/>
  <c r="R11" i="15"/>
  <c r="R15" i="15"/>
  <c r="M5" i="15"/>
  <c r="N5" i="15"/>
  <c r="R8" i="15"/>
  <c r="Q8" i="15"/>
  <c r="Q14" i="15"/>
  <c r="R14" i="15"/>
  <c r="R6" i="15"/>
  <c r="O5" i="15"/>
  <c r="Q6" i="15"/>
  <c r="R7" i="15"/>
  <c r="Q7" i="15"/>
  <c r="Q10" i="15"/>
  <c r="R10" i="15"/>
  <c r="R16" i="15"/>
  <c r="Q16" i="15"/>
  <c r="R17" i="15"/>
  <c r="Q17" i="15"/>
  <c r="Q9" i="15"/>
  <c r="Q13" i="15"/>
  <c r="R13" i="15"/>
  <c r="R12" i="15"/>
  <c r="Q12" i="15"/>
  <c r="Q18" i="15"/>
  <c r="R18" i="15"/>
  <c r="Q11" i="15"/>
  <c r="Q15" i="15"/>
  <c r="F17" i="14"/>
  <c r="F18" i="15" s="1"/>
  <c r="F16" i="14"/>
  <c r="F17" i="15" s="1"/>
  <c r="F15" i="14"/>
  <c r="F16" i="15" s="1"/>
  <c r="F14" i="14"/>
  <c r="F15" i="15" s="1"/>
  <c r="F13" i="14"/>
  <c r="F14" i="15" s="1"/>
  <c r="F12" i="14"/>
  <c r="F13" i="15" s="1"/>
  <c r="F11" i="14"/>
  <c r="F12" i="15" s="1"/>
  <c r="F10" i="14"/>
  <c r="F11" i="15" s="1"/>
  <c r="F9" i="14"/>
  <c r="F10" i="15" s="1"/>
  <c r="F8" i="14"/>
  <c r="F9" i="15" s="1"/>
  <c r="F7" i="14"/>
  <c r="F8" i="15" s="1"/>
  <c r="F6" i="14"/>
  <c r="F7" i="15" s="1"/>
  <c r="F5" i="14"/>
  <c r="Q4" i="14"/>
  <c r="O4" i="14"/>
  <c r="M4" i="14"/>
  <c r="K4" i="14"/>
  <c r="I4" i="14"/>
  <c r="F6" i="15" l="1"/>
  <c r="F4" i="14"/>
  <c r="Q5" i="15"/>
  <c r="R5" i="15"/>
  <c r="J6" i="14"/>
  <c r="J7" i="14"/>
  <c r="J8" i="14"/>
  <c r="J9" i="14"/>
  <c r="J10" i="14"/>
  <c r="J11" i="14"/>
  <c r="J12" i="14"/>
  <c r="J13" i="14"/>
  <c r="J14" i="14"/>
  <c r="J15" i="14"/>
  <c r="J16" i="14"/>
  <c r="L6" i="14"/>
  <c r="L7" i="14"/>
  <c r="L8" i="14"/>
  <c r="L9" i="14"/>
  <c r="L10" i="14"/>
  <c r="L11" i="14"/>
  <c r="L12" i="14"/>
  <c r="L13" i="14"/>
  <c r="L14" i="14"/>
  <c r="L15" i="14"/>
  <c r="L16" i="14"/>
  <c r="P6" i="14"/>
  <c r="P7" i="14"/>
  <c r="P8" i="14"/>
  <c r="P9" i="14"/>
  <c r="P10" i="14"/>
  <c r="P11" i="14"/>
  <c r="P12" i="14"/>
  <c r="P13" i="14"/>
  <c r="P14" i="14"/>
  <c r="P15" i="14"/>
  <c r="P16" i="14"/>
  <c r="R6" i="14"/>
  <c r="R7" i="14"/>
  <c r="R8" i="14"/>
  <c r="R9" i="14"/>
  <c r="R10" i="14"/>
  <c r="R11" i="14"/>
  <c r="R12" i="14"/>
  <c r="R13" i="14"/>
  <c r="R14" i="14"/>
  <c r="R15" i="14"/>
  <c r="R16" i="14"/>
  <c r="R5" i="14"/>
  <c r="P5" i="14"/>
  <c r="L5" i="14"/>
  <c r="J5" i="14"/>
  <c r="O4" i="8"/>
  <c r="Q4" i="8" s="1"/>
  <c r="S4" i="8" s="1"/>
  <c r="U4" i="8" s="1"/>
  <c r="W4" i="8" s="1"/>
  <c r="Y4" i="8" s="1"/>
  <c r="AA4" i="8" s="1"/>
  <c r="AC4" i="8" s="1"/>
  <c r="AE4" i="8" s="1"/>
  <c r="AG4" i="8" s="1"/>
  <c r="AI4" i="8" s="1"/>
  <c r="AK4" i="8" s="1"/>
  <c r="AM4" i="8" s="1"/>
  <c r="AO4" i="8" s="1"/>
  <c r="AQ4" i="8" s="1"/>
  <c r="O3" i="8"/>
  <c r="Q3" i="8"/>
  <c r="S3" i="8"/>
  <c r="U3" i="8"/>
  <c r="W3" i="8" s="1"/>
  <c r="Y3" i="8" s="1"/>
  <c r="AA3" i="8" s="1"/>
  <c r="AC3" i="8" s="1"/>
  <c r="AE3" i="8" s="1"/>
  <c r="AG3" i="8" s="1"/>
  <c r="AI3" i="8" s="1"/>
  <c r="AK3" i="8" s="1"/>
  <c r="AM3" i="8" s="1"/>
  <c r="AO3" i="8" s="1"/>
  <c r="AQ3" i="8" s="1"/>
  <c r="M4" i="8"/>
  <c r="M3" i="8"/>
  <c r="AK4" i="13"/>
  <c r="AK3" i="13"/>
  <c r="AK4" i="6"/>
  <c r="AK3" i="6"/>
  <c r="AE4" i="7"/>
  <c r="AE3" i="7"/>
  <c r="AM4" i="9"/>
  <c r="AM3" i="9"/>
  <c r="Q198" i="14"/>
  <c r="O198" i="14"/>
  <c r="M198" i="14"/>
  <c r="K198" i="14"/>
  <c r="I198" i="14"/>
  <c r="E198" i="14"/>
  <c r="D198" i="14"/>
  <c r="C198" i="14"/>
  <c r="B198" i="14"/>
  <c r="Q197" i="14"/>
  <c r="O197" i="14"/>
  <c r="M197" i="14"/>
  <c r="K197" i="14"/>
  <c r="I197" i="14"/>
  <c r="D197" i="14"/>
  <c r="C197" i="14"/>
  <c r="B197" i="14"/>
  <c r="Q196" i="14"/>
  <c r="O196" i="14"/>
  <c r="M196" i="14"/>
  <c r="K196" i="14"/>
  <c r="I196" i="14"/>
  <c r="E196" i="14"/>
  <c r="D196" i="14"/>
  <c r="C196" i="14"/>
  <c r="B196" i="14"/>
  <c r="Q195" i="14"/>
  <c r="O195" i="14"/>
  <c r="M195" i="14"/>
  <c r="K195" i="14"/>
  <c r="I195" i="14"/>
  <c r="E195" i="14"/>
  <c r="D195" i="14"/>
  <c r="C195" i="14"/>
  <c r="B195" i="14"/>
  <c r="Q194" i="14"/>
  <c r="O194" i="14"/>
  <c r="M194" i="14"/>
  <c r="K194" i="14"/>
  <c r="I194" i="14"/>
  <c r="E194" i="14"/>
  <c r="D194" i="14"/>
  <c r="C194" i="14"/>
  <c r="B194" i="14"/>
  <c r="Q193" i="14"/>
  <c r="O193" i="14"/>
  <c r="M193" i="14"/>
  <c r="K193" i="14"/>
  <c r="I193" i="14"/>
  <c r="E193" i="14"/>
  <c r="D193" i="14"/>
  <c r="C193" i="14"/>
  <c r="B193" i="14"/>
  <c r="Q192" i="14"/>
  <c r="O192" i="14"/>
  <c r="M192" i="14"/>
  <c r="K192" i="14"/>
  <c r="I192" i="14"/>
  <c r="E192" i="14"/>
  <c r="D192" i="14"/>
  <c r="C192" i="14"/>
  <c r="B192" i="14"/>
  <c r="Q191" i="14"/>
  <c r="O191" i="14"/>
  <c r="M191" i="14"/>
  <c r="K191" i="14"/>
  <c r="I191" i="14"/>
  <c r="E191" i="14"/>
  <c r="D191" i="14"/>
  <c r="C191" i="14"/>
  <c r="B191" i="14"/>
  <c r="Q190" i="14"/>
  <c r="O190" i="14"/>
  <c r="M190" i="14"/>
  <c r="K190" i="14"/>
  <c r="I190" i="14"/>
  <c r="E190" i="14"/>
  <c r="D190" i="14"/>
  <c r="C190" i="14"/>
  <c r="B190" i="14"/>
  <c r="Q189" i="14"/>
  <c r="O189" i="14"/>
  <c r="M189" i="14"/>
  <c r="K189" i="14"/>
  <c r="I189" i="14"/>
  <c r="E189" i="14"/>
  <c r="D189" i="14"/>
  <c r="C189" i="14"/>
  <c r="B189" i="14"/>
  <c r="Q188" i="14"/>
  <c r="O188" i="14"/>
  <c r="M188" i="14"/>
  <c r="K188" i="14"/>
  <c r="I188" i="14"/>
  <c r="E188" i="14"/>
  <c r="D188" i="14"/>
  <c r="C188" i="14"/>
  <c r="B188" i="14"/>
  <c r="Q187" i="14"/>
  <c r="O187" i="14"/>
  <c r="M187" i="14"/>
  <c r="K187" i="14"/>
  <c r="I187" i="14"/>
  <c r="E187" i="14"/>
  <c r="D187" i="14"/>
  <c r="C187" i="14"/>
  <c r="B187" i="14"/>
  <c r="Q186" i="14"/>
  <c r="O186" i="14"/>
  <c r="M186" i="14"/>
  <c r="K186" i="14"/>
  <c r="I186" i="14"/>
  <c r="E186" i="14"/>
  <c r="D186" i="14"/>
  <c r="C186" i="14"/>
  <c r="B186" i="14"/>
  <c r="Q185" i="14"/>
  <c r="O185" i="14"/>
  <c r="M185" i="14"/>
  <c r="K185" i="14"/>
  <c r="I185" i="14"/>
  <c r="E185" i="14"/>
  <c r="D185" i="14"/>
  <c r="C185" i="14"/>
  <c r="B185" i="14"/>
  <c r="Q184" i="14"/>
  <c r="O184" i="14"/>
  <c r="M184" i="14"/>
  <c r="K184" i="14"/>
  <c r="I184" i="14"/>
  <c r="E184" i="14"/>
  <c r="D184" i="14"/>
  <c r="C184" i="14"/>
  <c r="B184" i="14"/>
  <c r="Q183" i="14"/>
  <c r="O183" i="14"/>
  <c r="M183" i="14"/>
  <c r="K183" i="14"/>
  <c r="I183" i="14"/>
  <c r="E183" i="14"/>
  <c r="D183" i="14"/>
  <c r="C183" i="14"/>
  <c r="B183" i="14"/>
  <c r="Q182" i="14"/>
  <c r="O182" i="14"/>
  <c r="M182" i="14"/>
  <c r="K182" i="14"/>
  <c r="I182" i="14"/>
  <c r="E182" i="14"/>
  <c r="D182" i="14"/>
  <c r="C182" i="14"/>
  <c r="B182" i="14"/>
  <c r="Q181" i="14"/>
  <c r="O181" i="14"/>
  <c r="M181" i="14"/>
  <c r="K181" i="14"/>
  <c r="I181" i="14"/>
  <c r="E181" i="14"/>
  <c r="D181" i="14"/>
  <c r="C181" i="14"/>
  <c r="B181" i="14"/>
  <c r="Q180" i="14"/>
  <c r="O180" i="14"/>
  <c r="M180" i="14"/>
  <c r="K180" i="14"/>
  <c r="I180" i="14"/>
  <c r="E180" i="14"/>
  <c r="D180" i="14"/>
  <c r="C180" i="14"/>
  <c r="B180" i="14"/>
  <c r="Q179" i="14"/>
  <c r="O179" i="14"/>
  <c r="M179" i="14"/>
  <c r="K179" i="14"/>
  <c r="I179" i="14"/>
  <c r="E179" i="14"/>
  <c r="D179" i="14"/>
  <c r="C179" i="14"/>
  <c r="B179" i="14"/>
  <c r="Q178" i="14"/>
  <c r="O178" i="14"/>
  <c r="M178" i="14"/>
  <c r="K178" i="14"/>
  <c r="I178" i="14"/>
  <c r="E178" i="14"/>
  <c r="D178" i="14"/>
  <c r="C178" i="14"/>
  <c r="B178" i="14"/>
  <c r="Q177" i="14"/>
  <c r="O177" i="14"/>
  <c r="M177" i="14"/>
  <c r="K177" i="14"/>
  <c r="I177" i="14"/>
  <c r="E177" i="14"/>
  <c r="D177" i="14"/>
  <c r="C177" i="14"/>
  <c r="B177" i="14"/>
  <c r="Q176" i="14"/>
  <c r="O176" i="14"/>
  <c r="M176" i="14"/>
  <c r="K176" i="14"/>
  <c r="I176" i="14"/>
  <c r="E176" i="14"/>
  <c r="D176" i="14"/>
  <c r="C176" i="14"/>
  <c r="B176" i="14"/>
  <c r="Q175" i="14"/>
  <c r="O175" i="14"/>
  <c r="M175" i="14"/>
  <c r="K175" i="14"/>
  <c r="I175" i="14"/>
  <c r="E175" i="14"/>
  <c r="D175" i="14"/>
  <c r="C175" i="14"/>
  <c r="B175" i="14"/>
  <c r="Q174" i="14"/>
  <c r="O174" i="14"/>
  <c r="M174" i="14"/>
  <c r="K174" i="14"/>
  <c r="I174" i="14"/>
  <c r="E174" i="14"/>
  <c r="D174" i="14"/>
  <c r="C174" i="14"/>
  <c r="B174" i="14"/>
  <c r="Q173" i="14"/>
  <c r="O173" i="14"/>
  <c r="M173" i="14"/>
  <c r="K173" i="14"/>
  <c r="I173" i="14"/>
  <c r="E173" i="14"/>
  <c r="D173" i="14"/>
  <c r="C173" i="14"/>
  <c r="B173" i="14"/>
  <c r="Q172" i="14"/>
  <c r="O172" i="14"/>
  <c r="M172" i="14"/>
  <c r="K172" i="14"/>
  <c r="I172" i="14"/>
  <c r="E172" i="14"/>
  <c r="D172" i="14"/>
  <c r="C172" i="14"/>
  <c r="B172" i="14"/>
  <c r="Q171" i="14"/>
  <c r="O171" i="14"/>
  <c r="M171" i="14"/>
  <c r="K171" i="14"/>
  <c r="I171" i="14"/>
  <c r="E171" i="14"/>
  <c r="D171" i="14"/>
  <c r="C171" i="14"/>
  <c r="B171" i="14"/>
  <c r="Q170" i="14"/>
  <c r="O170" i="14"/>
  <c r="M170" i="14"/>
  <c r="K170" i="14"/>
  <c r="I170" i="14"/>
  <c r="E170" i="14"/>
  <c r="D170" i="14"/>
  <c r="C170" i="14"/>
  <c r="B170" i="14"/>
  <c r="Q169" i="14"/>
  <c r="O169" i="14"/>
  <c r="M169" i="14"/>
  <c r="K169" i="14"/>
  <c r="I169" i="14"/>
  <c r="E169" i="14"/>
  <c r="D169" i="14"/>
  <c r="C169" i="14"/>
  <c r="B169" i="14"/>
  <c r="Q168" i="14"/>
  <c r="O168" i="14"/>
  <c r="M168" i="14"/>
  <c r="K168" i="14"/>
  <c r="I168" i="14"/>
  <c r="E168" i="14"/>
  <c r="D168" i="14"/>
  <c r="C168" i="14"/>
  <c r="B168" i="14"/>
  <c r="Q167" i="14"/>
  <c r="O167" i="14"/>
  <c r="M167" i="14"/>
  <c r="K167" i="14"/>
  <c r="I167" i="14"/>
  <c r="E167" i="14"/>
  <c r="D167" i="14"/>
  <c r="C167" i="14"/>
  <c r="B167" i="14"/>
  <c r="Q166" i="14"/>
  <c r="O166" i="14"/>
  <c r="M166" i="14"/>
  <c r="K166" i="14"/>
  <c r="I166" i="14"/>
  <c r="E166" i="14"/>
  <c r="D166" i="14"/>
  <c r="C166" i="14"/>
  <c r="B166" i="14"/>
  <c r="Q165" i="14"/>
  <c r="O165" i="14"/>
  <c r="M165" i="14"/>
  <c r="K165" i="14"/>
  <c r="I165" i="14"/>
  <c r="E165" i="14"/>
  <c r="D165" i="14"/>
  <c r="C165" i="14"/>
  <c r="B165" i="14"/>
  <c r="Q164" i="14"/>
  <c r="O164" i="14"/>
  <c r="M164" i="14"/>
  <c r="K164" i="14"/>
  <c r="I164" i="14"/>
  <c r="E164" i="14"/>
  <c r="D164" i="14"/>
  <c r="C164" i="14"/>
  <c r="B164" i="14"/>
  <c r="Q163" i="14"/>
  <c r="O163" i="14"/>
  <c r="M163" i="14"/>
  <c r="K163" i="14"/>
  <c r="I163" i="14"/>
  <c r="E163" i="14"/>
  <c r="D163" i="14"/>
  <c r="C163" i="14"/>
  <c r="B163" i="14"/>
  <c r="Q162" i="14"/>
  <c r="O162" i="14"/>
  <c r="M162" i="14"/>
  <c r="K162" i="14"/>
  <c r="I162" i="14"/>
  <c r="E162" i="14"/>
  <c r="D162" i="14"/>
  <c r="C162" i="14"/>
  <c r="B162" i="14"/>
  <c r="Q161" i="14"/>
  <c r="O161" i="14"/>
  <c r="M161" i="14"/>
  <c r="K161" i="14"/>
  <c r="I161" i="14"/>
  <c r="E161" i="14"/>
  <c r="D161" i="14"/>
  <c r="C161" i="14"/>
  <c r="B161" i="14"/>
  <c r="Q160" i="14"/>
  <c r="O160" i="14"/>
  <c r="M160" i="14"/>
  <c r="K160" i="14"/>
  <c r="I160" i="14"/>
  <c r="E160" i="14"/>
  <c r="D160" i="14"/>
  <c r="C160" i="14"/>
  <c r="B160" i="14"/>
  <c r="Q159" i="14"/>
  <c r="O159" i="14"/>
  <c r="M159" i="14"/>
  <c r="K159" i="14"/>
  <c r="I159" i="14"/>
  <c r="E159" i="14"/>
  <c r="D159" i="14"/>
  <c r="C159" i="14"/>
  <c r="B159" i="14"/>
  <c r="Q158" i="14"/>
  <c r="O158" i="14"/>
  <c r="M158" i="14"/>
  <c r="K158" i="14"/>
  <c r="I158" i="14"/>
  <c r="E158" i="14"/>
  <c r="D158" i="14"/>
  <c r="C158" i="14"/>
  <c r="B158" i="14"/>
  <c r="Q157" i="14"/>
  <c r="O157" i="14"/>
  <c r="M157" i="14"/>
  <c r="K157" i="14"/>
  <c r="I157" i="14"/>
  <c r="E157" i="14"/>
  <c r="D157" i="14"/>
  <c r="C157" i="14"/>
  <c r="B157" i="14"/>
  <c r="Q156" i="14"/>
  <c r="O156" i="14"/>
  <c r="M156" i="14"/>
  <c r="K156" i="14"/>
  <c r="I156" i="14"/>
  <c r="E156" i="14"/>
  <c r="D156" i="14"/>
  <c r="C156" i="14"/>
  <c r="B156" i="14"/>
  <c r="Q155" i="14"/>
  <c r="O155" i="14"/>
  <c r="M155" i="14"/>
  <c r="K155" i="14"/>
  <c r="I155" i="14"/>
  <c r="E155" i="14"/>
  <c r="D155" i="14"/>
  <c r="C155" i="14"/>
  <c r="B155" i="14"/>
  <c r="Q154" i="14"/>
  <c r="O154" i="14"/>
  <c r="M154" i="14"/>
  <c r="K154" i="14"/>
  <c r="I154" i="14"/>
  <c r="E154" i="14"/>
  <c r="D154" i="14"/>
  <c r="C154" i="14"/>
  <c r="B154" i="14"/>
  <c r="Q153" i="14"/>
  <c r="O153" i="14"/>
  <c r="M153" i="14"/>
  <c r="K153" i="14"/>
  <c r="I153" i="14"/>
  <c r="E153" i="14"/>
  <c r="D153" i="14"/>
  <c r="C153" i="14"/>
  <c r="B153" i="14"/>
  <c r="Q152" i="14"/>
  <c r="O152" i="14"/>
  <c r="M152" i="14"/>
  <c r="K152" i="14"/>
  <c r="I152" i="14"/>
  <c r="E152" i="14"/>
  <c r="D152" i="14"/>
  <c r="C152" i="14"/>
  <c r="B152" i="14"/>
  <c r="Q151" i="14"/>
  <c r="O151" i="14"/>
  <c r="M151" i="14"/>
  <c r="K151" i="14"/>
  <c r="I151" i="14"/>
  <c r="E151" i="14"/>
  <c r="D151" i="14"/>
  <c r="C151" i="14"/>
  <c r="B151" i="14"/>
  <c r="Q150" i="14"/>
  <c r="O150" i="14"/>
  <c r="M150" i="14"/>
  <c r="K150" i="14"/>
  <c r="I150" i="14"/>
  <c r="E150" i="14"/>
  <c r="D150" i="14"/>
  <c r="C150" i="14"/>
  <c r="B150" i="14"/>
  <c r="Q149" i="14"/>
  <c r="O149" i="14"/>
  <c r="M149" i="14"/>
  <c r="K149" i="14"/>
  <c r="I149" i="14"/>
  <c r="E149" i="14"/>
  <c r="D149" i="14"/>
  <c r="C149" i="14"/>
  <c r="B149" i="14"/>
  <c r="Q148" i="14"/>
  <c r="O148" i="14"/>
  <c r="M148" i="14"/>
  <c r="K148" i="14"/>
  <c r="I148" i="14"/>
  <c r="E148" i="14"/>
  <c r="D148" i="14"/>
  <c r="C148" i="14"/>
  <c r="B148" i="14"/>
  <c r="Q147" i="14"/>
  <c r="O147" i="14"/>
  <c r="M147" i="14"/>
  <c r="K147" i="14"/>
  <c r="I147" i="14"/>
  <c r="E147" i="14"/>
  <c r="D147" i="14"/>
  <c r="C147" i="14"/>
  <c r="B147" i="14"/>
  <c r="Q146" i="14"/>
  <c r="O146" i="14"/>
  <c r="M146" i="14"/>
  <c r="K146" i="14"/>
  <c r="I146" i="14"/>
  <c r="E146" i="14"/>
  <c r="D146" i="14"/>
  <c r="C146" i="14"/>
  <c r="B146" i="14"/>
  <c r="Q145" i="14"/>
  <c r="O145" i="14"/>
  <c r="M145" i="14"/>
  <c r="K145" i="14"/>
  <c r="I145" i="14"/>
  <c r="E145" i="14"/>
  <c r="D145" i="14"/>
  <c r="C145" i="14"/>
  <c r="B145" i="14"/>
  <c r="Q144" i="14"/>
  <c r="O144" i="14"/>
  <c r="M144" i="14"/>
  <c r="K144" i="14"/>
  <c r="I144" i="14"/>
  <c r="E144" i="14"/>
  <c r="D144" i="14"/>
  <c r="C144" i="14"/>
  <c r="B144" i="14"/>
  <c r="Q143" i="14"/>
  <c r="O143" i="14"/>
  <c r="M143" i="14"/>
  <c r="K143" i="14"/>
  <c r="I143" i="14"/>
  <c r="E143" i="14"/>
  <c r="D143" i="14"/>
  <c r="C143" i="14"/>
  <c r="B143" i="14"/>
  <c r="Q142" i="14"/>
  <c r="O142" i="14"/>
  <c r="M142" i="14"/>
  <c r="K142" i="14"/>
  <c r="I142" i="14"/>
  <c r="E142" i="14"/>
  <c r="D142" i="14"/>
  <c r="C142" i="14"/>
  <c r="B142" i="14"/>
  <c r="Q141" i="14"/>
  <c r="O141" i="14"/>
  <c r="M141" i="14"/>
  <c r="K141" i="14"/>
  <c r="I141" i="14"/>
  <c r="E141" i="14"/>
  <c r="D141" i="14"/>
  <c r="C141" i="14"/>
  <c r="B141" i="14"/>
  <c r="Q140" i="14"/>
  <c r="O140" i="14"/>
  <c r="M140" i="14"/>
  <c r="K140" i="14"/>
  <c r="I140" i="14"/>
  <c r="E140" i="14"/>
  <c r="D140" i="14"/>
  <c r="C140" i="14"/>
  <c r="B140" i="14"/>
  <c r="Q139" i="14"/>
  <c r="O139" i="14"/>
  <c r="M139" i="14"/>
  <c r="K139" i="14"/>
  <c r="I139" i="14"/>
  <c r="E139" i="14"/>
  <c r="D139" i="14"/>
  <c r="C139" i="14"/>
  <c r="B139" i="14"/>
  <c r="Q138" i="14"/>
  <c r="O138" i="14"/>
  <c r="M138" i="14"/>
  <c r="K138" i="14"/>
  <c r="I138" i="14"/>
  <c r="E138" i="14"/>
  <c r="D138" i="14"/>
  <c r="C138" i="14"/>
  <c r="B138" i="14"/>
  <c r="Q137" i="14"/>
  <c r="O137" i="14"/>
  <c r="M137" i="14"/>
  <c r="K137" i="14"/>
  <c r="I137" i="14"/>
  <c r="E137" i="14"/>
  <c r="D137" i="14"/>
  <c r="C137" i="14"/>
  <c r="B137" i="14"/>
  <c r="Q136" i="14"/>
  <c r="O136" i="14"/>
  <c r="M136" i="14"/>
  <c r="K136" i="14"/>
  <c r="I136" i="14"/>
  <c r="E136" i="14"/>
  <c r="D136" i="14"/>
  <c r="C136" i="14"/>
  <c r="B136" i="14"/>
  <c r="Q135" i="14"/>
  <c r="O135" i="14"/>
  <c r="M135" i="14"/>
  <c r="K135" i="14"/>
  <c r="I135" i="14"/>
  <c r="E135" i="14"/>
  <c r="D135" i="14"/>
  <c r="C135" i="14"/>
  <c r="B135" i="14"/>
  <c r="Q134" i="14"/>
  <c r="O134" i="14"/>
  <c r="M134" i="14"/>
  <c r="K134" i="14"/>
  <c r="I134" i="14"/>
  <c r="E134" i="14"/>
  <c r="D134" i="14"/>
  <c r="C134" i="14"/>
  <c r="B134" i="14"/>
  <c r="Q133" i="14"/>
  <c r="O133" i="14"/>
  <c r="M133" i="14"/>
  <c r="K133" i="14"/>
  <c r="I133" i="14"/>
  <c r="E133" i="14"/>
  <c r="D133" i="14"/>
  <c r="C133" i="14"/>
  <c r="B133" i="14"/>
  <c r="Q132" i="14"/>
  <c r="O132" i="14"/>
  <c r="M132" i="14"/>
  <c r="K132" i="14"/>
  <c r="I132" i="14"/>
  <c r="E132" i="14"/>
  <c r="D132" i="14"/>
  <c r="C132" i="14"/>
  <c r="B132" i="14"/>
  <c r="Q131" i="14"/>
  <c r="O131" i="14"/>
  <c r="M131" i="14"/>
  <c r="K131" i="14"/>
  <c r="I131" i="14"/>
  <c r="E131" i="14"/>
  <c r="D131" i="14"/>
  <c r="C131" i="14"/>
  <c r="B131" i="14"/>
  <c r="Q130" i="14"/>
  <c r="O130" i="14"/>
  <c r="M130" i="14"/>
  <c r="K130" i="14"/>
  <c r="I130" i="14"/>
  <c r="E130" i="14"/>
  <c r="D130" i="14"/>
  <c r="C130" i="14"/>
  <c r="B130" i="14"/>
  <c r="Q129" i="14"/>
  <c r="O129" i="14"/>
  <c r="M129" i="14"/>
  <c r="K129" i="14"/>
  <c r="I129" i="14"/>
  <c r="E129" i="14"/>
  <c r="D129" i="14"/>
  <c r="C129" i="14"/>
  <c r="B129" i="14"/>
  <c r="Q128" i="14"/>
  <c r="O128" i="14"/>
  <c r="M128" i="14"/>
  <c r="K128" i="14"/>
  <c r="I128" i="14"/>
  <c r="E128" i="14"/>
  <c r="D128" i="14"/>
  <c r="C128" i="14"/>
  <c r="B128" i="14"/>
  <c r="Q127" i="14"/>
  <c r="O127" i="14"/>
  <c r="M127" i="14"/>
  <c r="K127" i="14"/>
  <c r="I127" i="14"/>
  <c r="E127" i="14"/>
  <c r="D127" i="14"/>
  <c r="C127" i="14"/>
  <c r="B127" i="14"/>
  <c r="Q126" i="14"/>
  <c r="O126" i="14"/>
  <c r="M126" i="14"/>
  <c r="K126" i="14"/>
  <c r="I126" i="14"/>
  <c r="E126" i="14"/>
  <c r="D126" i="14"/>
  <c r="C126" i="14"/>
  <c r="B126" i="14"/>
  <c r="Q125" i="14"/>
  <c r="O125" i="14"/>
  <c r="M125" i="14"/>
  <c r="K125" i="14"/>
  <c r="I125" i="14"/>
  <c r="E125" i="14"/>
  <c r="D125" i="14"/>
  <c r="C125" i="14"/>
  <c r="B125" i="14"/>
  <c r="Q124" i="14"/>
  <c r="O124" i="14"/>
  <c r="M124" i="14"/>
  <c r="K124" i="14"/>
  <c r="I124" i="14"/>
  <c r="E124" i="14"/>
  <c r="D124" i="14"/>
  <c r="C124" i="14"/>
  <c r="B124" i="14"/>
  <c r="Q123" i="14"/>
  <c r="O123" i="14"/>
  <c r="M123" i="14"/>
  <c r="K123" i="14"/>
  <c r="I123" i="14"/>
  <c r="E123" i="14"/>
  <c r="D123" i="14"/>
  <c r="C123" i="14"/>
  <c r="B123" i="14"/>
  <c r="Q122" i="14"/>
  <c r="O122" i="14"/>
  <c r="M122" i="14"/>
  <c r="K122" i="14"/>
  <c r="I122" i="14"/>
  <c r="E122" i="14"/>
  <c r="D122" i="14"/>
  <c r="C122" i="14"/>
  <c r="B122" i="14"/>
  <c r="Q121" i="14"/>
  <c r="O121" i="14"/>
  <c r="M121" i="14"/>
  <c r="K121" i="14"/>
  <c r="I121" i="14"/>
  <c r="E121" i="14"/>
  <c r="D121" i="14"/>
  <c r="C121" i="14"/>
  <c r="B121" i="14"/>
  <c r="Q120" i="14"/>
  <c r="O120" i="14"/>
  <c r="M120" i="14"/>
  <c r="K120" i="14"/>
  <c r="I120" i="14"/>
  <c r="E120" i="14"/>
  <c r="D120" i="14"/>
  <c r="C120" i="14"/>
  <c r="B120" i="14"/>
  <c r="Q119" i="14"/>
  <c r="O119" i="14"/>
  <c r="M119" i="14"/>
  <c r="K119" i="14"/>
  <c r="I119" i="14"/>
  <c r="E119" i="14"/>
  <c r="D119" i="14"/>
  <c r="C119" i="14"/>
  <c r="B119" i="14"/>
  <c r="Q118" i="14"/>
  <c r="O118" i="14"/>
  <c r="M118" i="14"/>
  <c r="K118" i="14"/>
  <c r="I118" i="14"/>
  <c r="E118" i="14"/>
  <c r="D118" i="14"/>
  <c r="C118" i="14"/>
  <c r="B118" i="14"/>
  <c r="Q117" i="14"/>
  <c r="O117" i="14"/>
  <c r="M117" i="14"/>
  <c r="K117" i="14"/>
  <c r="I117" i="14"/>
  <c r="E117" i="14"/>
  <c r="D117" i="14"/>
  <c r="C117" i="14"/>
  <c r="B117" i="14"/>
  <c r="Q116" i="14"/>
  <c r="O116" i="14"/>
  <c r="M116" i="14"/>
  <c r="K116" i="14"/>
  <c r="I116" i="14"/>
  <c r="E116" i="14"/>
  <c r="D116" i="14"/>
  <c r="C116" i="14"/>
  <c r="B116" i="14"/>
  <c r="Q115" i="14"/>
  <c r="O115" i="14"/>
  <c r="M115" i="14"/>
  <c r="K115" i="14"/>
  <c r="I115" i="14"/>
  <c r="E115" i="14"/>
  <c r="D115" i="14"/>
  <c r="C115" i="14"/>
  <c r="B115" i="14"/>
  <c r="Q114" i="14"/>
  <c r="O114" i="14"/>
  <c r="M114" i="14"/>
  <c r="K114" i="14"/>
  <c r="I114" i="14"/>
  <c r="E114" i="14"/>
  <c r="D114" i="14"/>
  <c r="C114" i="14"/>
  <c r="B114" i="14"/>
  <c r="Q113" i="14"/>
  <c r="O113" i="14"/>
  <c r="M113" i="14"/>
  <c r="K113" i="14"/>
  <c r="I113" i="14"/>
  <c r="E113" i="14"/>
  <c r="D113" i="14"/>
  <c r="C113" i="14"/>
  <c r="B113" i="14"/>
  <c r="Q112" i="14"/>
  <c r="O112" i="14"/>
  <c r="M112" i="14"/>
  <c r="K112" i="14"/>
  <c r="I112" i="14"/>
  <c r="E112" i="14"/>
  <c r="D112" i="14"/>
  <c r="C112" i="14"/>
  <c r="B112" i="14"/>
  <c r="Q111" i="14"/>
  <c r="O111" i="14"/>
  <c r="M111" i="14"/>
  <c r="K111" i="14"/>
  <c r="I111" i="14"/>
  <c r="E111" i="14"/>
  <c r="D111" i="14"/>
  <c r="C111" i="14"/>
  <c r="B111" i="14"/>
  <c r="Q110" i="14"/>
  <c r="O110" i="14"/>
  <c r="M110" i="14"/>
  <c r="K110" i="14"/>
  <c r="I110" i="14"/>
  <c r="E110" i="14"/>
  <c r="D110" i="14"/>
  <c r="C110" i="14"/>
  <c r="B110" i="14"/>
  <c r="Q109" i="14"/>
  <c r="O109" i="14"/>
  <c r="M109" i="14"/>
  <c r="K109" i="14"/>
  <c r="I109" i="14"/>
  <c r="E109" i="14"/>
  <c r="D109" i="14"/>
  <c r="C109" i="14"/>
  <c r="B109" i="14"/>
  <c r="Q108" i="14"/>
  <c r="O108" i="14"/>
  <c r="M108" i="14"/>
  <c r="K108" i="14"/>
  <c r="I108" i="14"/>
  <c r="E108" i="14"/>
  <c r="D108" i="14"/>
  <c r="C108" i="14"/>
  <c r="B108" i="14"/>
  <c r="Q107" i="14"/>
  <c r="O107" i="14"/>
  <c r="M107" i="14"/>
  <c r="K107" i="14"/>
  <c r="I107" i="14"/>
  <c r="E107" i="14"/>
  <c r="D107" i="14"/>
  <c r="C107" i="14"/>
  <c r="B107" i="14"/>
  <c r="Q106" i="14"/>
  <c r="O106" i="14"/>
  <c r="M106" i="14"/>
  <c r="K106" i="14"/>
  <c r="I106" i="14"/>
  <c r="E106" i="14"/>
  <c r="D106" i="14"/>
  <c r="C106" i="14"/>
  <c r="B106" i="14"/>
  <c r="Q105" i="14"/>
  <c r="O105" i="14"/>
  <c r="M105" i="14"/>
  <c r="K105" i="14"/>
  <c r="I105" i="14"/>
  <c r="E105" i="14"/>
  <c r="D105" i="14"/>
  <c r="C105" i="14"/>
  <c r="B105" i="14"/>
  <c r="Q104" i="14"/>
  <c r="O104" i="14"/>
  <c r="M104" i="14"/>
  <c r="K104" i="14"/>
  <c r="I104" i="14"/>
  <c r="E104" i="14"/>
  <c r="D104" i="14"/>
  <c r="C104" i="14"/>
  <c r="B104" i="14"/>
  <c r="Q103" i="14"/>
  <c r="O103" i="14"/>
  <c r="M103" i="14"/>
  <c r="K103" i="14"/>
  <c r="I103" i="14"/>
  <c r="E103" i="14"/>
  <c r="D103" i="14"/>
  <c r="C103" i="14"/>
  <c r="B103" i="14"/>
  <c r="Q102" i="14"/>
  <c r="O102" i="14"/>
  <c r="M102" i="14"/>
  <c r="K102" i="14"/>
  <c r="I102" i="14"/>
  <c r="E102" i="14"/>
  <c r="D102" i="14"/>
  <c r="C102" i="14"/>
  <c r="B102" i="14"/>
  <c r="Q101" i="14"/>
  <c r="O101" i="14"/>
  <c r="M101" i="14"/>
  <c r="K101" i="14"/>
  <c r="I101" i="14"/>
  <c r="E101" i="14"/>
  <c r="D101" i="14"/>
  <c r="C101" i="14"/>
  <c r="B101" i="14"/>
  <c r="Q100" i="14"/>
  <c r="O100" i="14"/>
  <c r="M100" i="14"/>
  <c r="K100" i="14"/>
  <c r="I100" i="14"/>
  <c r="E100" i="14"/>
  <c r="D100" i="14"/>
  <c r="C100" i="14"/>
  <c r="B100" i="14"/>
  <c r="Q99" i="14"/>
  <c r="O99" i="14"/>
  <c r="M99" i="14"/>
  <c r="K99" i="14"/>
  <c r="I99" i="14"/>
  <c r="E99" i="14"/>
  <c r="D99" i="14"/>
  <c r="C99" i="14"/>
  <c r="B99" i="14"/>
  <c r="Q98" i="14"/>
  <c r="O98" i="14"/>
  <c r="M98" i="14"/>
  <c r="K98" i="14"/>
  <c r="I98" i="14"/>
  <c r="E98" i="14"/>
  <c r="D98" i="14"/>
  <c r="C98" i="14"/>
  <c r="B98" i="14"/>
  <c r="Q97" i="14"/>
  <c r="O97" i="14"/>
  <c r="M97" i="14"/>
  <c r="K97" i="14"/>
  <c r="I97" i="14"/>
  <c r="E97" i="14"/>
  <c r="D97" i="14"/>
  <c r="C97" i="14"/>
  <c r="B97" i="14"/>
  <c r="Q96" i="14"/>
  <c r="O96" i="14"/>
  <c r="M96" i="14"/>
  <c r="K96" i="14"/>
  <c r="I96" i="14"/>
  <c r="E96" i="14"/>
  <c r="D96" i="14"/>
  <c r="C96" i="14"/>
  <c r="B96" i="14"/>
  <c r="Q95" i="14"/>
  <c r="O95" i="14"/>
  <c r="M95" i="14"/>
  <c r="K95" i="14"/>
  <c r="I95" i="14"/>
  <c r="E95" i="14"/>
  <c r="D95" i="14"/>
  <c r="C95" i="14"/>
  <c r="B95" i="14"/>
  <c r="Q94" i="14"/>
  <c r="O94" i="14"/>
  <c r="M94" i="14"/>
  <c r="K94" i="14"/>
  <c r="I94" i="14"/>
  <c r="E94" i="14"/>
  <c r="D94" i="14"/>
  <c r="C94" i="14"/>
  <c r="B94" i="14"/>
  <c r="Q93" i="14"/>
  <c r="O93" i="14"/>
  <c r="M93" i="14"/>
  <c r="K93" i="14"/>
  <c r="I93" i="14"/>
  <c r="E93" i="14"/>
  <c r="D93" i="14"/>
  <c r="C93" i="14"/>
  <c r="B93" i="14"/>
  <c r="Q92" i="14"/>
  <c r="O92" i="14"/>
  <c r="M92" i="14"/>
  <c r="K92" i="14"/>
  <c r="I92" i="14"/>
  <c r="E92" i="14"/>
  <c r="D92" i="14"/>
  <c r="C92" i="14"/>
  <c r="B92" i="14"/>
  <c r="Q91" i="14"/>
  <c r="O91" i="14"/>
  <c r="M91" i="14"/>
  <c r="K91" i="14"/>
  <c r="I91" i="14"/>
  <c r="E91" i="14"/>
  <c r="D91" i="14"/>
  <c r="C91" i="14"/>
  <c r="B91" i="14"/>
  <c r="Q90" i="14"/>
  <c r="O90" i="14"/>
  <c r="M90" i="14"/>
  <c r="K90" i="14"/>
  <c r="I90" i="14"/>
  <c r="E90" i="14"/>
  <c r="D90" i="14"/>
  <c r="C90" i="14"/>
  <c r="B90" i="14"/>
  <c r="Q89" i="14"/>
  <c r="O89" i="14"/>
  <c r="M89" i="14"/>
  <c r="K89" i="14"/>
  <c r="I89" i="14"/>
  <c r="E89" i="14"/>
  <c r="D89" i="14"/>
  <c r="C89" i="14"/>
  <c r="B89" i="14"/>
  <c r="Q88" i="14"/>
  <c r="O88" i="14"/>
  <c r="M88" i="14"/>
  <c r="K88" i="14"/>
  <c r="I88" i="14"/>
  <c r="E88" i="14"/>
  <c r="D88" i="14"/>
  <c r="C88" i="14"/>
  <c r="B88" i="14"/>
  <c r="Q87" i="14"/>
  <c r="O87" i="14"/>
  <c r="M87" i="14"/>
  <c r="K87" i="14"/>
  <c r="I87" i="14"/>
  <c r="E87" i="14"/>
  <c r="D87" i="14"/>
  <c r="C87" i="14"/>
  <c r="B87" i="14"/>
  <c r="Q86" i="14"/>
  <c r="O86" i="14"/>
  <c r="M86" i="14"/>
  <c r="K86" i="14"/>
  <c r="I86" i="14"/>
  <c r="E86" i="14"/>
  <c r="D86" i="14"/>
  <c r="C86" i="14"/>
  <c r="B86" i="14"/>
  <c r="Q85" i="14"/>
  <c r="O85" i="14"/>
  <c r="M85" i="14"/>
  <c r="K85" i="14"/>
  <c r="I85" i="14"/>
  <c r="E85" i="14"/>
  <c r="D85" i="14"/>
  <c r="C85" i="14"/>
  <c r="B85" i="14"/>
  <c r="Q84" i="14"/>
  <c r="O84" i="14"/>
  <c r="M84" i="14"/>
  <c r="K84" i="14"/>
  <c r="I84" i="14"/>
  <c r="E84" i="14"/>
  <c r="D84" i="14"/>
  <c r="C84" i="14"/>
  <c r="B84" i="14"/>
  <c r="Q83" i="14"/>
  <c r="O83" i="14"/>
  <c r="M83" i="14"/>
  <c r="K83" i="14"/>
  <c r="I83" i="14"/>
  <c r="E83" i="14"/>
  <c r="D83" i="14"/>
  <c r="C83" i="14"/>
  <c r="B83" i="14"/>
  <c r="Q82" i="14"/>
  <c r="O82" i="14"/>
  <c r="M82" i="14"/>
  <c r="K82" i="14"/>
  <c r="I82" i="14"/>
  <c r="E82" i="14"/>
  <c r="D82" i="14"/>
  <c r="C82" i="14"/>
  <c r="B82" i="14"/>
  <c r="Q81" i="14"/>
  <c r="O81" i="14"/>
  <c r="M81" i="14"/>
  <c r="K81" i="14"/>
  <c r="I81" i="14"/>
  <c r="E81" i="14"/>
  <c r="D81" i="14"/>
  <c r="C81" i="14"/>
  <c r="B81" i="14"/>
  <c r="Q80" i="14"/>
  <c r="O80" i="14"/>
  <c r="M80" i="14"/>
  <c r="K80" i="14"/>
  <c r="I80" i="14"/>
  <c r="E80" i="14"/>
  <c r="D80" i="14"/>
  <c r="C80" i="14"/>
  <c r="B80" i="14"/>
  <c r="Q79" i="14"/>
  <c r="O79" i="14"/>
  <c r="M79" i="14"/>
  <c r="K79" i="14"/>
  <c r="I79" i="14"/>
  <c r="E79" i="14"/>
  <c r="D79" i="14"/>
  <c r="C79" i="14"/>
  <c r="B79" i="14"/>
  <c r="Q78" i="14"/>
  <c r="O78" i="14"/>
  <c r="M78" i="14"/>
  <c r="K78" i="14"/>
  <c r="I78" i="14"/>
  <c r="E78" i="14"/>
  <c r="D78" i="14"/>
  <c r="C78" i="14"/>
  <c r="B78" i="14"/>
  <c r="Q77" i="14"/>
  <c r="O77" i="14"/>
  <c r="M77" i="14"/>
  <c r="K77" i="14"/>
  <c r="I77" i="14"/>
  <c r="E77" i="14"/>
  <c r="D77" i="14"/>
  <c r="C77" i="14"/>
  <c r="B77" i="14"/>
  <c r="Q76" i="14"/>
  <c r="O76" i="14"/>
  <c r="M76" i="14"/>
  <c r="K76" i="14"/>
  <c r="I76" i="14"/>
  <c r="E76" i="14"/>
  <c r="D76" i="14"/>
  <c r="C76" i="14"/>
  <c r="B76" i="14"/>
  <c r="Q75" i="14"/>
  <c r="O75" i="14"/>
  <c r="M75" i="14"/>
  <c r="K75" i="14"/>
  <c r="I75" i="14"/>
  <c r="E75" i="14"/>
  <c r="D75" i="14"/>
  <c r="C75" i="14"/>
  <c r="B75" i="14"/>
  <c r="Q74" i="14"/>
  <c r="O74" i="14"/>
  <c r="M74" i="14"/>
  <c r="K74" i="14"/>
  <c r="I74" i="14"/>
  <c r="E74" i="14"/>
  <c r="D74" i="14"/>
  <c r="C74" i="14"/>
  <c r="B74" i="14"/>
  <c r="Q73" i="14"/>
  <c r="O73" i="14"/>
  <c r="M73" i="14"/>
  <c r="K73" i="14"/>
  <c r="I73" i="14"/>
  <c r="E73" i="14"/>
  <c r="D73" i="14"/>
  <c r="C73" i="14"/>
  <c r="B73" i="14"/>
  <c r="Q72" i="14"/>
  <c r="O72" i="14"/>
  <c r="M72" i="14"/>
  <c r="K72" i="14"/>
  <c r="I72" i="14"/>
  <c r="E72" i="14"/>
  <c r="D72" i="14"/>
  <c r="C72" i="14"/>
  <c r="B72" i="14"/>
  <c r="Q71" i="14"/>
  <c r="O71" i="14"/>
  <c r="M71" i="14"/>
  <c r="K71" i="14"/>
  <c r="I71" i="14"/>
  <c r="E71" i="14"/>
  <c r="D71" i="14"/>
  <c r="C71" i="14"/>
  <c r="B71" i="14"/>
  <c r="Q70" i="14"/>
  <c r="O70" i="14"/>
  <c r="M70" i="14"/>
  <c r="K70" i="14"/>
  <c r="I70" i="14"/>
  <c r="E70" i="14"/>
  <c r="D70" i="14"/>
  <c r="C70" i="14"/>
  <c r="B70" i="14"/>
  <c r="Q69" i="14"/>
  <c r="O69" i="14"/>
  <c r="M69" i="14"/>
  <c r="K69" i="14"/>
  <c r="I69" i="14"/>
  <c r="E69" i="14"/>
  <c r="D69" i="14"/>
  <c r="C69" i="14"/>
  <c r="B69" i="14"/>
  <c r="Q68" i="14"/>
  <c r="O68" i="14"/>
  <c r="M68" i="14"/>
  <c r="K68" i="14"/>
  <c r="I68" i="14"/>
  <c r="E68" i="14"/>
  <c r="D68" i="14"/>
  <c r="C68" i="14"/>
  <c r="B68" i="14"/>
  <c r="Q67" i="14"/>
  <c r="O67" i="14"/>
  <c r="M67" i="14"/>
  <c r="K67" i="14"/>
  <c r="I67" i="14"/>
  <c r="E67" i="14"/>
  <c r="D67" i="14"/>
  <c r="C67" i="14"/>
  <c r="B67" i="14"/>
  <c r="Q66" i="14"/>
  <c r="O66" i="14"/>
  <c r="M66" i="14"/>
  <c r="K66" i="14"/>
  <c r="I66" i="14"/>
  <c r="E66" i="14"/>
  <c r="D66" i="14"/>
  <c r="C66" i="14"/>
  <c r="B66" i="14"/>
  <c r="Q65" i="14"/>
  <c r="O65" i="14"/>
  <c r="M65" i="14"/>
  <c r="K65" i="14"/>
  <c r="I65" i="14"/>
  <c r="E65" i="14"/>
  <c r="D65" i="14"/>
  <c r="C65" i="14"/>
  <c r="B65" i="14"/>
  <c r="Q64" i="14"/>
  <c r="O64" i="14"/>
  <c r="M64" i="14"/>
  <c r="K64" i="14"/>
  <c r="I64" i="14"/>
  <c r="E64" i="14"/>
  <c r="D64" i="14"/>
  <c r="C64" i="14"/>
  <c r="B64" i="14"/>
  <c r="Q63" i="14"/>
  <c r="O63" i="14"/>
  <c r="M63" i="14"/>
  <c r="K63" i="14"/>
  <c r="I63" i="14"/>
  <c r="E63" i="14"/>
  <c r="D63" i="14"/>
  <c r="C63" i="14"/>
  <c r="B63" i="14"/>
  <c r="Q62" i="14"/>
  <c r="O62" i="14"/>
  <c r="M62" i="14"/>
  <c r="K62" i="14"/>
  <c r="I62" i="14"/>
  <c r="E62" i="14"/>
  <c r="D62" i="14"/>
  <c r="C62" i="14"/>
  <c r="B62" i="14"/>
  <c r="Q61" i="14"/>
  <c r="O61" i="14"/>
  <c r="M61" i="14"/>
  <c r="K61" i="14"/>
  <c r="I61" i="14"/>
  <c r="E61" i="14"/>
  <c r="D61" i="14"/>
  <c r="C61" i="14"/>
  <c r="B61" i="14"/>
  <c r="Q60" i="14"/>
  <c r="O60" i="14"/>
  <c r="M60" i="14"/>
  <c r="K60" i="14"/>
  <c r="I60" i="14"/>
  <c r="E60" i="14"/>
  <c r="D60" i="14"/>
  <c r="C60" i="14"/>
  <c r="B60" i="14"/>
  <c r="Q59" i="14"/>
  <c r="O59" i="14"/>
  <c r="M59" i="14"/>
  <c r="K59" i="14"/>
  <c r="I59" i="14"/>
  <c r="E59" i="14"/>
  <c r="D59" i="14"/>
  <c r="C59" i="14"/>
  <c r="B59" i="14"/>
  <c r="Q58" i="14"/>
  <c r="O58" i="14"/>
  <c r="M58" i="14"/>
  <c r="K58" i="14"/>
  <c r="I58" i="14"/>
  <c r="E58" i="14"/>
  <c r="D58" i="14"/>
  <c r="C58" i="14"/>
  <c r="B58" i="14"/>
  <c r="Q57" i="14"/>
  <c r="O57" i="14"/>
  <c r="M57" i="14"/>
  <c r="K57" i="14"/>
  <c r="I57" i="14"/>
  <c r="E57" i="14"/>
  <c r="D57" i="14"/>
  <c r="C57" i="14"/>
  <c r="B57" i="14"/>
  <c r="Q56" i="14"/>
  <c r="O56" i="14"/>
  <c r="M56" i="14"/>
  <c r="K56" i="14"/>
  <c r="I56" i="14"/>
  <c r="E56" i="14"/>
  <c r="D56" i="14"/>
  <c r="C56" i="14"/>
  <c r="B56" i="14"/>
  <c r="Q55" i="14"/>
  <c r="O55" i="14"/>
  <c r="M55" i="14"/>
  <c r="K55" i="14"/>
  <c r="I55" i="14"/>
  <c r="E55" i="14"/>
  <c r="D55" i="14"/>
  <c r="C55" i="14"/>
  <c r="B55" i="14"/>
  <c r="Q54" i="14"/>
  <c r="O54" i="14"/>
  <c r="M54" i="14"/>
  <c r="K54" i="14"/>
  <c r="I54" i="14"/>
  <c r="E54" i="14"/>
  <c r="D54" i="14"/>
  <c r="C54" i="14"/>
  <c r="B54" i="14"/>
  <c r="Q53" i="14"/>
  <c r="O53" i="14"/>
  <c r="M53" i="14"/>
  <c r="K53" i="14"/>
  <c r="I53" i="14"/>
  <c r="E53" i="14"/>
  <c r="D53" i="14"/>
  <c r="C53" i="14"/>
  <c r="B53" i="14"/>
  <c r="Q52" i="14"/>
  <c r="O52" i="14"/>
  <c r="M52" i="14"/>
  <c r="K52" i="14"/>
  <c r="I52" i="14"/>
  <c r="E52" i="14"/>
  <c r="D52" i="14"/>
  <c r="C52" i="14"/>
  <c r="B52" i="14"/>
  <c r="Q51" i="14"/>
  <c r="O51" i="14"/>
  <c r="M51" i="14"/>
  <c r="K51" i="14"/>
  <c r="I51" i="14"/>
  <c r="E51" i="14"/>
  <c r="D51" i="14"/>
  <c r="C51" i="14"/>
  <c r="B51" i="14"/>
  <c r="Q50" i="14"/>
  <c r="O50" i="14"/>
  <c r="M50" i="14"/>
  <c r="K50" i="14"/>
  <c r="I50" i="14"/>
  <c r="E50" i="14"/>
  <c r="D50" i="14"/>
  <c r="C50" i="14"/>
  <c r="B50" i="14"/>
  <c r="Q49" i="14"/>
  <c r="O49" i="14"/>
  <c r="M49" i="14"/>
  <c r="K49" i="14"/>
  <c r="I49" i="14"/>
  <c r="E49" i="14"/>
  <c r="D49" i="14"/>
  <c r="C49" i="14"/>
  <c r="B49" i="14"/>
  <c r="Q48" i="14"/>
  <c r="O48" i="14"/>
  <c r="M48" i="14"/>
  <c r="K48" i="14"/>
  <c r="I48" i="14"/>
  <c r="E48" i="14"/>
  <c r="D48" i="14"/>
  <c r="C48" i="14"/>
  <c r="B48" i="14"/>
  <c r="Q47" i="14"/>
  <c r="O47" i="14"/>
  <c r="M47" i="14"/>
  <c r="K47" i="14"/>
  <c r="I47" i="14"/>
  <c r="E47" i="14"/>
  <c r="D47" i="14"/>
  <c r="C47" i="14"/>
  <c r="B47" i="14"/>
  <c r="Q46" i="14"/>
  <c r="O46" i="14"/>
  <c r="M46" i="14"/>
  <c r="K46" i="14"/>
  <c r="I46" i="14"/>
  <c r="E46" i="14"/>
  <c r="D46" i="14"/>
  <c r="C46" i="14"/>
  <c r="B46" i="14"/>
  <c r="Q45" i="14"/>
  <c r="O45" i="14"/>
  <c r="M45" i="14"/>
  <c r="K45" i="14"/>
  <c r="I45" i="14"/>
  <c r="E45" i="14"/>
  <c r="D45" i="14"/>
  <c r="C45" i="14"/>
  <c r="B45" i="14"/>
  <c r="Q44" i="14"/>
  <c r="O44" i="14"/>
  <c r="M44" i="14"/>
  <c r="K44" i="14"/>
  <c r="I44" i="14"/>
  <c r="E44" i="14"/>
  <c r="D44" i="14"/>
  <c r="C44" i="14"/>
  <c r="B44" i="14"/>
  <c r="Q43" i="14"/>
  <c r="O43" i="14"/>
  <c r="M43" i="14"/>
  <c r="K43" i="14"/>
  <c r="I43" i="14"/>
  <c r="E43" i="14"/>
  <c r="D43" i="14"/>
  <c r="C43" i="14"/>
  <c r="B43" i="14"/>
  <c r="Q42" i="14"/>
  <c r="O42" i="14"/>
  <c r="M42" i="14"/>
  <c r="K42" i="14"/>
  <c r="I42" i="14"/>
  <c r="E42" i="14"/>
  <c r="D42" i="14"/>
  <c r="C42" i="14"/>
  <c r="B42" i="14"/>
  <c r="Q41" i="14"/>
  <c r="O41" i="14"/>
  <c r="M41" i="14"/>
  <c r="K41" i="14"/>
  <c r="I41" i="14"/>
  <c r="E41" i="14"/>
  <c r="D41" i="14"/>
  <c r="C41" i="14"/>
  <c r="B41" i="14"/>
  <c r="Q40" i="14"/>
  <c r="O40" i="14"/>
  <c r="M40" i="14"/>
  <c r="K40" i="14"/>
  <c r="I40" i="14"/>
  <c r="E40" i="14"/>
  <c r="D40" i="14"/>
  <c r="C40" i="14"/>
  <c r="B40" i="14"/>
  <c r="Q39" i="14"/>
  <c r="O39" i="14"/>
  <c r="M39" i="14"/>
  <c r="K39" i="14"/>
  <c r="I39" i="14"/>
  <c r="E39" i="14"/>
  <c r="D39" i="14"/>
  <c r="C39" i="14"/>
  <c r="B39" i="14"/>
  <c r="Q38" i="14"/>
  <c r="O38" i="14"/>
  <c r="M38" i="14"/>
  <c r="K38" i="14"/>
  <c r="I38" i="14"/>
  <c r="E38" i="14"/>
  <c r="D38" i="14"/>
  <c r="C38" i="14"/>
  <c r="B38" i="14"/>
  <c r="Q37" i="14"/>
  <c r="O37" i="14"/>
  <c r="M37" i="14"/>
  <c r="K37" i="14"/>
  <c r="I37" i="14"/>
  <c r="E37" i="14"/>
  <c r="D37" i="14"/>
  <c r="C37" i="14"/>
  <c r="B37" i="14"/>
  <c r="Q36" i="14"/>
  <c r="O36" i="14"/>
  <c r="M36" i="14"/>
  <c r="K36" i="14"/>
  <c r="I36" i="14"/>
  <c r="E36" i="14"/>
  <c r="D36" i="14"/>
  <c r="C36" i="14"/>
  <c r="B36" i="14"/>
  <c r="Q35" i="14"/>
  <c r="O35" i="14"/>
  <c r="M35" i="14"/>
  <c r="K35" i="14"/>
  <c r="I35" i="14"/>
  <c r="E35" i="14"/>
  <c r="D35" i="14"/>
  <c r="C35" i="14"/>
  <c r="B35" i="14"/>
  <c r="Q34" i="14"/>
  <c r="O34" i="14"/>
  <c r="M34" i="14"/>
  <c r="K34" i="14"/>
  <c r="I34" i="14"/>
  <c r="E34" i="14"/>
  <c r="D34" i="14"/>
  <c r="C34" i="14"/>
  <c r="B34" i="14"/>
  <c r="Q33" i="14"/>
  <c r="O33" i="14"/>
  <c r="M33" i="14"/>
  <c r="K33" i="14"/>
  <c r="I33" i="14"/>
  <c r="E33" i="14"/>
  <c r="D33" i="14"/>
  <c r="C33" i="14"/>
  <c r="B33" i="14"/>
  <c r="Q32" i="14"/>
  <c r="O32" i="14"/>
  <c r="M32" i="14"/>
  <c r="K32" i="14"/>
  <c r="I32" i="14"/>
  <c r="E32" i="14"/>
  <c r="D32" i="14"/>
  <c r="C32" i="14"/>
  <c r="B32" i="14"/>
  <c r="Q31" i="14"/>
  <c r="O31" i="14"/>
  <c r="M31" i="14"/>
  <c r="K31" i="14"/>
  <c r="I31" i="14"/>
  <c r="E31" i="14"/>
  <c r="D31" i="14"/>
  <c r="C31" i="14"/>
  <c r="B31" i="14"/>
  <c r="Q30" i="14"/>
  <c r="O30" i="14"/>
  <c r="M30" i="14"/>
  <c r="K30" i="14"/>
  <c r="I30" i="14"/>
  <c r="E30" i="14"/>
  <c r="D30" i="14"/>
  <c r="C30" i="14"/>
  <c r="B30" i="14"/>
  <c r="Q29" i="14"/>
  <c r="O29" i="14"/>
  <c r="M29" i="14"/>
  <c r="K29" i="14"/>
  <c r="I29" i="14"/>
  <c r="E29" i="14"/>
  <c r="D29" i="14"/>
  <c r="C29" i="14"/>
  <c r="B29" i="14"/>
  <c r="Q28" i="14"/>
  <c r="O28" i="14"/>
  <c r="M28" i="14"/>
  <c r="K28" i="14"/>
  <c r="I28" i="14"/>
  <c r="E28" i="14"/>
  <c r="D28" i="14"/>
  <c r="C28" i="14"/>
  <c r="B28" i="14"/>
  <c r="Q27" i="14"/>
  <c r="O27" i="14"/>
  <c r="M27" i="14"/>
  <c r="K27" i="14"/>
  <c r="I27" i="14"/>
  <c r="E27" i="14"/>
  <c r="D27" i="14"/>
  <c r="C27" i="14"/>
  <c r="B27" i="14"/>
  <c r="Q26" i="14"/>
  <c r="O26" i="14"/>
  <c r="M26" i="14"/>
  <c r="K26" i="14"/>
  <c r="I26" i="14"/>
  <c r="E26" i="14"/>
  <c r="D26" i="14"/>
  <c r="C26" i="14"/>
  <c r="B26" i="14"/>
  <c r="Q25" i="14"/>
  <c r="O25" i="14"/>
  <c r="M25" i="14"/>
  <c r="K25" i="14"/>
  <c r="I25" i="14"/>
  <c r="E25" i="14"/>
  <c r="D25" i="14"/>
  <c r="C25" i="14"/>
  <c r="B25" i="14"/>
  <c r="Q24" i="14"/>
  <c r="O24" i="14"/>
  <c r="M24" i="14"/>
  <c r="K24" i="14"/>
  <c r="I24" i="14"/>
  <c r="E24" i="14"/>
  <c r="D24" i="14"/>
  <c r="C24" i="14"/>
  <c r="B24" i="14"/>
  <c r="Q23" i="14"/>
  <c r="O23" i="14"/>
  <c r="M23" i="14"/>
  <c r="K23" i="14"/>
  <c r="I23" i="14"/>
  <c r="E23" i="14"/>
  <c r="D23" i="14"/>
  <c r="C23" i="14"/>
  <c r="B23" i="14"/>
  <c r="Q22" i="14"/>
  <c r="O22" i="14"/>
  <c r="M22" i="14"/>
  <c r="K22" i="14"/>
  <c r="I22" i="14"/>
  <c r="E22" i="14"/>
  <c r="D22" i="14"/>
  <c r="C22" i="14"/>
  <c r="B22" i="14"/>
  <c r="Q21" i="14"/>
  <c r="O21" i="14"/>
  <c r="M21" i="14"/>
  <c r="K21" i="14"/>
  <c r="I21" i="14"/>
  <c r="E21" i="14"/>
  <c r="D21" i="14"/>
  <c r="C21" i="14"/>
  <c r="B21" i="14"/>
  <c r="Q20" i="14"/>
  <c r="O20" i="14"/>
  <c r="M20" i="14"/>
  <c r="K20" i="14"/>
  <c r="I20" i="14"/>
  <c r="E20" i="14"/>
  <c r="D20" i="14"/>
  <c r="C20" i="14"/>
  <c r="B20" i="14"/>
  <c r="Q19" i="14"/>
  <c r="O19" i="14"/>
  <c r="M19" i="14"/>
  <c r="K19" i="14"/>
  <c r="I19" i="14"/>
  <c r="E19" i="14"/>
  <c r="D19" i="14"/>
  <c r="C19" i="14"/>
  <c r="B19" i="14"/>
  <c r="Q18" i="14"/>
  <c r="O18" i="14"/>
  <c r="M18" i="14"/>
  <c r="K18" i="14"/>
  <c r="I18" i="14"/>
  <c r="E18" i="14"/>
  <c r="D18" i="14"/>
  <c r="C18" i="14"/>
  <c r="B18" i="14"/>
  <c r="F5" i="15" l="1"/>
  <c r="P4" i="14"/>
  <c r="AK5" i="8"/>
  <c r="AM5" i="8"/>
  <c r="AO5" i="8"/>
  <c r="AQ5" i="8"/>
  <c r="AG16" i="8"/>
  <c r="AE18" i="8"/>
  <c r="AE15" i="8"/>
  <c r="W8" i="8"/>
  <c r="W13" i="8"/>
  <c r="W5" i="8"/>
  <c r="Y13" i="8"/>
  <c r="AO5" i="7"/>
  <c r="AM5" i="7"/>
  <c r="AK5" i="7"/>
  <c r="AI5" i="7"/>
  <c r="AG5" i="7"/>
  <c r="AG4" i="7"/>
  <c r="AI4" i="7" s="1"/>
  <c r="AK4" i="7" s="1"/>
  <c r="AM4" i="7" s="1"/>
  <c r="AO4" i="7" s="1"/>
  <c r="AG3" i="7"/>
  <c r="AH3" i="7" s="1"/>
  <c r="AE5" i="7"/>
  <c r="AI3" i="7" l="1"/>
  <c r="AQ12" i="5"/>
  <c r="AJ3" i="7" l="1"/>
  <c r="AK3" i="7"/>
  <c r="AC5" i="7"/>
  <c r="AA5" i="7"/>
  <c r="AA4" i="7"/>
  <c r="Y5" i="7"/>
  <c r="Y4" i="7"/>
  <c r="W5" i="7"/>
  <c r="W4" i="7"/>
  <c r="U5" i="7"/>
  <c r="U4" i="7"/>
  <c r="S5" i="7"/>
  <c r="S4" i="7"/>
  <c r="Q5" i="7"/>
  <c r="Q4" i="7"/>
  <c r="O5" i="7"/>
  <c r="O4" i="7"/>
  <c r="M5" i="7"/>
  <c r="M4" i="7"/>
  <c r="K5" i="7"/>
  <c r="K4" i="7"/>
  <c r="I5" i="7"/>
  <c r="I4" i="7"/>
  <c r="O8" i="9"/>
  <c r="AL3" i="7" l="1"/>
  <c r="AM3" i="7"/>
  <c r="AU5" i="9"/>
  <c r="AS5" i="9"/>
  <c r="AQ5" i="9"/>
  <c r="AO5" i="9"/>
  <c r="AO4" i="9"/>
  <c r="AQ4" i="9" s="1"/>
  <c r="AS4" i="9" s="1"/>
  <c r="AU4" i="9" s="1"/>
  <c r="AM5" i="9"/>
  <c r="AI4" i="9"/>
  <c r="S15" i="8"/>
  <c r="S5" i="8" s="1"/>
  <c r="O8" i="8"/>
  <c r="O5" i="8" s="1"/>
  <c r="AI5" i="8"/>
  <c r="AG5" i="8"/>
  <c r="AE5" i="8"/>
  <c r="AC5" i="8"/>
  <c r="AA5" i="8"/>
  <c r="Y5" i="8"/>
  <c r="U5" i="8"/>
  <c r="Q5" i="8"/>
  <c r="M5" i="8"/>
  <c r="K5" i="8"/>
  <c r="I5" i="8"/>
  <c r="L21" i="2"/>
  <c r="L20" i="2"/>
  <c r="E15" i="8"/>
  <c r="E10" i="8"/>
  <c r="E6" i="8"/>
  <c r="AN3" i="7" l="1"/>
  <c r="AO3" i="7"/>
  <c r="AP3" i="7" s="1"/>
  <c r="E8" i="5"/>
  <c r="E9" i="5"/>
  <c r="E12" i="5"/>
  <c r="AU5" i="5"/>
  <c r="AS5" i="5"/>
  <c r="AQ5" i="5"/>
  <c r="AO5" i="5"/>
  <c r="AM5" i="5"/>
  <c r="AK5" i="5"/>
  <c r="AI5" i="5"/>
  <c r="AI4" i="5"/>
  <c r="AK4" i="5" s="1"/>
  <c r="AM4" i="5" s="1"/>
  <c r="AO4" i="5" s="1"/>
  <c r="AQ4" i="5" s="1"/>
  <c r="AS4" i="5" s="1"/>
  <c r="AU4" i="5" s="1"/>
  <c r="AG5" i="5"/>
  <c r="AE5" i="5"/>
  <c r="AE4" i="5"/>
  <c r="AC5" i="5"/>
  <c r="AC4" i="5"/>
  <c r="AA5" i="5"/>
  <c r="AA4" i="5"/>
  <c r="Y5" i="5"/>
  <c r="Y4" i="5"/>
  <c r="W5" i="5"/>
  <c r="W4" i="5"/>
  <c r="U5" i="5"/>
  <c r="U4" i="5"/>
  <c r="S5" i="5"/>
  <c r="S4" i="5"/>
  <c r="Q5" i="5"/>
  <c r="Q4" i="5"/>
  <c r="O5" i="5"/>
  <c r="O4" i="5"/>
  <c r="M5" i="5"/>
  <c r="M4" i="5"/>
  <c r="K5" i="5"/>
  <c r="K4" i="5"/>
  <c r="I5" i="5"/>
  <c r="I4" i="5"/>
  <c r="AK5" i="9"/>
  <c r="AI5" i="9"/>
  <c r="AG5" i="9"/>
  <c r="AE5" i="9"/>
  <c r="AC5" i="9"/>
  <c r="AA5" i="9"/>
  <c r="Y5" i="9"/>
  <c r="W5" i="9"/>
  <c r="U5" i="9"/>
  <c r="S5" i="9"/>
  <c r="G10" i="9"/>
  <c r="E6" i="9"/>
  <c r="I3" i="9"/>
  <c r="T3" i="9" l="1"/>
  <c r="U3" i="9"/>
  <c r="AE4" i="4"/>
  <c r="AC4" i="4"/>
  <c r="AE5" i="4"/>
  <c r="AF3" i="4"/>
  <c r="AE3" i="4"/>
  <c r="AC5" i="4"/>
  <c r="AD3" i="4"/>
  <c r="AC3" i="4"/>
  <c r="V3" i="9" l="1"/>
  <c r="W3" i="9"/>
  <c r="AA5" i="4"/>
  <c r="Y5" i="4"/>
  <c r="Y4" i="4"/>
  <c r="W5" i="4"/>
  <c r="W4" i="4"/>
  <c r="U5" i="4"/>
  <c r="U4" i="4"/>
  <c r="S5" i="4"/>
  <c r="S4" i="4"/>
  <c r="Q5" i="4"/>
  <c r="Q4" i="4"/>
  <c r="O5" i="4"/>
  <c r="O4" i="4"/>
  <c r="M5" i="4"/>
  <c r="M4" i="4"/>
  <c r="K5" i="4"/>
  <c r="K4" i="4"/>
  <c r="I5" i="4"/>
  <c r="I4" i="4"/>
  <c r="Q5" i="9"/>
  <c r="R3" i="9"/>
  <c r="O5" i="9"/>
  <c r="P3" i="9"/>
  <c r="M5" i="9"/>
  <c r="N3" i="9"/>
  <c r="K5" i="9"/>
  <c r="L3" i="9"/>
  <c r="I5" i="9"/>
  <c r="J3" i="9"/>
  <c r="S15" i="6"/>
  <c r="S16" i="6"/>
  <c r="X3" i="9" l="1"/>
  <c r="Y3" i="9"/>
  <c r="AG5" i="6"/>
  <c r="AG4" i="6"/>
  <c r="AE5" i="6"/>
  <c r="AE4" i="6"/>
  <c r="AC5" i="6"/>
  <c r="AC4" i="6"/>
  <c r="AA5" i="6"/>
  <c r="AA4" i="6"/>
  <c r="Y5" i="6"/>
  <c r="Y4" i="6"/>
  <c r="W5" i="6"/>
  <c r="W4" i="6"/>
  <c r="U5" i="6"/>
  <c r="U4" i="6"/>
  <c r="S5" i="6"/>
  <c r="S4" i="6"/>
  <c r="Q5" i="6"/>
  <c r="Q4" i="6"/>
  <c r="O5" i="6"/>
  <c r="O4" i="6"/>
  <c r="M5" i="6"/>
  <c r="M4" i="6"/>
  <c r="K5" i="6"/>
  <c r="K4" i="6"/>
  <c r="I5" i="6"/>
  <c r="I4" i="6"/>
  <c r="Z3" i="9" l="1"/>
  <c r="AA3" i="9"/>
  <c r="S14" i="2"/>
  <c r="S8" i="2"/>
  <c r="Q5" i="2"/>
  <c r="Q10" i="2"/>
  <c r="Q12" i="2"/>
  <c r="Q8" i="2"/>
  <c r="AB3" i="9" l="1"/>
  <c r="AC3" i="9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AI5" i="13"/>
  <c r="AG5" i="13"/>
  <c r="AE5" i="13"/>
  <c r="AC5" i="13"/>
  <c r="AA5" i="13"/>
  <c r="Y5" i="13"/>
  <c r="W5" i="13"/>
  <c r="U5" i="13"/>
  <c r="S5" i="13"/>
  <c r="Q5" i="13"/>
  <c r="O5" i="13"/>
  <c r="M5" i="13"/>
  <c r="K5" i="13"/>
  <c r="I5" i="13"/>
  <c r="G5" i="13"/>
  <c r="E5" i="13"/>
  <c r="G4" i="13"/>
  <c r="I4" i="13" s="1"/>
  <c r="K4" i="13" s="1"/>
  <c r="M4" i="13" s="1"/>
  <c r="O4" i="13" s="1"/>
  <c r="Q4" i="13" s="1"/>
  <c r="S4" i="13" s="1"/>
  <c r="U4" i="13" s="1"/>
  <c r="W4" i="13" s="1"/>
  <c r="Y4" i="13" s="1"/>
  <c r="AA4" i="13" s="1"/>
  <c r="AC4" i="13" s="1"/>
  <c r="AE4" i="13" s="1"/>
  <c r="AG4" i="13" s="1"/>
  <c r="I3" i="13"/>
  <c r="J3" i="13" s="1"/>
  <c r="H3" i="13"/>
  <c r="G3" i="13"/>
  <c r="F3" i="13"/>
  <c r="S7" i="3"/>
  <c r="S8" i="3"/>
  <c r="S9" i="3"/>
  <c r="S10" i="3"/>
  <c r="S11" i="3"/>
  <c r="S12" i="3"/>
  <c r="S13" i="3"/>
  <c r="S14" i="3"/>
  <c r="S15" i="3"/>
  <c r="S16" i="3"/>
  <c r="S17" i="3"/>
  <c r="S18" i="3"/>
  <c r="S6" i="3"/>
  <c r="Q7" i="3"/>
  <c r="Q8" i="3"/>
  <c r="Q9" i="3"/>
  <c r="Q10" i="3"/>
  <c r="Q11" i="3"/>
  <c r="Q12" i="3"/>
  <c r="Q13" i="3"/>
  <c r="Q14" i="3"/>
  <c r="Q15" i="3"/>
  <c r="Q16" i="3"/>
  <c r="Q17" i="3"/>
  <c r="Q18" i="3"/>
  <c r="Q6" i="3"/>
  <c r="O7" i="3"/>
  <c r="O8" i="3"/>
  <c r="O9" i="3"/>
  <c r="O10" i="3"/>
  <c r="O11" i="3"/>
  <c r="O12" i="3"/>
  <c r="O13" i="3"/>
  <c r="O14" i="3"/>
  <c r="O15" i="3"/>
  <c r="O16" i="3"/>
  <c r="O17" i="3"/>
  <c r="O18" i="3"/>
  <c r="O6" i="3"/>
  <c r="M7" i="3"/>
  <c r="M8" i="3"/>
  <c r="M9" i="3"/>
  <c r="M10" i="3"/>
  <c r="M11" i="3"/>
  <c r="M12" i="3"/>
  <c r="M13" i="3"/>
  <c r="M14" i="3"/>
  <c r="M15" i="3"/>
  <c r="M16" i="3"/>
  <c r="M17" i="3"/>
  <c r="M18" i="3"/>
  <c r="M6" i="3"/>
  <c r="K7" i="3"/>
  <c r="K8" i="3"/>
  <c r="K9" i="3"/>
  <c r="K10" i="3"/>
  <c r="K11" i="3"/>
  <c r="K12" i="3"/>
  <c r="K13" i="3"/>
  <c r="K14" i="3"/>
  <c r="K15" i="3"/>
  <c r="K16" i="3"/>
  <c r="K17" i="3"/>
  <c r="K18" i="3"/>
  <c r="K6" i="3"/>
  <c r="I7" i="3"/>
  <c r="I8" i="3"/>
  <c r="I9" i="3"/>
  <c r="I10" i="3"/>
  <c r="I11" i="3"/>
  <c r="I12" i="3"/>
  <c r="I13" i="3"/>
  <c r="I14" i="3"/>
  <c r="I15" i="3"/>
  <c r="I16" i="3"/>
  <c r="I17" i="3"/>
  <c r="I18" i="3"/>
  <c r="I6" i="3"/>
  <c r="G7" i="3"/>
  <c r="G8" i="3"/>
  <c r="G9" i="3"/>
  <c r="G10" i="3"/>
  <c r="G11" i="3"/>
  <c r="G12" i="3"/>
  <c r="G13" i="3"/>
  <c r="G14" i="3"/>
  <c r="G15" i="3"/>
  <c r="G16" i="3"/>
  <c r="G17" i="3"/>
  <c r="G18" i="3"/>
  <c r="G6" i="3"/>
  <c r="AD3" i="9" l="1"/>
  <c r="AE3" i="9"/>
  <c r="K3" i="13"/>
  <c r="AK5" i="3"/>
  <c r="AK4" i="3"/>
  <c r="AK3" i="3"/>
  <c r="AL3" i="3" s="1"/>
  <c r="AI5" i="3"/>
  <c r="AI4" i="3"/>
  <c r="AI3" i="3"/>
  <c r="AJ3" i="3" s="1"/>
  <c r="AG5" i="3"/>
  <c r="AG4" i="3"/>
  <c r="AG3" i="3"/>
  <c r="AH3" i="3" s="1"/>
  <c r="AE5" i="3"/>
  <c r="AE4" i="3"/>
  <c r="AE3" i="3"/>
  <c r="AF3" i="3" s="1"/>
  <c r="AC5" i="3"/>
  <c r="AC4" i="3"/>
  <c r="AC3" i="3"/>
  <c r="AD3" i="3" s="1"/>
  <c r="AA5" i="3"/>
  <c r="AA4" i="3"/>
  <c r="AA3" i="3"/>
  <c r="AB3" i="3" s="1"/>
  <c r="Y5" i="3"/>
  <c r="Y4" i="3"/>
  <c r="Y3" i="3"/>
  <c r="Z3" i="3" s="1"/>
  <c r="W5" i="3"/>
  <c r="W4" i="3"/>
  <c r="W3" i="3"/>
  <c r="X3" i="3" s="1"/>
  <c r="U5" i="3"/>
  <c r="U4" i="3"/>
  <c r="U3" i="3"/>
  <c r="V3" i="3" s="1"/>
  <c r="S5" i="3"/>
  <c r="S4" i="3"/>
  <c r="S3" i="3"/>
  <c r="T3" i="3" s="1"/>
  <c r="Q5" i="3"/>
  <c r="Q4" i="3"/>
  <c r="Q3" i="3"/>
  <c r="R3" i="3" s="1"/>
  <c r="O5" i="3"/>
  <c r="O4" i="3"/>
  <c r="O3" i="3"/>
  <c r="P3" i="3" s="1"/>
  <c r="M5" i="3"/>
  <c r="M4" i="3"/>
  <c r="M3" i="3"/>
  <c r="N3" i="3" s="1"/>
  <c r="K5" i="3"/>
  <c r="K4" i="3"/>
  <c r="K3" i="3"/>
  <c r="L3" i="3" s="1"/>
  <c r="I5" i="3"/>
  <c r="I4" i="3"/>
  <c r="I3" i="3"/>
  <c r="J3" i="3" s="1"/>
  <c r="AF3" i="9" l="1"/>
  <c r="AG3" i="9"/>
  <c r="L3" i="13"/>
  <c r="M3" i="13"/>
  <c r="AF3" i="2"/>
  <c r="AH3" i="2"/>
  <c r="AG5" i="2"/>
  <c r="AG4" i="2"/>
  <c r="AE5" i="2"/>
  <c r="AE4" i="2"/>
  <c r="AC5" i="2"/>
  <c r="AC4" i="2"/>
  <c r="AC3" i="2"/>
  <c r="AD3" i="2" s="1"/>
  <c r="AA5" i="2"/>
  <c r="AA4" i="2"/>
  <c r="AA3" i="2"/>
  <c r="AB3" i="2" s="1"/>
  <c r="Y5" i="2"/>
  <c r="Y4" i="2"/>
  <c r="Y3" i="2"/>
  <c r="Z3" i="2" s="1"/>
  <c r="W5" i="2"/>
  <c r="W4" i="2"/>
  <c r="W3" i="2"/>
  <c r="X3" i="2" s="1"/>
  <c r="U5" i="2"/>
  <c r="U4" i="2"/>
  <c r="U3" i="2"/>
  <c r="V3" i="2" s="1"/>
  <c r="S5" i="2"/>
  <c r="S4" i="2"/>
  <c r="S3" i="2"/>
  <c r="T3" i="2" s="1"/>
  <c r="Q4" i="2"/>
  <c r="Q3" i="2"/>
  <c r="R3" i="2" s="1"/>
  <c r="O5" i="2"/>
  <c r="O4" i="2"/>
  <c r="O3" i="2"/>
  <c r="P3" i="2" s="1"/>
  <c r="M5" i="2"/>
  <c r="M4" i="2"/>
  <c r="M3" i="2"/>
  <c r="N3" i="2" s="1"/>
  <c r="K5" i="2"/>
  <c r="K4" i="2"/>
  <c r="K3" i="2"/>
  <c r="L3" i="2" s="1"/>
  <c r="I5" i="2"/>
  <c r="I4" i="2"/>
  <c r="I3" i="2"/>
  <c r="J3" i="2" s="1"/>
  <c r="AH3" i="9" l="1"/>
  <c r="AI3" i="9"/>
  <c r="N3" i="13"/>
  <c r="O3" i="13"/>
  <c r="AJ3" i="9" l="1"/>
  <c r="Q3" i="13"/>
  <c r="P3" i="13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G5" i="10"/>
  <c r="E5" i="10"/>
  <c r="G4" i="10"/>
  <c r="H3" i="10"/>
  <c r="G3" i="10"/>
  <c r="F3" i="10"/>
  <c r="G5" i="9"/>
  <c r="E5" i="9"/>
  <c r="G4" i="9"/>
  <c r="I4" i="9" s="1"/>
  <c r="K4" i="9" s="1"/>
  <c r="M4" i="9" s="1"/>
  <c r="O4" i="9" s="1"/>
  <c r="Q4" i="9" s="1"/>
  <c r="S4" i="9" s="1"/>
  <c r="U4" i="9" s="1"/>
  <c r="W4" i="9" s="1"/>
  <c r="Y4" i="9" s="1"/>
  <c r="AA4" i="9" s="1"/>
  <c r="AC4" i="9" s="1"/>
  <c r="AE4" i="9" s="1"/>
  <c r="H3" i="9"/>
  <c r="F3" i="9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G5" i="8"/>
  <c r="E5" i="8"/>
  <c r="G4" i="8"/>
  <c r="I4" i="8" s="1"/>
  <c r="G3" i="8"/>
  <c r="F3" i="8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G5" i="7"/>
  <c r="E5" i="7"/>
  <c r="G4" i="7"/>
  <c r="G3" i="7"/>
  <c r="F3" i="7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G5" i="6"/>
  <c r="E5" i="6"/>
  <c r="G4" i="6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G5" i="5"/>
  <c r="E5" i="5"/>
  <c r="G4" i="5"/>
  <c r="G3" i="5"/>
  <c r="F3" i="5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G5" i="4"/>
  <c r="E5" i="4"/>
  <c r="G4" i="4"/>
  <c r="G3" i="4"/>
  <c r="F3" i="4"/>
  <c r="C18" i="3"/>
  <c r="B18" i="3"/>
  <c r="N16" i="14"/>
  <c r="G16" i="14" s="1"/>
  <c r="G17" i="15" s="1"/>
  <c r="C17" i="3"/>
  <c r="B17" i="3"/>
  <c r="N15" i="14"/>
  <c r="G15" i="14" s="1"/>
  <c r="G16" i="15" s="1"/>
  <c r="C16" i="3"/>
  <c r="B16" i="3"/>
  <c r="N14" i="14"/>
  <c r="G14" i="14" s="1"/>
  <c r="G15" i="15" s="1"/>
  <c r="C15" i="3"/>
  <c r="B15" i="3"/>
  <c r="N13" i="14"/>
  <c r="G13" i="14" s="1"/>
  <c r="G14" i="15" s="1"/>
  <c r="C14" i="3"/>
  <c r="B14" i="3"/>
  <c r="N12" i="14"/>
  <c r="G12" i="14" s="1"/>
  <c r="C13" i="3"/>
  <c r="B13" i="3"/>
  <c r="N11" i="14"/>
  <c r="G11" i="14" s="1"/>
  <c r="G12" i="15" s="1"/>
  <c r="C12" i="3"/>
  <c r="B12" i="3"/>
  <c r="N10" i="14"/>
  <c r="G10" i="14" s="1"/>
  <c r="G11" i="15" s="1"/>
  <c r="C11" i="3"/>
  <c r="B11" i="3"/>
  <c r="N9" i="14"/>
  <c r="G9" i="14" s="1"/>
  <c r="G10" i="15" s="1"/>
  <c r="C10" i="3"/>
  <c r="B10" i="3"/>
  <c r="N8" i="14"/>
  <c r="G8" i="14" s="1"/>
  <c r="G9" i="15" s="1"/>
  <c r="C9" i="3"/>
  <c r="B9" i="3"/>
  <c r="N7" i="14"/>
  <c r="G7" i="14" s="1"/>
  <c r="G8" i="15" s="1"/>
  <c r="C8" i="3"/>
  <c r="B8" i="3"/>
  <c r="N6" i="14"/>
  <c r="G6" i="14" s="1"/>
  <c r="G7" i="15" s="1"/>
  <c r="C7" i="3"/>
  <c r="B7" i="3"/>
  <c r="N5" i="14"/>
  <c r="G5" i="14" s="1"/>
  <c r="C6" i="3"/>
  <c r="B6" i="3"/>
  <c r="G5" i="3"/>
  <c r="E5" i="3"/>
  <c r="G4" i="3"/>
  <c r="H3" i="3"/>
  <c r="G3" i="3"/>
  <c r="F3" i="3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G5" i="2"/>
  <c r="E5" i="2"/>
  <c r="G4" i="2"/>
  <c r="G3" i="2"/>
  <c r="H3" i="2" s="1"/>
  <c r="F3" i="2"/>
  <c r="G13" i="15" l="1"/>
  <c r="G6" i="15"/>
  <c r="H13" i="14"/>
  <c r="H14" i="15" s="1"/>
  <c r="H12" i="14"/>
  <c r="H13" i="15" s="1"/>
  <c r="H7" i="14"/>
  <c r="H8" i="15" s="1"/>
  <c r="H11" i="14"/>
  <c r="H12" i="15" s="1"/>
  <c r="H15" i="14"/>
  <c r="H16" i="15" s="1"/>
  <c r="H9" i="14"/>
  <c r="H10" i="15" s="1"/>
  <c r="H8" i="14"/>
  <c r="H9" i="15" s="1"/>
  <c r="H16" i="14"/>
  <c r="H17" i="15" s="1"/>
  <c r="H6" i="14"/>
  <c r="H7" i="15" s="1"/>
  <c r="H10" i="14"/>
  <c r="H11" i="15" s="1"/>
  <c r="H14" i="14"/>
  <c r="H15" i="15" s="1"/>
  <c r="H5" i="14"/>
  <c r="H3" i="8"/>
  <c r="I3" i="8"/>
  <c r="H3" i="7"/>
  <c r="I3" i="7"/>
  <c r="H3" i="5"/>
  <c r="I3" i="5"/>
  <c r="H3" i="4"/>
  <c r="I3" i="4"/>
  <c r="H3" i="6"/>
  <c r="I3" i="6"/>
  <c r="R3" i="13"/>
  <c r="S3" i="13"/>
  <c r="H6" i="15" l="1"/>
  <c r="J3" i="8"/>
  <c r="J3" i="7"/>
  <c r="K3" i="7"/>
  <c r="AO3" i="9"/>
  <c r="J3" i="5"/>
  <c r="K3" i="5"/>
  <c r="J3" i="4"/>
  <c r="K3" i="4"/>
  <c r="J3" i="6"/>
  <c r="K3" i="6"/>
  <c r="T3" i="13"/>
  <c r="U3" i="13"/>
  <c r="L3" i="7" l="1"/>
  <c r="M3" i="7"/>
  <c r="AP3" i="9"/>
  <c r="AQ3" i="9"/>
  <c r="L3" i="5"/>
  <c r="M3" i="5"/>
  <c r="L3" i="4"/>
  <c r="M3" i="4"/>
  <c r="L3" i="6"/>
  <c r="M3" i="6"/>
  <c r="V3" i="13"/>
  <c r="W3" i="13"/>
  <c r="N3" i="7" l="1"/>
  <c r="O3" i="7"/>
  <c r="AR3" i="9"/>
  <c r="AS3" i="9"/>
  <c r="N3" i="5"/>
  <c r="O3" i="5"/>
  <c r="N3" i="4"/>
  <c r="O3" i="4"/>
  <c r="N3" i="6"/>
  <c r="O3" i="6"/>
  <c r="X3" i="13"/>
  <c r="Y3" i="13"/>
  <c r="P3" i="7" l="1"/>
  <c r="Q3" i="7"/>
  <c r="AT3" i="9"/>
  <c r="AU3" i="9"/>
  <c r="AV3" i="9" s="1"/>
  <c r="P3" i="5"/>
  <c r="Q3" i="5"/>
  <c r="P3" i="4"/>
  <c r="Q3" i="4"/>
  <c r="P3" i="6"/>
  <c r="Q3" i="6"/>
  <c r="Z3" i="13"/>
  <c r="AA3" i="13"/>
  <c r="R3" i="7" l="1"/>
  <c r="S3" i="7"/>
  <c r="R3" i="5"/>
  <c r="S3" i="5"/>
  <c r="R3" i="4"/>
  <c r="S3" i="4"/>
  <c r="R3" i="6"/>
  <c r="S3" i="6"/>
  <c r="AC3" i="13"/>
  <c r="AB3" i="13"/>
  <c r="T3" i="7" l="1"/>
  <c r="U3" i="7"/>
  <c r="T3" i="5"/>
  <c r="U3" i="5"/>
  <c r="T3" i="4"/>
  <c r="U3" i="4"/>
  <c r="T3" i="6"/>
  <c r="U3" i="6"/>
  <c r="AD3" i="13"/>
  <c r="AE3" i="13"/>
  <c r="V3" i="7" l="1"/>
  <c r="W3" i="7"/>
  <c r="V3" i="5"/>
  <c r="W3" i="5"/>
  <c r="V3" i="4"/>
  <c r="W3" i="4"/>
  <c r="V3" i="6"/>
  <c r="W3" i="6"/>
  <c r="AF3" i="13"/>
  <c r="AG3" i="13"/>
  <c r="X3" i="7" l="1"/>
  <c r="Y3" i="7"/>
  <c r="X3" i="5"/>
  <c r="Y3" i="5"/>
  <c r="X3" i="4"/>
  <c r="Y3" i="4"/>
  <c r="X3" i="6"/>
  <c r="Y3" i="6"/>
  <c r="AH3" i="13"/>
  <c r="Z3" i="7" l="1"/>
  <c r="AA3" i="7"/>
  <c r="Z3" i="5"/>
  <c r="AA3" i="5"/>
  <c r="Z3" i="4"/>
  <c r="AA3" i="4"/>
  <c r="AB3" i="4" s="1"/>
  <c r="Z3" i="6"/>
  <c r="AA3" i="6"/>
  <c r="AB3" i="7" l="1"/>
  <c r="AB3" i="5"/>
  <c r="AC3" i="5"/>
  <c r="AB3" i="6"/>
  <c r="AC3" i="6"/>
  <c r="AD3" i="5" l="1"/>
  <c r="AE3" i="5"/>
  <c r="AD3" i="6"/>
  <c r="AE3" i="6"/>
  <c r="AF3" i="5" l="1"/>
  <c r="AG3" i="5"/>
  <c r="AF3" i="6"/>
  <c r="AG3" i="6"/>
  <c r="AH3" i="6" s="1"/>
  <c r="AH3" i="5" l="1"/>
  <c r="AI3" i="5"/>
  <c r="AJ3" i="5" l="1"/>
  <c r="AK3" i="5"/>
  <c r="AL3" i="5" l="1"/>
  <c r="AM3" i="5"/>
  <c r="AN3" i="5" l="1"/>
  <c r="AO3" i="5"/>
  <c r="AP3" i="5" l="1"/>
  <c r="AQ3" i="5"/>
  <c r="AR3" i="5" l="1"/>
  <c r="AS3" i="5"/>
  <c r="AT3" i="5" l="1"/>
  <c r="AU3" i="5"/>
  <c r="AV3" i="5" s="1"/>
  <c r="V17" i="15" l="1"/>
  <c r="Z17" i="15"/>
  <c r="V10" i="15"/>
  <c r="Z10" i="15"/>
  <c r="P16" i="15"/>
  <c r="P9" i="15"/>
  <c r="J9" i="15"/>
  <c r="P13" i="15"/>
  <c r="Z14" i="15" s="1"/>
  <c r="P17" i="15"/>
  <c r="W17" i="15" l="1"/>
  <c r="V12" i="15"/>
  <c r="Z12" i="15"/>
  <c r="Z18" i="15"/>
  <c r="V15" i="15"/>
  <c r="W15" i="15" s="1"/>
  <c r="Z15" i="15"/>
  <c r="AA15" i="15" s="1"/>
  <c r="V16" i="15"/>
  <c r="W16" i="15" s="1"/>
  <c r="Z16" i="15"/>
  <c r="AA16" i="15" s="1"/>
  <c r="V18" i="15"/>
  <c r="V14" i="15"/>
  <c r="P11" i="15"/>
  <c r="J11" i="15"/>
  <c r="P14" i="15"/>
  <c r="AA17" i="15"/>
  <c r="P15" i="15"/>
  <c r="J15" i="15"/>
  <c r="W14" i="15" l="1"/>
  <c r="I16" i="15"/>
  <c r="J16" i="15" s="1"/>
  <c r="I17" i="15"/>
  <c r="J17" i="15" s="1"/>
  <c r="P10" i="15"/>
  <c r="W10" i="15" s="1"/>
  <c r="AA14" i="15"/>
  <c r="I15" i="15"/>
  <c r="Z11" i="15" l="1"/>
  <c r="AA11" i="15" s="1"/>
  <c r="V11" i="15"/>
  <c r="W11" i="15" s="1"/>
  <c r="P8" i="15"/>
  <c r="V9" i="15" s="1"/>
  <c r="W9" i="15" s="1"/>
  <c r="I14" i="15"/>
  <c r="J14" i="15" s="1"/>
  <c r="AA10" i="15"/>
  <c r="I11" i="15" l="1"/>
  <c r="Z9" i="15"/>
  <c r="AA9" i="15" s="1"/>
  <c r="I9" i="15" s="1"/>
  <c r="I10" i="15"/>
  <c r="J10" i="15" s="1"/>
  <c r="P7" i="15"/>
  <c r="Z8" i="15" s="1"/>
  <c r="AA8" i="15" s="1"/>
  <c r="V8" i="15" l="1"/>
  <c r="W8" i="15" s="1"/>
  <c r="I8" i="15" s="1"/>
  <c r="J8" i="15" s="1"/>
  <c r="V13" i="15"/>
  <c r="W13" i="15" s="1"/>
  <c r="Z13" i="15"/>
  <c r="AA13" i="15" s="1"/>
  <c r="AA12" i="15"/>
  <c r="P12" i="15"/>
  <c r="W12" i="15"/>
  <c r="J12" i="15"/>
  <c r="I13" i="15" l="1"/>
  <c r="J13" i="15" s="1"/>
  <c r="I12" i="15"/>
  <c r="P6" i="15"/>
  <c r="V7" i="15" s="1"/>
  <c r="W7" i="15" s="1"/>
  <c r="Z7" i="15" l="1"/>
  <c r="AA7" i="15" s="1"/>
  <c r="I7" i="15" s="1"/>
  <c r="J7" i="15" s="1"/>
  <c r="W18" i="15" l="1"/>
  <c r="AA18" i="15"/>
  <c r="I18" i="15" l="1"/>
  <c r="L17" i="14"/>
  <c r="L4" i="14" s="1"/>
  <c r="J17" i="14"/>
  <c r="J4" i="14" s="1"/>
  <c r="N17" i="14"/>
  <c r="N4" i="14"/>
  <c r="R17" i="14"/>
  <c r="R4" i="14" s="1"/>
  <c r="G17" i="14"/>
  <c r="H17" i="14" s="1"/>
  <c r="G4" i="14" l="1"/>
  <c r="H18" i="15"/>
  <c r="H4" i="14"/>
  <c r="G18" i="15"/>
  <c r="G5" i="15" s="1"/>
  <c r="H5" i="15" l="1"/>
  <c r="P18" i="15"/>
  <c r="J18" i="15"/>
  <c r="Z6" i="15" l="1"/>
  <c r="AA6" i="15" s="1"/>
  <c r="AA5" i="15" s="1"/>
  <c r="V6" i="15"/>
  <c r="W6" i="15" s="1"/>
  <c r="I6" i="15" l="1"/>
  <c r="W5" i="15"/>
  <c r="J6" i="15" l="1"/>
  <c r="J5" i="15" s="1"/>
  <c r="I5" i="15"/>
  <c r="D6" i="10"/>
  <c r="D17" i="10"/>
  <c r="D15" i="10"/>
  <c r="D12" i="10"/>
  <c r="D9" i="10"/>
  <c r="D11" i="10"/>
  <c r="D14" i="10"/>
  <c r="D10" i="10"/>
  <c r="D18" i="10"/>
  <c r="D8" i="10"/>
  <c r="D7" i="10"/>
  <c r="D16" i="10"/>
  <c r="D13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PRESUPUESTO</author>
  </authors>
  <commentList>
    <comment ref="Q2" authorId="0" shapeId="0" xr:uid="{4929EAFE-9C0C-4E30-822B-051B758E41BA}">
      <text>
        <r>
          <rPr>
            <b/>
            <sz val="9"/>
            <color indexed="81"/>
            <rFont val="Tahoma"/>
            <family val="2"/>
          </rPr>
          <t>ANALISTA PRESUPUESTO:</t>
        </r>
        <r>
          <rPr>
            <sz val="9"/>
            <color indexed="81"/>
            <rFont val="Tahoma"/>
            <family val="2"/>
          </rPr>
          <t xml:space="preserve">
A PARTIR DE LA ESTIMACIÓN 32
</t>
        </r>
      </text>
    </comment>
    <comment ref="R2" authorId="0" shapeId="0" xr:uid="{40C4129D-61CC-49B1-B882-F63BC67C9643}">
      <text>
        <r>
          <rPr>
            <b/>
            <sz val="9"/>
            <color indexed="81"/>
            <rFont val="Tahoma"/>
            <family val="2"/>
          </rPr>
          <t>ANALISTA PRESUPUESTO:</t>
        </r>
        <r>
          <rPr>
            <sz val="9"/>
            <color indexed="81"/>
            <rFont val="Tahoma"/>
            <family val="2"/>
          </rPr>
          <t xml:space="preserve">
A PARTIR DE LA ESTIMACIÓN 32</t>
        </r>
      </text>
    </comment>
    <comment ref="W6" authorId="0" shapeId="0" xr:uid="{9C36E200-614C-49F4-AC16-BD4073AE8ABB}">
      <text>
        <r>
          <rPr>
            <b/>
            <sz val="9"/>
            <color indexed="81"/>
            <rFont val="Tahoma"/>
            <family val="2"/>
          </rPr>
          <t>ANALISTA PRESUPUESTO:</t>
        </r>
        <r>
          <rPr>
            <sz val="9"/>
            <color indexed="81"/>
            <rFont val="Tahoma"/>
            <family val="2"/>
          </rPr>
          <t xml:space="preserve">
DESCUENTO PORQUE NO ES SUFICIENTE LO QUE SE TIENE PENDIENTE POR COBRAR EN EL CONTRATO 14</t>
        </r>
      </text>
    </comment>
    <comment ref="V20" authorId="0" shapeId="0" xr:uid="{FC37131D-270D-44A2-A2CB-4BF4DE501B6C}">
      <text>
        <r>
          <rPr>
            <b/>
            <sz val="9"/>
            <color indexed="81"/>
            <rFont val="Tahoma"/>
            <family val="2"/>
          </rPr>
          <t>ANALISTA PRESUPUESTO:</t>
        </r>
        <r>
          <rPr>
            <sz val="9"/>
            <color indexed="81"/>
            <rFont val="Tahoma"/>
            <family val="2"/>
          </rPr>
          <t xml:space="preserve">
FORMULA PARA CALCULAR EL % DE DESCUENTO</t>
        </r>
      </text>
    </comment>
    <comment ref="Z20" authorId="0" shapeId="0" xr:uid="{724078F8-B9EB-4EB3-85B6-63DC051B52E1}">
      <text>
        <r>
          <rPr>
            <b/>
            <sz val="9"/>
            <color indexed="81"/>
            <rFont val="Tahoma"/>
            <family val="2"/>
          </rPr>
          <t>ANALISTA PRESUPUESTO:</t>
        </r>
        <r>
          <rPr>
            <sz val="9"/>
            <color indexed="81"/>
            <rFont val="Tahoma"/>
            <family val="2"/>
          </rPr>
          <t xml:space="preserve">
FORMULA PARA CALCULAR EL % DE DESCUENTO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PRESUPUESTO</author>
  </authors>
  <commentList>
    <comment ref="Q8" authorId="0" shapeId="0" xr:uid="{EAEB3279-3B3D-424D-8ACF-6309EE75C7F4}">
      <text>
        <r>
          <rPr>
            <b/>
            <sz val="9"/>
            <color indexed="81"/>
            <rFont val="Tahoma"/>
            <family val="2"/>
          </rPr>
          <t>ANALISTA PRESUPUESTO:</t>
        </r>
        <r>
          <rPr>
            <sz val="9"/>
            <color indexed="81"/>
            <rFont val="Tahoma"/>
            <family val="2"/>
          </rPr>
          <t xml:space="preserve">
NO SE PAGO</t>
        </r>
      </text>
    </comment>
    <comment ref="E12" authorId="0" shapeId="0" xr:uid="{0C8A942D-50A0-49E0-AE0B-B70C80F26F9C}">
      <text>
        <r>
          <rPr>
            <b/>
            <sz val="9"/>
            <color indexed="81"/>
            <rFont val="Tahoma"/>
            <family val="2"/>
          </rPr>
          <t>ANALISTA PRESUPUESTO:</t>
        </r>
        <r>
          <rPr>
            <sz val="9"/>
            <color indexed="81"/>
            <rFont val="Tahoma"/>
            <family val="2"/>
          </rPr>
          <t xml:space="preserve">
SE PAGO DE MAS POR CONFUSIÓN EN LA HOJA, SE PAGARON $230,178.80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tc={E80E118D-BC93-4B45-B7A5-37095A8F1CB0}</author>
  </authors>
  <commentList>
    <comment ref="K10" authorId="0" shapeId="0" xr:uid="{E80E118D-BC93-4B45-B7A5-37095A8F1CB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SI SE PAGO</t>
      </text>
    </comment>
  </commentList>
</comments>
</file>

<file path=xl/sharedStrings.xml><?xml version="1.0" encoding="utf-8"?>
<sst xmlns="http://schemas.openxmlformats.org/spreadsheetml/2006/main" count="455" uniqueCount="59">
  <si>
    <t>CONTRATO</t>
  </si>
  <si>
    <t>CONTRATISTA</t>
  </si>
  <si>
    <t>MANZANA</t>
  </si>
  <si>
    <t>DEL</t>
  </si>
  <si>
    <t>AL</t>
  </si>
  <si>
    <t>ACUMULADO</t>
  </si>
  <si>
    <t>COMARCA</t>
  </si>
  <si>
    <t>VALMAR</t>
  </si>
  <si>
    <t>COMBAG</t>
  </si>
  <si>
    <t>PREPA (VIGUETA Y BOVEDILLA)</t>
  </si>
  <si>
    <t>PREPA (BLOCK)</t>
  </si>
  <si>
    <t>IBM</t>
  </si>
  <si>
    <t>DAC</t>
  </si>
  <si>
    <t>MEXLAM</t>
  </si>
  <si>
    <t>GRAFFITI</t>
  </si>
  <si>
    <t xml:space="preserve"> </t>
  </si>
  <si>
    <t>COINVI</t>
  </si>
  <si>
    <t>OBREGÓN</t>
  </si>
  <si>
    <t>POWER</t>
  </si>
  <si>
    <t>FASAR</t>
  </si>
  <si>
    <t>29 Y 30</t>
  </si>
  <si>
    <t>ULIGAB</t>
  </si>
  <si>
    <t>ANGEL ALAMEDA</t>
  </si>
  <si>
    <t>CONSORCIO RM</t>
  </si>
  <si>
    <t>COBYPSA</t>
  </si>
  <si>
    <t>DEL LT</t>
  </si>
  <si>
    <t>AL LT</t>
  </si>
  <si>
    <t>ACERO</t>
  </si>
  <si>
    <t>BLOCK</t>
  </si>
  <si>
    <t>CONCRETO</t>
  </si>
  <si>
    <t>PINTURA</t>
  </si>
  <si>
    <t>VIGUETA Y BOVEDILLA</t>
  </si>
  <si>
    <t>ASIGNADO</t>
  </si>
  <si>
    <t>ANTICIPO PRIVADA SAN SEBASTIÁN</t>
  </si>
  <si>
    <t>1 AL 5</t>
  </si>
  <si>
    <t>1 AL 12</t>
  </si>
  <si>
    <t>ELABORACIÓN</t>
  </si>
  <si>
    <t>TOTAL
ASIGNADO</t>
  </si>
  <si>
    <t>TOTAL
ACUMULADO</t>
  </si>
  <si>
    <t>TOTAL
DISPONIBLE</t>
  </si>
  <si>
    <t>MZA</t>
  </si>
  <si>
    <t>DEL 
LT</t>
  </si>
  <si>
    <t>AL 
LT</t>
  </si>
  <si>
    <t>ANTICIPOS</t>
  </si>
  <si>
    <t>DESCONTADO</t>
  </si>
  <si>
    <t>PENDIENTE DE 
DESCONTAR</t>
  </si>
  <si>
    <t>CONTRATADO</t>
  </si>
  <si>
    <t>PENDIENTE DE ESTIMAR</t>
  </si>
  <si>
    <t>TOTAL DE RETENER FG</t>
  </si>
  <si>
    <t>PENDIENTE DE COBRAR</t>
  </si>
  <si>
    <t>SE NECESITA 
USAR FG</t>
  </si>
  <si>
    <t>DISPONIBLE 
SIN FG</t>
  </si>
  <si>
    <t>DISPONIBLE
CON FG</t>
  </si>
  <si>
    <t>ESTIMADO</t>
  </si>
  <si>
    <t>% DE DESC</t>
  </si>
  <si>
    <t>DESCUENTO</t>
  </si>
  <si>
    <t>ADICIONALES</t>
  </si>
  <si>
    <t>DESCUENTOS POR EXCEDENTE DE ANTICIPOS PRIVADA SAN SEBASTIÁN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</si>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</sst>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00"/>
    <numFmt numFmtId="165" formatCode="&quot;ESTIMACIÓN&quot;\ 00"/>
    <numFmt numFmtId="166" formatCode="&quot;SEMANA&quot;\ 00"/>
    <numFmt numFmtId="167" formatCode="&quot;BLOQUE&quot;\ 00"/>
    <numFmt numFmtId="168" formatCode="&quot;$&quot;#,##0.00"/>
    <numFmt numFmtId="169" formatCode="&quot;ESTIMACIÓN &quot;@"/>
    <numFmt numFmtId="170" formatCode="0.0000%"/>
  </numFmts>
  <fonts count="22" x14ac:knownFonts="1">
    <font>
      <sz val="9"/>
      <color theme="1"/>
      <name val="Arial Nova"/>
      <family val="2"/>
    </font>
    <font>
      <sz val="9"/>
      <color theme="1"/>
      <name val="Arial Nova"/>
      <family val="2"/>
    </font>
    <font>
      <b/>
      <sz val="9"/>
      <color theme="1"/>
      <name val="Arial Nova"/>
      <family val="2"/>
    </font>
    <font>
      <sz val="9"/>
      <color theme="0"/>
      <name val="Arial Nova"/>
      <family val="2"/>
    </font>
    <font>
      <b/>
      <sz val="10"/>
      <color theme="0"/>
      <name val="Arial Nova"/>
      <family val="2"/>
    </font>
    <font>
      <b/>
      <sz val="9"/>
      <color theme="0" tint="-0.499984740745262"/>
      <name val="Arial Nova"/>
      <family val="2"/>
    </font>
    <font>
      <sz val="10"/>
      <color theme="1"/>
      <name val="Arial Nova"/>
      <family val="2"/>
    </font>
    <font>
      <b/>
      <sz val="10"/>
      <color theme="1"/>
      <name val="Arial Nova"/>
      <family val="2"/>
    </font>
    <font>
      <b/>
      <sz val="16"/>
      <color theme="2" tint="-0.499984740745262"/>
      <name val="Arial Nov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0"/>
      <name val="Arial Nova"/>
      <family val="2"/>
    </font>
    <font>
      <b/>
      <sz val="10"/>
      <color theme="0" tint="-0.499984740745262"/>
      <name val="Arial Nova"/>
      <family val="2"/>
    </font>
    <font>
      <sz val="10"/>
      <color theme="0" tint="-0.499984740745262"/>
      <name val="Arial Nova"/>
      <family val="2"/>
    </font>
    <font>
      <b/>
      <sz val="10"/>
      <color theme="2" tint="-0.749992370372631"/>
      <name val="Arial Nova"/>
      <family val="2"/>
    </font>
    <font>
      <sz val="12"/>
      <color rgb="FF002060"/>
      <name val="Arial Nova"/>
      <family val="2"/>
    </font>
    <font>
      <b/>
      <sz val="10"/>
      <color theme="1" tint="0.249977111117893"/>
      <name val="Arial Nova"/>
      <family val="2"/>
    </font>
    <font>
      <b/>
      <sz val="9"/>
      <color theme="1" tint="0.249977111117893"/>
      <name val="Arial Nova"/>
      <family val="2"/>
    </font>
    <font>
      <b/>
      <sz val="9"/>
      <color theme="2" tint="-0.499984740745262"/>
      <name val="Arial Nova"/>
      <family val="2"/>
    </font>
    <font>
      <sz val="9"/>
      <color theme="2" tint="-0.749992370372631"/>
      <name val="Arial Nova"/>
      <family val="2"/>
    </font>
    <font>
      <b/>
      <sz val="9"/>
      <color theme="2" tint="-0.749992370372631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theme="1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theme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theme="1"/>
      </right>
      <top/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theme="1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theme="1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theme="1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theme="1"/>
      </right>
      <top style="double">
        <color indexed="64"/>
      </top>
      <bottom style="double">
        <color indexed="64"/>
      </bottom>
      <diagonal/>
    </border>
    <border>
      <left style="double">
        <color theme="2" tint="-0.749992370372631"/>
      </left>
      <right style="double">
        <color theme="2" tint="-0.749992370372631"/>
      </right>
      <top style="double">
        <color theme="2" tint="-0.749992370372631"/>
      </top>
      <bottom style="double">
        <color theme="2" tint="-0.74999237037263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1" fillId="0" borderId="0"/>
    <xf numFmtId="44" fontId="1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44" fontId="2" fillId="0" borderId="2" xfId="1" applyFont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14" fontId="3" fillId="2" borderId="13" xfId="0" applyNumberFormat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44" fontId="2" fillId="0" borderId="19" xfId="1" applyFont="1" applyBorder="1" applyAlignment="1">
      <alignment horizontal="center" vertical="center"/>
    </xf>
    <xf numFmtId="44" fontId="0" fillId="0" borderId="0" xfId="0" applyNumberFormat="1" applyAlignment="1">
      <alignment vertical="center"/>
    </xf>
    <xf numFmtId="0" fontId="12" fillId="6" borderId="25" xfId="2" applyFont="1" applyFill="1" applyBorder="1" applyAlignment="1">
      <alignment vertical="center"/>
    </xf>
    <xf numFmtId="0" fontId="12" fillId="6" borderId="25" xfId="2" applyFont="1" applyFill="1" applyBorder="1" applyAlignment="1">
      <alignment horizontal="center" vertical="center"/>
    </xf>
    <xf numFmtId="44" fontId="1" fillId="0" borderId="0" xfId="2" applyNumberFormat="1" applyFont="1" applyAlignment="1">
      <alignment horizontal="center" vertical="center"/>
    </xf>
    <xf numFmtId="0" fontId="1" fillId="0" borderId="0" xfId="2" applyFont="1" applyAlignment="1">
      <alignment vertical="center"/>
    </xf>
    <xf numFmtId="44" fontId="14" fillId="0" borderId="0" xfId="2" applyNumberFormat="1" applyFont="1" applyAlignment="1">
      <alignment horizontal="center" vertical="center"/>
    </xf>
    <xf numFmtId="0" fontId="14" fillId="0" borderId="0" xfId="2" applyFont="1" applyAlignment="1">
      <alignment vertical="center"/>
    </xf>
    <xf numFmtId="44" fontId="15" fillId="0" borderId="2" xfId="3" applyFont="1" applyFill="1" applyBorder="1" applyAlignment="1" applyProtection="1">
      <alignment horizontal="center" vertical="center"/>
    </xf>
    <xf numFmtId="44" fontId="15" fillId="0" borderId="2" xfId="3" applyFont="1" applyFill="1" applyBorder="1" applyAlignment="1" applyProtection="1">
      <alignment horizontal="center" vertical="center"/>
      <protection locked="0"/>
    </xf>
    <xf numFmtId="44" fontId="16" fillId="0" borderId="0" xfId="2" applyNumberFormat="1" applyFont="1" applyAlignment="1">
      <alignment horizontal="center" vertical="center"/>
    </xf>
    <xf numFmtId="0" fontId="16" fillId="0" borderId="0" xfId="2" applyFont="1" applyAlignment="1">
      <alignment vertical="center"/>
    </xf>
    <xf numFmtId="164" fontId="2" fillId="0" borderId="2" xfId="2" applyNumberFormat="1" applyFont="1" applyBorder="1" applyAlignment="1">
      <alignment horizontal="center" vertical="center"/>
    </xf>
    <xf numFmtId="0" fontId="2" fillId="0" borderId="2" xfId="2" applyFont="1" applyBorder="1" applyAlignment="1">
      <alignment horizontal="left" vertical="center"/>
    </xf>
    <xf numFmtId="0" fontId="2" fillId="0" borderId="2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44" fontId="1" fillId="0" borderId="2" xfId="3" applyFont="1" applyFill="1" applyBorder="1" applyAlignment="1" applyProtection="1">
      <alignment horizontal="center" vertical="center"/>
    </xf>
    <xf numFmtId="44" fontId="1" fillId="0" borderId="2" xfId="3" applyFont="1" applyFill="1" applyBorder="1" applyAlignment="1" applyProtection="1">
      <alignment horizontal="center" vertical="center"/>
      <protection locked="0"/>
    </xf>
    <xf numFmtId="164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2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44" fontId="1" fillId="0" borderId="0" xfId="3" applyFont="1" applyFill="1" applyBorder="1" applyAlignment="1" applyProtection="1">
      <alignment horizontal="center" vertical="center"/>
    </xf>
    <xf numFmtId="44" fontId="1" fillId="0" borderId="0" xfId="3" applyFont="1" applyFill="1" applyBorder="1" applyAlignment="1" applyProtection="1">
      <alignment horizontal="center" vertical="center"/>
      <protection locked="0"/>
    </xf>
    <xf numFmtId="44" fontId="1" fillId="0" borderId="0" xfId="3" applyFont="1" applyAlignment="1" applyProtection="1">
      <alignment vertical="center"/>
    </xf>
    <xf numFmtId="44" fontId="1" fillId="0" borderId="0" xfId="2" applyNumberFormat="1" applyFont="1" applyAlignment="1">
      <alignment vertical="center"/>
    </xf>
    <xf numFmtId="0" fontId="1" fillId="0" borderId="0" xfId="2" applyFont="1" applyAlignment="1" applyProtection="1">
      <alignment vertical="center"/>
      <protection locked="0"/>
    </xf>
    <xf numFmtId="0" fontId="1" fillId="0" borderId="0" xfId="2" applyFont="1" applyAlignment="1" applyProtection="1">
      <alignment horizontal="center" vertical="center"/>
      <protection locked="0"/>
    </xf>
    <xf numFmtId="0" fontId="12" fillId="6" borderId="24" xfId="2" applyFont="1" applyFill="1" applyBorder="1" applyAlignment="1">
      <alignment horizontal="center" vertical="center"/>
    </xf>
    <xf numFmtId="168" fontId="17" fillId="8" borderId="33" xfId="3" applyNumberFormat="1" applyFont="1" applyFill="1" applyBorder="1" applyAlignment="1" applyProtection="1">
      <alignment horizontal="center" vertical="center"/>
      <protection hidden="1"/>
    </xf>
    <xf numFmtId="44" fontId="18" fillId="8" borderId="34" xfId="3" applyFont="1" applyFill="1" applyBorder="1" applyAlignment="1" applyProtection="1">
      <alignment horizontal="center" vertical="center"/>
      <protection hidden="1"/>
    </xf>
    <xf numFmtId="44" fontId="19" fillId="8" borderId="35" xfId="3" applyFont="1" applyFill="1" applyBorder="1" applyAlignment="1" applyProtection="1">
      <alignment horizontal="center" vertical="center"/>
      <protection hidden="1"/>
    </xf>
    <xf numFmtId="44" fontId="19" fillId="8" borderId="36" xfId="1" applyFont="1" applyFill="1" applyBorder="1" applyAlignment="1" applyProtection="1">
      <alignment horizontal="center" vertical="center"/>
      <protection hidden="1"/>
    </xf>
    <xf numFmtId="44" fontId="18" fillId="8" borderId="37" xfId="3" applyFont="1" applyFill="1" applyBorder="1" applyAlignment="1" applyProtection="1">
      <alignment horizontal="center" vertical="center"/>
      <protection hidden="1"/>
    </xf>
    <xf numFmtId="44" fontId="19" fillId="8" borderId="38" xfId="3" applyFont="1" applyFill="1" applyBorder="1" applyAlignment="1" applyProtection="1">
      <alignment horizontal="center" vertical="center"/>
      <protection hidden="1"/>
    </xf>
    <xf numFmtId="44" fontId="19" fillId="8" borderId="6" xfId="1" applyFont="1" applyFill="1" applyBorder="1" applyAlignment="1" applyProtection="1">
      <alignment horizontal="center" vertical="center"/>
      <protection hidden="1"/>
    </xf>
    <xf numFmtId="44" fontId="1" fillId="0" borderId="0" xfId="3" applyFont="1" applyFill="1" applyBorder="1" applyAlignment="1" applyProtection="1">
      <alignment horizontal="center" vertical="center"/>
      <protection hidden="1"/>
    </xf>
    <xf numFmtId="0" fontId="1" fillId="0" borderId="0" xfId="2" applyFont="1" applyAlignment="1" applyProtection="1">
      <alignment horizontal="center" vertical="center"/>
      <protection hidden="1"/>
    </xf>
    <xf numFmtId="0" fontId="1" fillId="0" borderId="0" xfId="2" applyFont="1" applyAlignment="1" applyProtection="1">
      <alignment vertical="center"/>
      <protection hidden="1"/>
    </xf>
    <xf numFmtId="0" fontId="12" fillId="6" borderId="0" xfId="2" applyFont="1" applyFill="1" applyAlignment="1" applyProtection="1">
      <alignment horizontal="left" vertical="center"/>
      <protection hidden="1"/>
    </xf>
    <xf numFmtId="0" fontId="12" fillId="6" borderId="0" xfId="2" applyFont="1" applyFill="1" applyAlignment="1" applyProtection="1">
      <alignment vertical="center" wrapText="1"/>
      <protection hidden="1"/>
    </xf>
    <xf numFmtId="0" fontId="12" fillId="6" borderId="0" xfId="2" applyFont="1" applyFill="1" applyAlignment="1" applyProtection="1">
      <alignment horizontal="center" vertical="center" wrapText="1"/>
      <protection hidden="1"/>
    </xf>
    <xf numFmtId="0" fontId="20" fillId="6" borderId="0" xfId="0" applyFont="1" applyFill="1" applyAlignment="1">
      <alignment vertical="center"/>
    </xf>
    <xf numFmtId="0" fontId="20" fillId="6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44" fontId="20" fillId="5" borderId="0" xfId="1" applyFont="1" applyFill="1" applyAlignment="1">
      <alignment vertical="center"/>
    </xf>
    <xf numFmtId="0" fontId="15" fillId="5" borderId="39" xfId="3" applyNumberFormat="1" applyFont="1" applyFill="1" applyBorder="1" applyAlignment="1" applyProtection="1">
      <alignment horizontal="center" vertical="center" wrapText="1"/>
      <protection hidden="1"/>
    </xf>
    <xf numFmtId="168" fontId="15" fillId="5" borderId="39" xfId="3" applyNumberFormat="1" applyFont="1" applyFill="1" applyBorder="1" applyAlignment="1" applyProtection="1">
      <alignment horizontal="center" vertical="center"/>
      <protection hidden="1"/>
    </xf>
    <xf numFmtId="170" fontId="15" fillId="5" borderId="39" xfId="4" applyNumberFormat="1" applyFont="1" applyFill="1" applyBorder="1" applyAlignment="1" applyProtection="1">
      <alignment horizontal="center" vertical="center"/>
      <protection hidden="1"/>
    </xf>
    <xf numFmtId="164" fontId="21" fillId="5" borderId="39" xfId="2" applyNumberFormat="1" applyFont="1" applyFill="1" applyBorder="1" applyAlignment="1" applyProtection="1">
      <alignment horizontal="center" vertical="center"/>
      <protection hidden="1"/>
    </xf>
    <xf numFmtId="0" fontId="21" fillId="5" borderId="39" xfId="2" applyFont="1" applyFill="1" applyBorder="1" applyAlignment="1" applyProtection="1">
      <alignment horizontal="left" vertical="center"/>
      <protection hidden="1"/>
    </xf>
    <xf numFmtId="0" fontId="21" fillId="5" borderId="39" xfId="2" applyFont="1" applyFill="1" applyBorder="1" applyAlignment="1" applyProtection="1">
      <alignment horizontal="center" vertical="center"/>
      <protection hidden="1"/>
    </xf>
    <xf numFmtId="0" fontId="20" fillId="5" borderId="39" xfId="2" applyFont="1" applyFill="1" applyBorder="1" applyAlignment="1" applyProtection="1">
      <alignment horizontal="center" vertical="center"/>
      <protection hidden="1"/>
    </xf>
    <xf numFmtId="44" fontId="21" fillId="5" borderId="39" xfId="3" applyFont="1" applyFill="1" applyBorder="1" applyAlignment="1" applyProtection="1">
      <alignment horizontal="center" vertical="center"/>
      <protection hidden="1"/>
    </xf>
    <xf numFmtId="44" fontId="21" fillId="5" borderId="39" xfId="1" applyFont="1" applyFill="1" applyBorder="1" applyAlignment="1" applyProtection="1">
      <alignment horizontal="center" vertical="center"/>
      <protection hidden="1"/>
    </xf>
    <xf numFmtId="44" fontId="20" fillId="5" borderId="39" xfId="1" applyFont="1" applyFill="1" applyBorder="1" applyAlignment="1">
      <alignment horizontal="center" vertical="center"/>
    </xf>
    <xf numFmtId="44" fontId="20" fillId="5" borderId="39" xfId="1" applyFont="1" applyFill="1" applyBorder="1" applyAlignment="1">
      <alignment vertical="center"/>
    </xf>
    <xf numFmtId="170" fontId="20" fillId="5" borderId="39" xfId="4" applyNumberFormat="1" applyFont="1" applyFill="1" applyBorder="1" applyAlignment="1">
      <alignment horizontal="center" vertical="center"/>
    </xf>
    <xf numFmtId="44" fontId="20" fillId="0" borderId="0" xfId="1" applyFont="1" applyAlignment="1">
      <alignment vertical="center"/>
    </xf>
    <xf numFmtId="0" fontId="20" fillId="5" borderId="0" xfId="0" applyFont="1" applyFill="1" applyAlignment="1">
      <alignment vertical="center"/>
    </xf>
    <xf numFmtId="44" fontId="20" fillId="5" borderId="0" xfId="1" applyFont="1" applyFill="1" applyAlignment="1">
      <alignment horizontal="center" vertical="center"/>
    </xf>
    <xf numFmtId="170" fontId="20" fillId="3" borderId="0" xfId="0" applyNumberFormat="1" applyFont="1" applyFill="1" applyAlignment="1">
      <alignment horizontal="center" vertical="center"/>
    </xf>
    <xf numFmtId="44" fontId="20" fillId="0" borderId="0" xfId="1" applyFont="1" applyAlignment="1">
      <alignment horizontal="center" vertical="center"/>
    </xf>
    <xf numFmtId="44" fontId="20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169" fontId="15" fillId="5" borderId="39" xfId="3" applyNumberFormat="1" applyFont="1" applyFill="1" applyBorder="1" applyAlignment="1" applyProtection="1">
      <alignment horizontal="center" vertical="center" wrapText="1"/>
      <protection hidden="1"/>
    </xf>
    <xf numFmtId="44" fontId="15" fillId="5" borderId="39" xfId="3" applyFont="1" applyFill="1" applyBorder="1" applyAlignment="1" applyProtection="1">
      <alignment horizontal="center" vertical="center" wrapText="1"/>
      <protection hidden="1"/>
    </xf>
    <xf numFmtId="44" fontId="15" fillId="0" borderId="39" xfId="3" applyFont="1" applyFill="1" applyBorder="1" applyAlignment="1" applyProtection="1">
      <alignment horizontal="center" vertical="center" wrapText="1"/>
      <protection hidden="1"/>
    </xf>
    <xf numFmtId="44" fontId="15" fillId="9" borderId="39" xfId="3" applyFont="1" applyFill="1" applyBorder="1" applyAlignment="1" applyProtection="1">
      <alignment horizontal="center" vertical="center" wrapText="1"/>
      <protection hidden="1"/>
    </xf>
    <xf numFmtId="0" fontId="15" fillId="5" borderId="39" xfId="2" applyFont="1" applyFill="1" applyBorder="1" applyAlignment="1" applyProtection="1">
      <alignment horizontal="center" vertical="center"/>
      <protection hidden="1"/>
    </xf>
    <xf numFmtId="0" fontId="15" fillId="5" borderId="39" xfId="2" applyFont="1" applyFill="1" applyBorder="1" applyAlignment="1" applyProtection="1">
      <alignment horizontal="center" vertical="center" wrapText="1"/>
      <protection hidden="1"/>
    </xf>
    <xf numFmtId="0" fontId="4" fillId="7" borderId="26" xfId="2" applyFont="1" applyFill="1" applyBorder="1" applyAlignment="1">
      <alignment horizontal="center" vertical="center"/>
    </xf>
    <xf numFmtId="0" fontId="4" fillId="7" borderId="27" xfId="2" applyFont="1" applyFill="1" applyBorder="1" applyAlignment="1">
      <alignment horizontal="center" vertical="center"/>
    </xf>
    <xf numFmtId="44" fontId="17" fillId="8" borderId="28" xfId="3" applyFont="1" applyFill="1" applyBorder="1" applyAlignment="1" applyProtection="1">
      <alignment horizontal="center" vertical="center" wrapText="1"/>
      <protection hidden="1"/>
    </xf>
    <xf numFmtId="44" fontId="17" fillId="8" borderId="31" xfId="3" applyFont="1" applyFill="1" applyBorder="1" applyAlignment="1" applyProtection="1">
      <alignment horizontal="center" vertical="center" wrapText="1"/>
      <protection hidden="1"/>
    </xf>
    <xf numFmtId="44" fontId="17" fillId="8" borderId="29" xfId="3" applyFont="1" applyFill="1" applyBorder="1" applyAlignment="1" applyProtection="1">
      <alignment horizontal="center" vertical="center" wrapText="1"/>
      <protection hidden="1"/>
    </xf>
    <xf numFmtId="44" fontId="17" fillId="8" borderId="32" xfId="3" applyFont="1" applyFill="1" applyBorder="1" applyAlignment="1" applyProtection="1">
      <alignment horizontal="center" vertical="center" wrapText="1"/>
      <protection hidden="1"/>
    </xf>
    <xf numFmtId="44" fontId="17" fillId="8" borderId="30" xfId="3" applyFont="1" applyFill="1" applyBorder="1" applyAlignment="1" applyProtection="1">
      <alignment horizontal="center" vertical="center" wrapText="1"/>
      <protection hidden="1"/>
    </xf>
    <xf numFmtId="44" fontId="17" fillId="8" borderId="0" xfId="3" applyFont="1" applyFill="1" applyBorder="1" applyAlignment="1" applyProtection="1">
      <alignment horizontal="center" vertical="center" wrapText="1"/>
      <protection hidden="1"/>
    </xf>
    <xf numFmtId="0" fontId="12" fillId="6" borderId="23" xfId="2" applyFont="1" applyFill="1" applyBorder="1" applyAlignment="1">
      <alignment horizontal="center" vertical="center"/>
    </xf>
    <xf numFmtId="0" fontId="12" fillId="6" borderId="24" xfId="2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44" fontId="5" fillId="0" borderId="6" xfId="1" applyFont="1" applyBorder="1" applyAlignment="1">
      <alignment horizontal="center" vertical="center"/>
    </xf>
    <xf numFmtId="44" fontId="5" fillId="0" borderId="16" xfId="1" applyFont="1" applyBorder="1" applyAlignment="1">
      <alignment horizontal="center" vertical="center"/>
    </xf>
    <xf numFmtId="44" fontId="5" fillId="0" borderId="20" xfId="1" applyFont="1" applyBorder="1" applyAlignment="1">
      <alignment horizontal="center" vertical="center"/>
    </xf>
    <xf numFmtId="44" fontId="5" fillId="0" borderId="22" xfId="1" applyFont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44" fontId="4" fillId="2" borderId="6" xfId="1" applyFont="1" applyFill="1" applyBorder="1" applyAlignment="1">
      <alignment horizontal="center" vertical="center"/>
    </xf>
    <xf numFmtId="44" fontId="4" fillId="2" borderId="16" xfId="1" applyFont="1" applyFill="1" applyBorder="1" applyAlignment="1">
      <alignment horizontal="center" vertical="center"/>
    </xf>
    <xf numFmtId="166" fontId="4" fillId="2" borderId="14" xfId="0" applyNumberFormat="1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165" fontId="4" fillId="2" borderId="14" xfId="0" applyNumberFormat="1" applyFont="1" applyFill="1" applyBorder="1" applyAlignment="1">
      <alignment horizontal="center" vertical="center"/>
    </xf>
    <xf numFmtId="44" fontId="5" fillId="0" borderId="7" xfId="1" applyFont="1" applyBorder="1" applyAlignment="1">
      <alignment horizontal="center" vertical="center"/>
    </xf>
    <xf numFmtId="44" fontId="5" fillId="0" borderId="21" xfId="1" applyFont="1" applyBorder="1" applyAlignment="1">
      <alignment horizontal="center" vertical="center"/>
    </xf>
    <xf numFmtId="167" fontId="4" fillId="2" borderId="4" xfId="0" applyNumberFormat="1" applyFont="1" applyFill="1" applyBorder="1" applyAlignment="1">
      <alignment horizontal="center" vertical="center"/>
    </xf>
    <xf numFmtId="167" fontId="4" fillId="2" borderId="1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4" fontId="4" fillId="2" borderId="7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 vertical="center"/>
    </xf>
    <xf numFmtId="165" fontId="4" fillId="2" borderId="5" xfId="0" applyNumberFormat="1" applyFont="1" applyFill="1" applyBorder="1" applyAlignment="1">
      <alignment horizontal="center" vertical="center"/>
    </xf>
    <xf numFmtId="44" fontId="5" fillId="4" borderId="6" xfId="1" applyFont="1" applyFill="1" applyBorder="1" applyAlignment="1">
      <alignment horizontal="center" vertical="center"/>
    </xf>
    <xf numFmtId="44" fontId="5" fillId="4" borderId="16" xfId="1" applyFont="1" applyFill="1" applyBorder="1" applyAlignment="1">
      <alignment horizontal="center" vertical="center"/>
    </xf>
    <xf numFmtId="44" fontId="5" fillId="3" borderId="6" xfId="1" applyFont="1" applyFill="1" applyBorder="1" applyAlignment="1">
      <alignment horizontal="center" vertical="center"/>
    </xf>
    <xf numFmtId="44" fontId="5" fillId="3" borderId="16" xfId="1" applyFont="1" applyFill="1" applyBorder="1" applyAlignment="1">
      <alignment horizontal="center" vertical="center"/>
    </xf>
    <xf numFmtId="165" fontId="4" fillId="2" borderId="6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</cellXfs>
  <cellStyles count="5">
    <cellStyle name="Moneda" xfId="1" builtinId="4"/>
    <cellStyle name="Moneda 2" xfId="3" xr:uid="{0B2B93AA-ADEC-4CCB-8FF6-3D8BA2682EFF}"/>
    <cellStyle name="Normal" xfId="0" builtinId="0"/>
    <cellStyle name="Normal 2" xfId="2" xr:uid="{A656E7A6-8382-488F-B400-933B4570457B}"/>
    <cellStyle name="Porcentaje" xfId="4" builtinId="5"/>
  </cellStyles>
  <dxfs count="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chivos%20de%20programa/Neodata/PU2010/Reportes%20Dev/Pruebas/Insumos%20Ad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.-%20PRESUPUESTOS%20Y%20ANTICIPOS\ANDALUCIA\5.-%20LA%20RIOJA\2.-%20SAN%20FERM&#205;N\2.-%20ANTICIPOS%20SAN%20FERM&#205;N%20SECCI&#211;N%20LA%20RIOJ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.-%20PRESUPUESTOS%20Y%20ANTICIPOS\ANDALUCIA\5.-%20LA%20RIOJA\1.-%20SAN%20SEBASTI&#193;N\2.-%20ANTICIPOS%20SAN%20SEBASTIAN%20SECCI&#211;N%20LA%20RIOJ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OMBAG\RELACION%20DE%20PAGOS%20COMBA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_Campos Generales"/>
      <sheetName val="N_Campos Especificos"/>
      <sheetName val="a)Costos Mat Desglosado (E)"/>
      <sheetName val="b)Costo Maq (Act,Res,Esp) (E)"/>
      <sheetName val="c)Costos de Maquinaria (E)"/>
      <sheetName val="d)Familias de Insumos (E)"/>
      <sheetName val="e)Listado Insumos (E)"/>
      <sheetName val="f)Mano de Obra Gravable (E)"/>
      <sheetName val="g)Relacion Costos Mat (E)"/>
      <sheetName val="h)Relación de básicos (E)"/>
      <sheetName val="i)Tabulador Salario Base (E)"/>
      <sheetName val="j)Tabulador SalarioDesglose (E)"/>
      <sheetName val="k)Relación de maquinaria (E)"/>
    </sheetNames>
    <sheetDataSet>
      <sheetData sheetId="0">
        <row r="31">
          <cell r="D31" t="str">
            <v>23/07/2009</v>
          </cell>
        </row>
        <row r="46">
          <cell r="D46" t="str">
            <v>01/08/2009</v>
          </cell>
        </row>
        <row r="47">
          <cell r="D47" t="str">
            <v>31/12/2009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DORES"/>
      <sheetName val="PRECIOS MATERIALES"/>
      <sheetName val="MATERIALES PARA ANTICIPOS"/>
      <sheetName val="ANTICIPOS SAN FERMÍN"/>
      <sheetName val="RESUMEN ANTICIPOS"/>
      <sheetName val="Hoja1"/>
    </sheetNames>
    <sheetDataSet>
      <sheetData sheetId="0"/>
      <sheetData sheetId="1"/>
      <sheetData sheetId="2"/>
      <sheetData sheetId="3">
        <row r="1">
          <cell r="H1" t="str">
            <v>.</v>
          </cell>
          <cell r="I1" t="str">
            <v>.</v>
          </cell>
          <cell r="J1" t="str">
            <v>.</v>
          </cell>
          <cell r="K1"/>
          <cell r="L1" t="str">
            <v>.</v>
          </cell>
          <cell r="M1"/>
          <cell r="N1" t="str">
            <v>.</v>
          </cell>
          <cell r="O1"/>
        </row>
        <row r="2">
          <cell r="H2"/>
          <cell r="I2"/>
          <cell r="J2"/>
          <cell r="K2"/>
          <cell r="L2"/>
          <cell r="M2"/>
          <cell r="N2"/>
          <cell r="O2"/>
        </row>
        <row r="3">
          <cell r="H3"/>
          <cell r="I3"/>
          <cell r="J3"/>
          <cell r="K3"/>
          <cell r="L3"/>
          <cell r="M3"/>
          <cell r="N3"/>
          <cell r="O3"/>
        </row>
        <row r="4">
          <cell r="H4"/>
          <cell r="I4"/>
          <cell r="J4"/>
          <cell r="K4"/>
          <cell r="L4"/>
          <cell r="M4"/>
          <cell r="N4"/>
          <cell r="O4"/>
        </row>
        <row r="5">
          <cell r="B5"/>
          <cell r="H5" t="str">
            <v>PRIVADA:</v>
          </cell>
          <cell r="I5" t="str">
            <v>SAN FERMÍN</v>
          </cell>
          <cell r="J5" t="str">
            <v>IMPORTE CONTRATADO</v>
          </cell>
          <cell r="K5"/>
          <cell r="L5">
            <v>8920517.3999999985</v>
          </cell>
          <cell r="M5"/>
          <cell r="N5" t="str">
            <v>% ANTICIPO:</v>
          </cell>
          <cell r="O5">
            <v>0.32167447540689026</v>
          </cell>
        </row>
        <row r="6">
          <cell r="C6"/>
          <cell r="H6"/>
          <cell r="I6"/>
          <cell r="J6"/>
          <cell r="K6"/>
          <cell r="L6"/>
          <cell r="M6"/>
          <cell r="N6"/>
          <cell r="O6"/>
        </row>
        <row r="7">
          <cell r="B7">
            <v>1</v>
          </cell>
          <cell r="C7"/>
          <cell r="H7" t="str">
            <v>CONTRATISTA:</v>
          </cell>
          <cell r="I7" t="str">
            <v>FASAR</v>
          </cell>
          <cell r="J7" t="str">
            <v>MANZANA:</v>
          </cell>
          <cell r="K7">
            <v>20</v>
          </cell>
          <cell r="L7" t="str">
            <v>DEL LT:</v>
          </cell>
          <cell r="M7">
            <v>2</v>
          </cell>
          <cell r="N7" t="str">
            <v>AL LT:</v>
          </cell>
          <cell r="O7">
            <v>21</v>
          </cell>
        </row>
        <row r="8">
          <cell r="C8"/>
          <cell r="H8"/>
          <cell r="I8"/>
          <cell r="J8"/>
          <cell r="K8"/>
          <cell r="L8"/>
          <cell r="M8"/>
          <cell r="N8"/>
          <cell r="O8"/>
        </row>
        <row r="9">
          <cell r="H9" t="str">
            <v>ACERO</v>
          </cell>
          <cell r="I9" t="str">
            <v>BLOCK</v>
          </cell>
          <cell r="J9" t="str">
            <v>CONCRETO</v>
          </cell>
          <cell r="K9"/>
          <cell r="L9" t="str">
            <v>PINTURA</v>
          </cell>
          <cell r="M9"/>
          <cell r="N9" t="str">
            <v>VIGUETA Y BOVEDILLA</v>
          </cell>
          <cell r="O9"/>
        </row>
        <row r="10">
          <cell r="C10"/>
          <cell r="H10">
            <v>0</v>
          </cell>
          <cell r="I10">
            <v>0</v>
          </cell>
          <cell r="J10">
            <v>0</v>
          </cell>
          <cell r="K10"/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C11"/>
          <cell r="H11">
            <v>0</v>
          </cell>
          <cell r="I11">
            <v>0</v>
          </cell>
          <cell r="J11">
            <v>0</v>
          </cell>
          <cell r="K11"/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C12"/>
          <cell r="H12">
            <v>592526.66615358391</v>
          </cell>
          <cell r="I12">
            <v>210346.62800000003</v>
          </cell>
          <cell r="J12">
            <v>424414.19959999999</v>
          </cell>
          <cell r="K12"/>
          <cell r="L12">
            <v>53990.408237083109</v>
          </cell>
          <cell r="M12">
            <v>0</v>
          </cell>
          <cell r="N12">
            <v>200299.98399999997</v>
          </cell>
          <cell r="O12">
            <v>0</v>
          </cell>
        </row>
        <row r="13">
          <cell r="C13"/>
          <cell r="H13">
            <v>557510.64984160801</v>
          </cell>
          <cell r="I13">
            <v>214051.08799999999</v>
          </cell>
          <cell r="J13">
            <v>338537.02159999998</v>
          </cell>
          <cell r="K13"/>
          <cell r="L13">
            <v>46455.989570761121</v>
          </cell>
          <cell r="M13">
            <v>0</v>
          </cell>
          <cell r="N13">
            <v>231370.12</v>
          </cell>
          <cell r="O13">
            <v>0</v>
          </cell>
        </row>
        <row r="14">
          <cell r="H14"/>
          <cell r="I14"/>
          <cell r="J14"/>
          <cell r="K14"/>
          <cell r="L14"/>
          <cell r="M14"/>
          <cell r="N14"/>
          <cell r="O14"/>
        </row>
        <row r="15">
          <cell r="C15">
            <v>1</v>
          </cell>
          <cell r="H15">
            <v>1150037.3159951919</v>
          </cell>
          <cell r="I15">
            <v>424397.71600000001</v>
          </cell>
          <cell r="J15">
            <v>762951.22120000003</v>
          </cell>
          <cell r="K15"/>
          <cell r="L15">
            <v>100446.39780784423</v>
          </cell>
          <cell r="M15"/>
          <cell r="N15">
            <v>431670.10399999993</v>
          </cell>
          <cell r="O15"/>
        </row>
        <row r="16">
          <cell r="H16"/>
          <cell r="I16"/>
          <cell r="J16"/>
          <cell r="K16"/>
          <cell r="L16"/>
          <cell r="M16"/>
          <cell r="N16"/>
          <cell r="O16"/>
        </row>
        <row r="17">
          <cell r="H17" t="str">
            <v>.</v>
          </cell>
          <cell r="I17" t="str">
            <v>.</v>
          </cell>
          <cell r="J17" t="str">
            <v>.</v>
          </cell>
          <cell r="K17"/>
          <cell r="L17" t="str">
            <v>.</v>
          </cell>
          <cell r="M17"/>
          <cell r="N17" t="str">
            <v>.</v>
          </cell>
          <cell r="O17"/>
        </row>
        <row r="18">
          <cell r="H18" t="str">
            <v>.</v>
          </cell>
          <cell r="I18" t="str">
            <v>.</v>
          </cell>
          <cell r="J18" t="str">
            <v>.</v>
          </cell>
          <cell r="K18"/>
          <cell r="L18" t="str">
            <v>.</v>
          </cell>
          <cell r="M18"/>
          <cell r="N18" t="str">
            <v>.</v>
          </cell>
          <cell r="O18"/>
        </row>
        <row r="19">
          <cell r="H19"/>
          <cell r="I19"/>
          <cell r="J19"/>
          <cell r="K19"/>
          <cell r="L19"/>
          <cell r="M19"/>
          <cell r="N19"/>
          <cell r="O19"/>
        </row>
        <row r="20">
          <cell r="H20"/>
          <cell r="I20"/>
          <cell r="J20"/>
          <cell r="K20"/>
          <cell r="L20"/>
          <cell r="M20"/>
          <cell r="N20"/>
          <cell r="O20"/>
        </row>
        <row r="21">
          <cell r="H21"/>
          <cell r="I21"/>
          <cell r="J21"/>
          <cell r="K21"/>
          <cell r="L21"/>
          <cell r="M21"/>
          <cell r="N21"/>
          <cell r="O21"/>
        </row>
        <row r="22">
          <cell r="B22"/>
          <cell r="H22" t="str">
            <v>PRIVADA:</v>
          </cell>
          <cell r="I22" t="str">
            <v>SAN FERMÍN</v>
          </cell>
          <cell r="J22" t="str">
            <v>IMPORTE CONTRATADO</v>
          </cell>
          <cell r="K22"/>
          <cell r="L22">
            <v>5876965.5200000005</v>
          </cell>
          <cell r="M22"/>
          <cell r="N22" t="str">
            <v>% ANTICIPO:</v>
          </cell>
          <cell r="O22">
            <v>0.3318723147228983</v>
          </cell>
        </row>
        <row r="23">
          <cell r="C23"/>
          <cell r="H23"/>
          <cell r="I23"/>
          <cell r="J23"/>
          <cell r="K23"/>
          <cell r="L23"/>
          <cell r="M23"/>
          <cell r="N23"/>
          <cell r="O23"/>
        </row>
        <row r="24">
          <cell r="B24">
            <v>2</v>
          </cell>
          <cell r="C24"/>
          <cell r="H24" t="str">
            <v>CONTRATISTA:</v>
          </cell>
          <cell r="I24" t="str">
            <v>POWER PACHUCA</v>
          </cell>
          <cell r="J24" t="str">
            <v>MANZANA:</v>
          </cell>
          <cell r="K24">
            <v>22</v>
          </cell>
          <cell r="L24" t="str">
            <v>DEL LT:</v>
          </cell>
          <cell r="M24">
            <v>2</v>
          </cell>
          <cell r="N24" t="str">
            <v>AL LT:</v>
          </cell>
          <cell r="O24">
            <v>11</v>
          </cell>
        </row>
        <row r="25">
          <cell r="C25"/>
          <cell r="H25"/>
          <cell r="I25"/>
          <cell r="J25"/>
          <cell r="K25"/>
          <cell r="L25"/>
          <cell r="M25"/>
          <cell r="N25"/>
          <cell r="O25"/>
        </row>
        <row r="26">
          <cell r="H26" t="str">
            <v>ACERO</v>
          </cell>
          <cell r="I26" t="str">
            <v>BLOCK</v>
          </cell>
          <cell r="J26" t="str">
            <v>CONCRETO</v>
          </cell>
          <cell r="K26"/>
          <cell r="L26" t="str">
            <v>PINTURA</v>
          </cell>
          <cell r="M26"/>
          <cell r="N26" t="str">
            <v>VIGUETA Y BOVEDILLA</v>
          </cell>
          <cell r="O26"/>
        </row>
        <row r="27">
          <cell r="C27"/>
          <cell r="H27">
            <v>372918.93858815683</v>
          </cell>
          <cell r="I27">
            <v>151602.11679999999</v>
          </cell>
          <cell r="J27">
            <v>325784.07903999998</v>
          </cell>
          <cell r="K27"/>
          <cell r="L27">
            <v>35152.300646504707</v>
          </cell>
          <cell r="M27">
            <v>0</v>
          </cell>
          <cell r="N27">
            <v>175997.984</v>
          </cell>
          <cell r="O27">
            <v>0</v>
          </cell>
        </row>
        <row r="28">
          <cell r="C28"/>
          <cell r="H28">
            <v>0</v>
          </cell>
          <cell r="I28">
            <v>0</v>
          </cell>
          <cell r="J28">
            <v>0</v>
          </cell>
          <cell r="K28"/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C29"/>
          <cell r="H29">
            <v>355515.99969215039</v>
          </cell>
          <cell r="I29">
            <v>126207.9768</v>
          </cell>
          <cell r="J29">
            <v>254648.51976</v>
          </cell>
          <cell r="K29"/>
          <cell r="L29">
            <v>32394.244942249868</v>
          </cell>
          <cell r="M29">
            <v>0</v>
          </cell>
          <cell r="N29">
            <v>120179.99039999998</v>
          </cell>
          <cell r="O29">
            <v>0</v>
          </cell>
        </row>
        <row r="30">
          <cell r="C30"/>
          <cell r="H30">
            <v>0</v>
          </cell>
          <cell r="I30">
            <v>0</v>
          </cell>
          <cell r="J30">
            <v>0</v>
          </cell>
          <cell r="K30"/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H31"/>
          <cell r="I31"/>
          <cell r="J31"/>
          <cell r="K31"/>
          <cell r="L31"/>
          <cell r="M31"/>
          <cell r="N31"/>
          <cell r="O31"/>
        </row>
        <row r="32">
          <cell r="C32">
            <v>2</v>
          </cell>
          <cell r="H32">
            <v>728434.93828030722</v>
          </cell>
          <cell r="I32">
            <v>277810.09360000002</v>
          </cell>
          <cell r="J32">
            <v>580432.59880000004</v>
          </cell>
          <cell r="K32"/>
          <cell r="L32">
            <v>67546.545588754583</v>
          </cell>
          <cell r="M32"/>
          <cell r="N32">
            <v>296177.97439999995</v>
          </cell>
          <cell r="O32"/>
        </row>
        <row r="33">
          <cell r="H33"/>
          <cell r="I33"/>
          <cell r="J33"/>
          <cell r="K33"/>
          <cell r="L33"/>
          <cell r="M33"/>
          <cell r="N33"/>
          <cell r="O33"/>
        </row>
        <row r="34">
          <cell r="H34" t="str">
            <v>.</v>
          </cell>
          <cell r="I34" t="str">
            <v>.</v>
          </cell>
          <cell r="J34" t="str">
            <v>.</v>
          </cell>
          <cell r="K34"/>
          <cell r="L34" t="str">
            <v>.</v>
          </cell>
          <cell r="M34"/>
          <cell r="N34" t="str">
            <v>.</v>
          </cell>
          <cell r="O34"/>
        </row>
        <row r="35">
          <cell r="H35" t="str">
            <v>.</v>
          </cell>
          <cell r="I35" t="str">
            <v>.</v>
          </cell>
          <cell r="J35" t="str">
            <v>.</v>
          </cell>
          <cell r="K35"/>
          <cell r="L35" t="str">
            <v>.</v>
          </cell>
          <cell r="M35"/>
          <cell r="N35" t="str">
            <v>.</v>
          </cell>
          <cell r="O35"/>
        </row>
        <row r="36">
          <cell r="H36"/>
          <cell r="I36"/>
          <cell r="J36"/>
          <cell r="K36"/>
          <cell r="L36"/>
          <cell r="M36"/>
          <cell r="N36"/>
          <cell r="O36"/>
        </row>
        <row r="37">
          <cell r="H37"/>
          <cell r="I37"/>
          <cell r="J37"/>
          <cell r="K37"/>
          <cell r="L37"/>
          <cell r="M37"/>
          <cell r="N37"/>
          <cell r="O37"/>
        </row>
        <row r="38">
          <cell r="H38"/>
          <cell r="I38"/>
          <cell r="J38"/>
          <cell r="K38"/>
          <cell r="L38"/>
          <cell r="M38"/>
          <cell r="N38"/>
          <cell r="O38"/>
        </row>
        <row r="39">
          <cell r="B39"/>
          <cell r="H39" t="str">
            <v>PRIVADA:</v>
          </cell>
          <cell r="I39" t="str">
            <v>SAN FERMÍN</v>
          </cell>
          <cell r="J39" t="str">
            <v>IMPORTE CONTRATADO</v>
          </cell>
          <cell r="K39"/>
          <cell r="L39">
            <v>4345370.0899999989</v>
          </cell>
          <cell r="M39"/>
          <cell r="N39" t="str">
            <v>% ANTICIPO:</v>
          </cell>
          <cell r="O39">
            <v>0.3308930261277091</v>
          </cell>
        </row>
        <row r="40">
          <cell r="C40"/>
          <cell r="H40"/>
          <cell r="I40"/>
          <cell r="J40"/>
          <cell r="K40"/>
          <cell r="L40"/>
          <cell r="M40"/>
          <cell r="N40"/>
          <cell r="O40"/>
        </row>
        <row r="41">
          <cell r="B41">
            <v>3</v>
          </cell>
          <cell r="C41"/>
          <cell r="H41" t="str">
            <v>CONTRATISTA:</v>
          </cell>
          <cell r="I41" t="str">
            <v>POWER PACHUCA</v>
          </cell>
          <cell r="J41" t="str">
            <v>MANZANA:</v>
          </cell>
          <cell r="K41">
            <v>26</v>
          </cell>
          <cell r="L41" t="str">
            <v>DEL LT:</v>
          </cell>
          <cell r="M41">
            <v>2</v>
          </cell>
          <cell r="N41" t="str">
            <v>AL LT:</v>
          </cell>
          <cell r="O41">
            <v>9</v>
          </cell>
        </row>
        <row r="42">
          <cell r="C42"/>
          <cell r="H42"/>
          <cell r="I42"/>
          <cell r="J42"/>
          <cell r="K42"/>
          <cell r="L42"/>
          <cell r="M42"/>
          <cell r="N42"/>
          <cell r="O42"/>
        </row>
        <row r="43">
          <cell r="H43" t="str">
            <v>ACERO</v>
          </cell>
          <cell r="I43" t="str">
            <v>BLOCK</v>
          </cell>
          <cell r="J43" t="str">
            <v>CONCRETO</v>
          </cell>
          <cell r="K43"/>
          <cell r="L43" t="str">
            <v>PINTURA</v>
          </cell>
          <cell r="M43"/>
          <cell r="N43" t="str">
            <v>VIGUETA Y BOVEDILLA</v>
          </cell>
          <cell r="O43"/>
        </row>
        <row r="44">
          <cell r="C44"/>
          <cell r="H44">
            <v>186459.46929407842</v>
          </cell>
          <cell r="I44">
            <v>75801.058399999994</v>
          </cell>
          <cell r="J44">
            <v>162892.03951999999</v>
          </cell>
          <cell r="K44"/>
          <cell r="L44">
            <v>17576.150323252354</v>
          </cell>
          <cell r="M44">
            <v>0</v>
          </cell>
          <cell r="N44">
            <v>87998.991999999998</v>
          </cell>
          <cell r="O44">
            <v>0</v>
          </cell>
        </row>
        <row r="45">
          <cell r="C45"/>
          <cell r="H45">
            <v>80387.707550021994</v>
          </cell>
          <cell r="I45">
            <v>31364.5556</v>
          </cell>
          <cell r="J45">
            <v>49472.247239999997</v>
          </cell>
          <cell r="K45"/>
          <cell r="L45">
            <v>6544.3716957384095</v>
          </cell>
          <cell r="M45">
            <v>0</v>
          </cell>
          <cell r="N45">
            <v>26663.029199999997</v>
          </cell>
          <cell r="O45">
            <v>0</v>
          </cell>
        </row>
        <row r="46">
          <cell r="C46"/>
          <cell r="H46">
            <v>118505.33323071679</v>
          </cell>
          <cell r="I46">
            <v>42069.325600000004</v>
          </cell>
          <cell r="J46">
            <v>84882.839919999999</v>
          </cell>
          <cell r="K46"/>
          <cell r="L46">
            <v>10798.081647416622</v>
          </cell>
          <cell r="M46">
            <v>0</v>
          </cell>
          <cell r="N46">
            <v>40059.996799999994</v>
          </cell>
          <cell r="O46">
            <v>0</v>
          </cell>
        </row>
        <row r="47">
          <cell r="C47"/>
          <cell r="H47">
            <v>167253.19495248242</v>
          </cell>
          <cell r="I47">
            <v>64215.326399999991</v>
          </cell>
          <cell r="J47">
            <v>101561.10648</v>
          </cell>
          <cell r="K47"/>
          <cell r="L47">
            <v>13936.796871228336</v>
          </cell>
          <cell r="M47">
            <v>0</v>
          </cell>
          <cell r="N47">
            <v>69411.035999999993</v>
          </cell>
          <cell r="O47">
            <v>0</v>
          </cell>
        </row>
        <row r="48">
          <cell r="H48"/>
          <cell r="I48"/>
          <cell r="J48"/>
          <cell r="K48"/>
          <cell r="L48"/>
          <cell r="M48"/>
          <cell r="N48"/>
          <cell r="O48"/>
        </row>
        <row r="49">
          <cell r="C49">
            <v>3</v>
          </cell>
          <cell r="H49">
            <v>552605.7050272997</v>
          </cell>
          <cell r="I49">
            <v>213450.266</v>
          </cell>
          <cell r="J49">
            <v>398808.23316</v>
          </cell>
          <cell r="K49"/>
          <cell r="L49">
            <v>48855.400537635724</v>
          </cell>
          <cell r="M49"/>
          <cell r="N49">
            <v>224133.05399999997</v>
          </cell>
          <cell r="O49"/>
        </row>
        <row r="50">
          <cell r="H50"/>
          <cell r="I50"/>
          <cell r="J50"/>
          <cell r="K50"/>
          <cell r="L50"/>
          <cell r="M50"/>
          <cell r="N50"/>
          <cell r="O50"/>
        </row>
        <row r="51">
          <cell r="H51" t="str">
            <v>.</v>
          </cell>
          <cell r="I51" t="str">
            <v>.</v>
          </cell>
          <cell r="J51" t="str">
            <v>.</v>
          </cell>
          <cell r="K51"/>
          <cell r="L51" t="str">
            <v>.</v>
          </cell>
          <cell r="M51"/>
          <cell r="N51" t="str">
            <v>.</v>
          </cell>
          <cell r="O51"/>
        </row>
        <row r="52">
          <cell r="H52" t="str">
            <v>.</v>
          </cell>
          <cell r="I52" t="str">
            <v>.</v>
          </cell>
          <cell r="J52" t="str">
            <v>.</v>
          </cell>
          <cell r="K52"/>
          <cell r="L52" t="str">
            <v>.</v>
          </cell>
          <cell r="M52"/>
          <cell r="N52" t="str">
            <v>.</v>
          </cell>
          <cell r="O52"/>
        </row>
        <row r="53">
          <cell r="H53"/>
          <cell r="I53"/>
          <cell r="J53"/>
          <cell r="K53"/>
          <cell r="L53"/>
          <cell r="M53"/>
          <cell r="N53"/>
          <cell r="O53"/>
        </row>
        <row r="54">
          <cell r="H54"/>
          <cell r="I54"/>
          <cell r="J54"/>
          <cell r="K54"/>
          <cell r="L54"/>
          <cell r="M54"/>
          <cell r="N54"/>
          <cell r="O54"/>
        </row>
        <row r="55">
          <cell r="H55"/>
          <cell r="I55"/>
          <cell r="J55"/>
          <cell r="K55"/>
          <cell r="L55"/>
          <cell r="M55"/>
          <cell r="N55"/>
          <cell r="O55"/>
        </row>
        <row r="56">
          <cell r="B56"/>
          <cell r="H56" t="str">
            <v>PRIVADA:</v>
          </cell>
          <cell r="I56" t="str">
            <v>SAN FERMÍN</v>
          </cell>
          <cell r="J56" t="str">
            <v>IMPORTE CONTRATADO</v>
          </cell>
          <cell r="K56"/>
          <cell r="L56">
            <v>9100085.4299999978</v>
          </cell>
          <cell r="M56"/>
          <cell r="N56" t="str">
            <v>% ANTICIPO:</v>
          </cell>
          <cell r="O56">
            <v>0.32524393222568909</v>
          </cell>
        </row>
        <row r="57">
          <cell r="C57"/>
          <cell r="H57"/>
          <cell r="I57"/>
          <cell r="J57"/>
          <cell r="K57"/>
          <cell r="L57"/>
          <cell r="M57"/>
          <cell r="N57"/>
          <cell r="O57"/>
        </row>
        <row r="58">
          <cell r="B58">
            <v>4</v>
          </cell>
          <cell r="C58"/>
          <cell r="H58" t="str">
            <v>CONTRATISTA:</v>
          </cell>
          <cell r="I58" t="str">
            <v>COBYPSA</v>
          </cell>
          <cell r="J58" t="str">
            <v>MANZANA:</v>
          </cell>
          <cell r="K58">
            <v>13</v>
          </cell>
          <cell r="L58" t="str">
            <v>DEL LT:</v>
          </cell>
          <cell r="M58">
            <v>1</v>
          </cell>
          <cell r="N58" t="str">
            <v>AL LT:</v>
          </cell>
          <cell r="O58">
            <v>19</v>
          </cell>
        </row>
        <row r="59">
          <cell r="C59"/>
          <cell r="H59"/>
          <cell r="I59"/>
          <cell r="J59"/>
          <cell r="K59"/>
          <cell r="L59"/>
          <cell r="M59"/>
          <cell r="N59"/>
          <cell r="O59"/>
        </row>
        <row r="60">
          <cell r="H60" t="str">
            <v>ACERO</v>
          </cell>
          <cell r="I60" t="str">
            <v>BLOCK</v>
          </cell>
          <cell r="J60" t="str">
            <v>CONCRETO</v>
          </cell>
          <cell r="K60"/>
          <cell r="L60" t="str">
            <v>PINTURA</v>
          </cell>
          <cell r="M60"/>
          <cell r="N60" t="str">
            <v>VIGUETA Y BOVEDILLA</v>
          </cell>
          <cell r="O60"/>
        </row>
        <row r="61">
          <cell r="C61"/>
          <cell r="H61">
            <v>93229.734647039208</v>
          </cell>
          <cell r="I61">
            <v>37900.529199999997</v>
          </cell>
          <cell r="J61">
            <v>81446.019759999996</v>
          </cell>
          <cell r="K61"/>
          <cell r="L61">
            <v>8788.0751616261769</v>
          </cell>
          <cell r="M61">
            <v>0</v>
          </cell>
          <cell r="N61">
            <v>43999.495999999999</v>
          </cell>
          <cell r="O61">
            <v>0</v>
          </cell>
        </row>
        <row r="62">
          <cell r="C62"/>
          <cell r="H62">
            <v>80387.707550021994</v>
          </cell>
          <cell r="I62">
            <v>31364.5556</v>
          </cell>
          <cell r="J62">
            <v>49472.247239999997</v>
          </cell>
          <cell r="K62"/>
          <cell r="L62">
            <v>6544.3716957384095</v>
          </cell>
          <cell r="M62">
            <v>0</v>
          </cell>
          <cell r="N62">
            <v>26663.029199999997</v>
          </cell>
          <cell r="O62">
            <v>0</v>
          </cell>
        </row>
        <row r="63">
          <cell r="C63"/>
          <cell r="H63">
            <v>888789.99923037586</v>
          </cell>
          <cell r="I63">
            <v>315519.94200000004</v>
          </cell>
          <cell r="J63">
            <v>636621.29940000002</v>
          </cell>
          <cell r="K63"/>
          <cell r="L63">
            <v>80985.61235562466</v>
          </cell>
          <cell r="M63">
            <v>0</v>
          </cell>
          <cell r="N63">
            <v>300449.97599999997</v>
          </cell>
          <cell r="O63">
            <v>0</v>
          </cell>
        </row>
        <row r="64">
          <cell r="C64"/>
          <cell r="H64">
            <v>111502.12996832161</v>
          </cell>
          <cell r="I64">
            <v>42810.217599999996</v>
          </cell>
          <cell r="J64">
            <v>67707.404320000001</v>
          </cell>
          <cell r="K64"/>
          <cell r="L64">
            <v>9291.1979141522243</v>
          </cell>
          <cell r="M64">
            <v>0</v>
          </cell>
          <cell r="N64">
            <v>46274.023999999998</v>
          </cell>
          <cell r="O64">
            <v>0</v>
          </cell>
        </row>
        <row r="65">
          <cell r="H65"/>
          <cell r="I65"/>
          <cell r="J65"/>
          <cell r="K65"/>
          <cell r="L65"/>
          <cell r="M65"/>
          <cell r="N65"/>
          <cell r="O65"/>
        </row>
        <row r="66">
          <cell r="C66">
            <v>4</v>
          </cell>
          <cell r="H66">
            <v>1173909.5713957588</v>
          </cell>
          <cell r="I66">
            <v>427595.24440000003</v>
          </cell>
          <cell r="J66">
            <v>835246.97071999998</v>
          </cell>
          <cell r="K66"/>
          <cell r="L66">
            <v>105609.25712714146</v>
          </cell>
          <cell r="M66"/>
          <cell r="N66">
            <v>417386.52519999992</v>
          </cell>
          <cell r="O66"/>
        </row>
        <row r="67">
          <cell r="H67"/>
          <cell r="I67"/>
          <cell r="J67"/>
          <cell r="K67"/>
          <cell r="L67"/>
          <cell r="M67"/>
          <cell r="N67"/>
          <cell r="O67"/>
        </row>
        <row r="68">
          <cell r="H68" t="str">
            <v>.</v>
          </cell>
          <cell r="I68" t="str">
            <v>.</v>
          </cell>
          <cell r="J68" t="str">
            <v>.</v>
          </cell>
          <cell r="K68"/>
          <cell r="L68" t="str">
            <v>.</v>
          </cell>
          <cell r="M68"/>
          <cell r="N68" t="str">
            <v>.</v>
          </cell>
          <cell r="O68"/>
        </row>
        <row r="69">
          <cell r="H69" t="str">
            <v>.</v>
          </cell>
          <cell r="I69" t="str">
            <v>.</v>
          </cell>
          <cell r="J69" t="str">
            <v>.</v>
          </cell>
          <cell r="K69"/>
          <cell r="L69" t="str">
            <v>.</v>
          </cell>
          <cell r="M69"/>
          <cell r="N69" t="str">
            <v>.</v>
          </cell>
          <cell r="O69"/>
        </row>
        <row r="70">
          <cell r="H70"/>
          <cell r="I70"/>
          <cell r="J70"/>
          <cell r="K70"/>
          <cell r="L70"/>
          <cell r="M70"/>
          <cell r="N70"/>
          <cell r="O70"/>
        </row>
        <row r="71">
          <cell r="H71"/>
          <cell r="I71"/>
          <cell r="J71"/>
          <cell r="K71"/>
          <cell r="L71"/>
          <cell r="M71"/>
          <cell r="N71"/>
          <cell r="O71"/>
        </row>
        <row r="72">
          <cell r="H72"/>
          <cell r="I72"/>
          <cell r="J72"/>
          <cell r="K72"/>
          <cell r="L72"/>
          <cell r="M72"/>
          <cell r="N72"/>
          <cell r="O72"/>
        </row>
        <row r="73">
          <cell r="B73"/>
          <cell r="H73" t="str">
            <v>PRIVADA:</v>
          </cell>
          <cell r="I73" t="str">
            <v>SAN FERMÍN</v>
          </cell>
          <cell r="J73" t="str">
            <v>IMPORTE CONTRATADO</v>
          </cell>
          <cell r="K73"/>
          <cell r="L73">
            <v>6179205.4399999976</v>
          </cell>
          <cell r="M73"/>
          <cell r="N73" t="str">
            <v>% ANTICIPO:</v>
          </cell>
          <cell r="O73">
            <v>0.33052277496071575</v>
          </cell>
        </row>
        <row r="74">
          <cell r="C74"/>
          <cell r="H74"/>
          <cell r="I74"/>
          <cell r="J74"/>
          <cell r="K74"/>
          <cell r="L74"/>
          <cell r="M74"/>
          <cell r="N74"/>
          <cell r="O74"/>
        </row>
        <row r="75">
          <cell r="B75">
            <v>5</v>
          </cell>
          <cell r="C75"/>
          <cell r="H75" t="str">
            <v>CONTRATISTA:</v>
          </cell>
          <cell r="I75" t="str">
            <v>CONSORCIO RM</v>
          </cell>
          <cell r="J75" t="str">
            <v>MANZANA:</v>
          </cell>
          <cell r="K75">
            <v>14</v>
          </cell>
          <cell r="L75" t="str">
            <v>DEL LT:</v>
          </cell>
          <cell r="M75">
            <v>1</v>
          </cell>
          <cell r="N75" t="str">
            <v>AL LT:</v>
          </cell>
          <cell r="O75">
            <v>11</v>
          </cell>
        </row>
        <row r="76">
          <cell r="C76"/>
          <cell r="H76"/>
          <cell r="I76"/>
          <cell r="J76"/>
          <cell r="K76"/>
          <cell r="L76"/>
          <cell r="M76"/>
          <cell r="N76"/>
          <cell r="O76"/>
        </row>
        <row r="77">
          <cell r="H77" t="str">
            <v>ACERO</v>
          </cell>
          <cell r="I77" t="str">
            <v>BLOCK</v>
          </cell>
          <cell r="J77" t="str">
            <v>CONCRETO</v>
          </cell>
          <cell r="K77"/>
          <cell r="L77" t="str">
            <v>PINTURA</v>
          </cell>
          <cell r="M77"/>
          <cell r="N77" t="str">
            <v>VIGUETA Y BOVEDILLA</v>
          </cell>
          <cell r="O77"/>
        </row>
        <row r="78">
          <cell r="C78"/>
          <cell r="H78">
            <v>372918.93858815683</v>
          </cell>
          <cell r="I78">
            <v>151602.11679999999</v>
          </cell>
          <cell r="J78">
            <v>325784.07903999998</v>
          </cell>
          <cell r="K78"/>
          <cell r="L78">
            <v>35152.300646504707</v>
          </cell>
          <cell r="M78">
            <v>0</v>
          </cell>
          <cell r="N78">
            <v>175997.984</v>
          </cell>
          <cell r="O78">
            <v>0</v>
          </cell>
        </row>
        <row r="79">
          <cell r="C79"/>
          <cell r="H79">
            <v>0</v>
          </cell>
          <cell r="I79">
            <v>0</v>
          </cell>
          <cell r="J79">
            <v>0</v>
          </cell>
          <cell r="K79"/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C80"/>
          <cell r="H80">
            <v>59252.666615358394</v>
          </cell>
          <cell r="I80">
            <v>21034.662800000002</v>
          </cell>
          <cell r="J80">
            <v>42441.419959999999</v>
          </cell>
          <cell r="K80"/>
          <cell r="L80">
            <v>5399.0408237083111</v>
          </cell>
          <cell r="M80">
            <v>0</v>
          </cell>
          <cell r="N80">
            <v>20029.998399999997</v>
          </cell>
          <cell r="O80">
            <v>0</v>
          </cell>
        </row>
        <row r="81">
          <cell r="C81"/>
          <cell r="H81">
            <v>334506.38990496483</v>
          </cell>
          <cell r="I81">
            <v>128430.65279999998</v>
          </cell>
          <cell r="J81">
            <v>203122.21296</v>
          </cell>
          <cell r="K81"/>
          <cell r="L81">
            <v>27873.593742456673</v>
          </cell>
          <cell r="M81">
            <v>0</v>
          </cell>
          <cell r="N81">
            <v>138822.07199999999</v>
          </cell>
          <cell r="O81">
            <v>0</v>
          </cell>
        </row>
        <row r="82">
          <cell r="H82"/>
          <cell r="I82"/>
          <cell r="J82"/>
          <cell r="K82"/>
          <cell r="L82"/>
          <cell r="M82"/>
          <cell r="N82"/>
          <cell r="O82"/>
        </row>
        <row r="83">
          <cell r="C83">
            <v>5</v>
          </cell>
          <cell r="H83">
            <v>766677.9951084801</v>
          </cell>
          <cell r="I83">
            <v>301067.43239999993</v>
          </cell>
          <cell r="J83">
            <v>571347.71195999999</v>
          </cell>
          <cell r="K83"/>
          <cell r="L83">
            <v>68424.93521266969</v>
          </cell>
          <cell r="M83"/>
          <cell r="N83">
            <v>334850.05439999996</v>
          </cell>
          <cell r="O83"/>
        </row>
        <row r="84">
          <cell r="H84"/>
          <cell r="I84"/>
          <cell r="J84"/>
          <cell r="K84"/>
          <cell r="L84"/>
          <cell r="M84"/>
          <cell r="N84"/>
          <cell r="O84"/>
        </row>
        <row r="85">
          <cell r="H85" t="str">
            <v>.</v>
          </cell>
          <cell r="I85" t="str">
            <v>.</v>
          </cell>
          <cell r="J85" t="str">
            <v>.</v>
          </cell>
          <cell r="K85"/>
          <cell r="L85" t="str">
            <v>.</v>
          </cell>
          <cell r="M85"/>
          <cell r="N85" t="str">
            <v>.</v>
          </cell>
          <cell r="O85"/>
        </row>
        <row r="86">
          <cell r="H86" t="str">
            <v>.</v>
          </cell>
          <cell r="I86" t="str">
            <v>.</v>
          </cell>
          <cell r="J86" t="str">
            <v>.</v>
          </cell>
          <cell r="K86"/>
          <cell r="L86" t="str">
            <v>.</v>
          </cell>
          <cell r="M86"/>
          <cell r="N86" t="str">
            <v>.</v>
          </cell>
          <cell r="O86"/>
        </row>
        <row r="87">
          <cell r="H87"/>
          <cell r="I87"/>
          <cell r="J87"/>
          <cell r="K87"/>
          <cell r="L87"/>
          <cell r="M87"/>
          <cell r="N87"/>
          <cell r="O87"/>
        </row>
        <row r="88">
          <cell r="H88"/>
          <cell r="I88"/>
          <cell r="J88"/>
          <cell r="K88"/>
          <cell r="L88"/>
          <cell r="M88"/>
          <cell r="N88"/>
          <cell r="O88"/>
        </row>
        <row r="89">
          <cell r="H89"/>
          <cell r="I89"/>
          <cell r="J89"/>
          <cell r="K89"/>
          <cell r="L89"/>
          <cell r="M89"/>
          <cell r="N89"/>
          <cell r="O89"/>
        </row>
        <row r="90">
          <cell r="B90"/>
          <cell r="H90" t="str">
            <v>PRIVADA:</v>
          </cell>
          <cell r="I90" t="str">
            <v>SAN FERMÍN</v>
          </cell>
          <cell r="J90" t="str">
            <v>IMPORTE CONTRATADO</v>
          </cell>
          <cell r="K90"/>
          <cell r="L90">
            <v>5348878.1699999981</v>
          </cell>
          <cell r="M90"/>
          <cell r="N90" t="str">
            <v>% ANTICIPO:</v>
          </cell>
          <cell r="O90">
            <v>0.32649637913829654</v>
          </cell>
        </row>
        <row r="91">
          <cell r="C91"/>
          <cell r="H91"/>
          <cell r="I91"/>
          <cell r="J91"/>
          <cell r="K91"/>
          <cell r="L91"/>
          <cell r="M91"/>
          <cell r="N91"/>
          <cell r="O91"/>
        </row>
        <row r="92">
          <cell r="B92">
            <v>6</v>
          </cell>
          <cell r="C92"/>
          <cell r="H92" t="str">
            <v>CONTRATISTA:</v>
          </cell>
          <cell r="I92" t="str">
            <v>ULIGAB</v>
          </cell>
          <cell r="J92" t="str">
            <v>MANZANA:</v>
          </cell>
          <cell r="K92">
            <v>16</v>
          </cell>
          <cell r="L92" t="str">
            <v>DEL LT:</v>
          </cell>
          <cell r="M92">
            <v>1</v>
          </cell>
          <cell r="N92" t="str">
            <v>AL LT:</v>
          </cell>
          <cell r="O92">
            <v>11</v>
          </cell>
        </row>
        <row r="93">
          <cell r="C93"/>
          <cell r="H93"/>
          <cell r="I93"/>
          <cell r="J93"/>
          <cell r="K93"/>
          <cell r="L93"/>
          <cell r="M93"/>
          <cell r="N93"/>
          <cell r="O93"/>
        </row>
        <row r="94">
          <cell r="H94" t="str">
            <v>ACERO</v>
          </cell>
          <cell r="I94" t="str">
            <v>BLOCK</v>
          </cell>
          <cell r="J94" t="str">
            <v>CONCRETO</v>
          </cell>
          <cell r="K94"/>
          <cell r="L94" t="str">
            <v>PINTURA</v>
          </cell>
          <cell r="M94"/>
          <cell r="N94" t="str">
            <v>VIGUETA Y BOVEDILLA</v>
          </cell>
          <cell r="O94"/>
        </row>
        <row r="95">
          <cell r="C95"/>
          <cell r="H95">
            <v>93229.734647039208</v>
          </cell>
          <cell r="I95">
            <v>37900.529199999997</v>
          </cell>
          <cell r="J95">
            <v>81446.019759999996</v>
          </cell>
          <cell r="K95"/>
          <cell r="L95">
            <v>8788.0751616261769</v>
          </cell>
          <cell r="M95">
            <v>0</v>
          </cell>
          <cell r="N95">
            <v>43999.495999999999</v>
          </cell>
          <cell r="O95">
            <v>0</v>
          </cell>
        </row>
        <row r="96">
          <cell r="C96"/>
          <cell r="H96">
            <v>80387.707550021994</v>
          </cell>
          <cell r="I96">
            <v>31364.5556</v>
          </cell>
          <cell r="J96">
            <v>49472.247239999997</v>
          </cell>
          <cell r="K96"/>
          <cell r="L96">
            <v>6544.3716957384095</v>
          </cell>
          <cell r="M96">
            <v>0</v>
          </cell>
          <cell r="N96">
            <v>26663.029199999997</v>
          </cell>
          <cell r="O96">
            <v>0</v>
          </cell>
        </row>
        <row r="97">
          <cell r="C97"/>
          <cell r="H97">
            <v>237010.66646143358</v>
          </cell>
          <cell r="I97">
            <v>84138.651200000008</v>
          </cell>
          <cell r="J97">
            <v>169765.67984</v>
          </cell>
          <cell r="K97"/>
          <cell r="L97">
            <v>21596.163294833244</v>
          </cell>
          <cell r="M97">
            <v>0</v>
          </cell>
          <cell r="N97">
            <v>80119.993599999987</v>
          </cell>
          <cell r="O97">
            <v>0</v>
          </cell>
        </row>
        <row r="98">
          <cell r="C98"/>
          <cell r="H98">
            <v>278755.32492080401</v>
          </cell>
          <cell r="I98">
            <v>107025.54399999999</v>
          </cell>
          <cell r="J98">
            <v>169268.51079999999</v>
          </cell>
          <cell r="K98"/>
          <cell r="L98">
            <v>23227.994785380561</v>
          </cell>
          <cell r="M98">
            <v>0</v>
          </cell>
          <cell r="N98">
            <v>115685.06</v>
          </cell>
          <cell r="O98">
            <v>0</v>
          </cell>
        </row>
        <row r="99">
          <cell r="H99"/>
          <cell r="I99"/>
          <cell r="J99"/>
          <cell r="K99"/>
          <cell r="L99"/>
          <cell r="M99"/>
          <cell r="N99"/>
          <cell r="O99"/>
        </row>
        <row r="100">
          <cell r="C100">
            <v>6</v>
          </cell>
          <cell r="H100">
            <v>689383.43357929878</v>
          </cell>
          <cell r="I100">
            <v>260429.28</v>
          </cell>
          <cell r="J100">
            <v>469952.45763999998</v>
          </cell>
          <cell r="K100"/>
          <cell r="L100">
            <v>60156.604937578391</v>
          </cell>
          <cell r="M100"/>
          <cell r="N100">
            <v>266467.57880000002</v>
          </cell>
          <cell r="O100"/>
        </row>
        <row r="101">
          <cell r="H101"/>
          <cell r="I101"/>
          <cell r="J101"/>
          <cell r="K101"/>
          <cell r="L101"/>
          <cell r="M101"/>
          <cell r="N101"/>
          <cell r="O101"/>
        </row>
        <row r="102">
          <cell r="H102" t="str">
            <v>.</v>
          </cell>
          <cell r="I102" t="str">
            <v>.</v>
          </cell>
          <cell r="J102" t="str">
            <v>.</v>
          </cell>
          <cell r="K102"/>
          <cell r="L102" t="str">
            <v>.</v>
          </cell>
          <cell r="M102"/>
          <cell r="N102" t="str">
            <v>.</v>
          </cell>
          <cell r="O102"/>
        </row>
        <row r="103">
          <cell r="H103" t="str">
            <v>.</v>
          </cell>
          <cell r="I103" t="str">
            <v>.</v>
          </cell>
          <cell r="J103" t="str">
            <v>.</v>
          </cell>
          <cell r="K103"/>
          <cell r="L103" t="str">
            <v>.</v>
          </cell>
          <cell r="M103"/>
          <cell r="N103" t="str">
            <v>.</v>
          </cell>
          <cell r="O103"/>
        </row>
        <row r="104">
          <cell r="H104"/>
          <cell r="I104"/>
          <cell r="J104"/>
          <cell r="K104"/>
          <cell r="L104"/>
          <cell r="M104"/>
          <cell r="N104"/>
          <cell r="O104"/>
        </row>
        <row r="105">
          <cell r="H105"/>
          <cell r="I105"/>
          <cell r="J105"/>
          <cell r="K105"/>
          <cell r="L105"/>
          <cell r="M105"/>
          <cell r="N105"/>
          <cell r="O105"/>
        </row>
        <row r="106">
          <cell r="H106"/>
          <cell r="I106"/>
          <cell r="J106"/>
          <cell r="K106"/>
          <cell r="L106"/>
          <cell r="M106"/>
          <cell r="N106"/>
          <cell r="O106"/>
        </row>
        <row r="107">
          <cell r="B107"/>
          <cell r="H107" t="str">
            <v>PRIVADA:</v>
          </cell>
          <cell r="I107" t="str">
            <v>SAN FERMÍN</v>
          </cell>
          <cell r="J107" t="str">
            <v>IMPORTE CONTRATADO</v>
          </cell>
          <cell r="K107"/>
          <cell r="L107">
            <v>6061361.879999998</v>
          </cell>
          <cell r="M107"/>
          <cell r="N107" t="str">
            <v>% ANTICIPO:</v>
          </cell>
          <cell r="O107">
            <v>0.32057066630994779</v>
          </cell>
        </row>
        <row r="108">
          <cell r="C108"/>
          <cell r="H108"/>
          <cell r="I108"/>
          <cell r="J108"/>
          <cell r="K108"/>
          <cell r="L108"/>
          <cell r="M108"/>
          <cell r="N108"/>
          <cell r="O108"/>
        </row>
        <row r="109">
          <cell r="B109">
            <v>7</v>
          </cell>
          <cell r="C109"/>
          <cell r="H109" t="str">
            <v>CONTRATISTA:</v>
          </cell>
          <cell r="I109" t="str">
            <v>ULIGAB</v>
          </cell>
          <cell r="J109" t="str">
            <v>MANZANA:</v>
          </cell>
          <cell r="K109">
            <v>17</v>
          </cell>
          <cell r="L109" t="str">
            <v>DEL LT:</v>
          </cell>
          <cell r="M109">
            <v>1</v>
          </cell>
          <cell r="N109" t="str">
            <v>AL LT:</v>
          </cell>
          <cell r="O109">
            <v>14</v>
          </cell>
        </row>
        <row r="110">
          <cell r="C110"/>
          <cell r="H110"/>
          <cell r="I110"/>
          <cell r="J110"/>
          <cell r="K110"/>
          <cell r="L110"/>
          <cell r="M110"/>
          <cell r="N110"/>
          <cell r="O110"/>
        </row>
        <row r="111">
          <cell r="H111" t="str">
            <v>ACERO</v>
          </cell>
          <cell r="I111" t="str">
            <v>BLOCK</v>
          </cell>
          <cell r="J111" t="str">
            <v>CONCRETO</v>
          </cell>
          <cell r="K111"/>
          <cell r="L111" t="str">
            <v>PINTURA</v>
          </cell>
          <cell r="M111"/>
          <cell r="N111" t="str">
            <v>VIGUETA Y BOVEDILLA</v>
          </cell>
          <cell r="O111"/>
        </row>
        <row r="112">
          <cell r="C112"/>
          <cell r="H112">
            <v>0</v>
          </cell>
          <cell r="I112">
            <v>0</v>
          </cell>
          <cell r="J112">
            <v>0</v>
          </cell>
          <cell r="K112"/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C113"/>
          <cell r="H113">
            <v>0</v>
          </cell>
          <cell r="I113">
            <v>0</v>
          </cell>
          <cell r="J113">
            <v>0</v>
          </cell>
          <cell r="K113"/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C114"/>
          <cell r="H114">
            <v>0</v>
          </cell>
          <cell r="I114">
            <v>0</v>
          </cell>
          <cell r="J114">
            <v>0</v>
          </cell>
          <cell r="K114"/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C115"/>
          <cell r="H115">
            <v>780514.9097782512</v>
          </cell>
          <cell r="I115">
            <v>299671.5232</v>
          </cell>
          <cell r="J115">
            <v>473951.83024000004</v>
          </cell>
          <cell r="K115"/>
          <cell r="L115">
            <v>65038.38539906557</v>
          </cell>
          <cell r="M115">
            <v>0</v>
          </cell>
          <cell r="N115">
            <v>323918.16800000001</v>
          </cell>
          <cell r="O115">
            <v>0</v>
          </cell>
        </row>
        <row r="116">
          <cell r="H116"/>
          <cell r="I116"/>
          <cell r="J116"/>
          <cell r="K116"/>
          <cell r="L116"/>
          <cell r="M116"/>
          <cell r="N116"/>
          <cell r="O116"/>
        </row>
        <row r="117">
          <cell r="C117">
            <v>7</v>
          </cell>
          <cell r="H117">
            <v>780514.9097782512</v>
          </cell>
          <cell r="I117">
            <v>299671.5232</v>
          </cell>
          <cell r="J117">
            <v>473951.83024000004</v>
          </cell>
          <cell r="K117"/>
          <cell r="L117">
            <v>65038.38539906557</v>
          </cell>
          <cell r="M117"/>
          <cell r="N117">
            <v>323918.16800000001</v>
          </cell>
          <cell r="O117"/>
        </row>
        <row r="118">
          <cell r="H118"/>
          <cell r="I118"/>
          <cell r="J118"/>
          <cell r="K118"/>
          <cell r="L118"/>
          <cell r="M118"/>
          <cell r="N118"/>
          <cell r="O118"/>
        </row>
        <row r="119">
          <cell r="H119" t="str">
            <v>.</v>
          </cell>
          <cell r="I119" t="str">
            <v>.</v>
          </cell>
          <cell r="J119" t="str">
            <v>.</v>
          </cell>
          <cell r="K119"/>
          <cell r="L119" t="str">
            <v>.</v>
          </cell>
          <cell r="M119"/>
          <cell r="N119" t="str">
            <v>.</v>
          </cell>
          <cell r="O119"/>
        </row>
        <row r="120">
          <cell r="H120" t="str">
            <v>.</v>
          </cell>
          <cell r="I120" t="str">
            <v>.</v>
          </cell>
          <cell r="J120" t="str">
            <v>.</v>
          </cell>
          <cell r="K120"/>
          <cell r="L120" t="str">
            <v>.</v>
          </cell>
          <cell r="M120"/>
          <cell r="N120" t="str">
            <v>.</v>
          </cell>
          <cell r="O120"/>
        </row>
        <row r="121">
          <cell r="H121"/>
          <cell r="I121"/>
          <cell r="J121"/>
          <cell r="K121"/>
          <cell r="L121"/>
          <cell r="M121"/>
          <cell r="N121"/>
          <cell r="O121"/>
        </row>
        <row r="122">
          <cell r="H122"/>
          <cell r="I122"/>
          <cell r="J122"/>
          <cell r="K122"/>
          <cell r="L122"/>
          <cell r="M122"/>
          <cell r="N122"/>
          <cell r="O122"/>
        </row>
        <row r="123">
          <cell r="H123"/>
          <cell r="I123"/>
          <cell r="J123"/>
          <cell r="K123"/>
          <cell r="L123"/>
          <cell r="M123"/>
          <cell r="N123"/>
          <cell r="O123"/>
        </row>
        <row r="124">
          <cell r="B124"/>
          <cell r="H124" t="str">
            <v>PRIVADA:</v>
          </cell>
          <cell r="I124" t="str">
            <v>SAN FERMÍN</v>
          </cell>
          <cell r="J124" t="str">
            <v>IMPORTE CONTRATADO</v>
          </cell>
          <cell r="K124"/>
          <cell r="L124">
            <v>6775901.9999999972</v>
          </cell>
          <cell r="M124"/>
          <cell r="N124" t="str">
            <v>% ANTICIPO:</v>
          </cell>
          <cell r="O124">
            <v>0.32784972983813598</v>
          </cell>
        </row>
        <row r="125">
          <cell r="C125"/>
          <cell r="H125"/>
          <cell r="I125"/>
          <cell r="J125"/>
          <cell r="K125"/>
          <cell r="L125"/>
          <cell r="M125"/>
          <cell r="N125"/>
          <cell r="O125"/>
        </row>
        <row r="126">
          <cell r="B126">
            <v>8</v>
          </cell>
          <cell r="C126"/>
          <cell r="H126" t="str">
            <v>CONTRATISTA:</v>
          </cell>
          <cell r="I126" t="str">
            <v>OBREGÓN</v>
          </cell>
          <cell r="J126" t="str">
            <v>MANZANA:</v>
          </cell>
          <cell r="K126">
            <v>18</v>
          </cell>
          <cell r="L126" t="str">
            <v>DEL LT:</v>
          </cell>
          <cell r="M126">
            <v>1</v>
          </cell>
          <cell r="N126" t="str">
            <v>AL LT:</v>
          </cell>
          <cell r="O126">
            <v>13</v>
          </cell>
        </row>
        <row r="127">
          <cell r="C127"/>
          <cell r="H127"/>
          <cell r="I127"/>
          <cell r="J127"/>
          <cell r="K127"/>
          <cell r="L127"/>
          <cell r="M127"/>
          <cell r="N127"/>
          <cell r="O127"/>
        </row>
        <row r="128">
          <cell r="H128" t="str">
            <v>ACERO</v>
          </cell>
          <cell r="I128" t="str">
            <v>BLOCK</v>
          </cell>
          <cell r="J128" t="str">
            <v>CONCRETO</v>
          </cell>
          <cell r="K128"/>
          <cell r="L128" t="str">
            <v>PINTURA</v>
          </cell>
          <cell r="M128"/>
          <cell r="N128" t="str">
            <v>VIGUETA Y BOVEDILLA</v>
          </cell>
          <cell r="O128"/>
        </row>
        <row r="129">
          <cell r="C129"/>
          <cell r="H129">
            <v>279689.20394111762</v>
          </cell>
          <cell r="I129">
            <v>113701.5876</v>
          </cell>
          <cell r="J129">
            <v>244338.05927999999</v>
          </cell>
          <cell r="K129"/>
          <cell r="L129">
            <v>26364.225484878531</v>
          </cell>
          <cell r="M129">
            <v>0</v>
          </cell>
          <cell r="N129">
            <v>131998.48800000001</v>
          </cell>
          <cell r="O129">
            <v>0</v>
          </cell>
        </row>
        <row r="130">
          <cell r="C130"/>
          <cell r="H130">
            <v>0</v>
          </cell>
          <cell r="I130">
            <v>0</v>
          </cell>
          <cell r="J130">
            <v>0</v>
          </cell>
          <cell r="K130"/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C131"/>
          <cell r="H131">
            <v>237010.66646143358</v>
          </cell>
          <cell r="I131">
            <v>84138.651200000008</v>
          </cell>
          <cell r="J131">
            <v>169765.67984</v>
          </cell>
          <cell r="K131"/>
          <cell r="L131">
            <v>21596.163294833244</v>
          </cell>
          <cell r="M131">
            <v>0</v>
          </cell>
          <cell r="N131">
            <v>80119.993599999987</v>
          </cell>
          <cell r="O131">
            <v>0</v>
          </cell>
        </row>
        <row r="132">
          <cell r="C132"/>
          <cell r="H132">
            <v>334506.38990496483</v>
          </cell>
          <cell r="I132">
            <v>128430.65279999998</v>
          </cell>
          <cell r="J132">
            <v>203122.21296</v>
          </cell>
          <cell r="K132"/>
          <cell r="L132">
            <v>27873.593742456673</v>
          </cell>
          <cell r="M132">
            <v>0</v>
          </cell>
          <cell r="N132">
            <v>138822.07199999999</v>
          </cell>
          <cell r="O132">
            <v>0</v>
          </cell>
        </row>
        <row r="133">
          <cell r="H133"/>
          <cell r="I133"/>
          <cell r="J133"/>
          <cell r="K133"/>
          <cell r="L133"/>
          <cell r="M133"/>
          <cell r="N133"/>
          <cell r="O133"/>
        </row>
        <row r="134">
          <cell r="C134">
            <v>8</v>
          </cell>
          <cell r="H134">
            <v>851206.26030751597</v>
          </cell>
          <cell r="I134">
            <v>326270.89159999997</v>
          </cell>
          <cell r="J134">
            <v>617225.95207999996</v>
          </cell>
          <cell r="K134"/>
          <cell r="L134">
            <v>75833.982522168459</v>
          </cell>
          <cell r="M134"/>
          <cell r="N134">
            <v>350940.55359999998</v>
          </cell>
          <cell r="O134"/>
        </row>
        <row r="135">
          <cell r="H135"/>
          <cell r="I135"/>
          <cell r="J135"/>
          <cell r="K135"/>
          <cell r="L135"/>
          <cell r="M135"/>
          <cell r="N135"/>
          <cell r="O135"/>
        </row>
        <row r="136">
          <cell r="H136" t="str">
            <v>.</v>
          </cell>
          <cell r="I136" t="str">
            <v>.</v>
          </cell>
          <cell r="J136" t="str">
            <v>.</v>
          </cell>
          <cell r="K136"/>
          <cell r="L136" t="str">
            <v>.</v>
          </cell>
          <cell r="M136"/>
          <cell r="N136" t="str">
            <v>.</v>
          </cell>
          <cell r="O136"/>
        </row>
        <row r="137">
          <cell r="H137" t="str">
            <v>.</v>
          </cell>
          <cell r="I137" t="str">
            <v>.</v>
          </cell>
          <cell r="J137" t="str">
            <v>.</v>
          </cell>
          <cell r="K137"/>
          <cell r="L137" t="str">
            <v>.</v>
          </cell>
          <cell r="M137"/>
          <cell r="N137" t="str">
            <v>.</v>
          </cell>
          <cell r="O137"/>
        </row>
        <row r="138">
          <cell r="H138"/>
          <cell r="I138"/>
          <cell r="J138"/>
          <cell r="K138"/>
          <cell r="L138"/>
          <cell r="M138"/>
          <cell r="N138"/>
          <cell r="O138"/>
        </row>
        <row r="139">
          <cell r="H139"/>
          <cell r="I139"/>
          <cell r="J139"/>
          <cell r="K139"/>
          <cell r="L139"/>
          <cell r="M139"/>
          <cell r="N139"/>
          <cell r="O139"/>
        </row>
        <row r="140">
          <cell r="H140"/>
          <cell r="I140"/>
          <cell r="J140"/>
          <cell r="K140"/>
          <cell r="L140"/>
          <cell r="M140"/>
          <cell r="N140"/>
          <cell r="O140"/>
        </row>
        <row r="141">
          <cell r="B141"/>
          <cell r="H141" t="str">
            <v>PRIVADA:</v>
          </cell>
          <cell r="I141" t="str">
            <v>SAN FERMÍN</v>
          </cell>
          <cell r="J141" t="str">
            <v>IMPORTE CONTRATADO</v>
          </cell>
          <cell r="K141"/>
          <cell r="L141">
            <v>13577068.560000001</v>
          </cell>
          <cell r="M141"/>
          <cell r="N141" t="str">
            <v>% ANTICIPO:</v>
          </cell>
          <cell r="O141">
            <v>0.3288724622830001</v>
          </cell>
        </row>
        <row r="142">
          <cell r="C142"/>
          <cell r="H142"/>
          <cell r="I142"/>
          <cell r="J142"/>
          <cell r="K142"/>
          <cell r="L142"/>
          <cell r="M142"/>
          <cell r="N142"/>
          <cell r="O142"/>
        </row>
        <row r="143">
          <cell r="B143">
            <v>9</v>
          </cell>
          <cell r="C143"/>
          <cell r="H143" t="str">
            <v>CONTRATISTA:</v>
          </cell>
          <cell r="I143" t="str">
            <v>CONSORCIO RM</v>
          </cell>
          <cell r="J143" t="str">
            <v>MANZANA:</v>
          </cell>
          <cell r="K143">
            <v>19</v>
          </cell>
          <cell r="L143" t="str">
            <v>DEL LT:</v>
          </cell>
          <cell r="M143">
            <v>1</v>
          </cell>
          <cell r="N143" t="str">
            <v>AL LT:</v>
          </cell>
          <cell r="O143">
            <v>26</v>
          </cell>
        </row>
        <row r="144">
          <cell r="C144"/>
          <cell r="H144"/>
          <cell r="I144"/>
          <cell r="J144"/>
          <cell r="K144"/>
          <cell r="L144"/>
          <cell r="M144"/>
          <cell r="N144"/>
          <cell r="O144"/>
        </row>
        <row r="145">
          <cell r="H145" t="str">
            <v>ACERO</v>
          </cell>
          <cell r="I145" t="str">
            <v>BLOCK</v>
          </cell>
          <cell r="J145" t="str">
            <v>CONCRETO</v>
          </cell>
          <cell r="K145"/>
          <cell r="L145" t="str">
            <v>PINTURA</v>
          </cell>
          <cell r="M145"/>
          <cell r="N145" t="str">
            <v>VIGUETA Y BOVEDILLA</v>
          </cell>
          <cell r="O145"/>
        </row>
        <row r="146">
          <cell r="C146"/>
          <cell r="H146">
            <v>466148.67323519604</v>
          </cell>
          <cell r="I146">
            <v>189502.64599999998</v>
          </cell>
          <cell r="J146">
            <v>407230.09879999998</v>
          </cell>
          <cell r="K146"/>
          <cell r="L146">
            <v>43940.375808130884</v>
          </cell>
          <cell r="M146">
            <v>0</v>
          </cell>
          <cell r="N146">
            <v>219997.47999999998</v>
          </cell>
          <cell r="O146">
            <v>0</v>
          </cell>
        </row>
        <row r="147">
          <cell r="C147"/>
          <cell r="H147">
            <v>160775.41510004399</v>
          </cell>
          <cell r="I147">
            <v>62729.111199999999</v>
          </cell>
          <cell r="J147">
            <v>98944.494479999994</v>
          </cell>
          <cell r="K147"/>
          <cell r="L147">
            <v>13088.743391476819</v>
          </cell>
          <cell r="M147">
            <v>0</v>
          </cell>
          <cell r="N147">
            <v>53326.058399999994</v>
          </cell>
          <cell r="O147">
            <v>0</v>
          </cell>
        </row>
        <row r="148">
          <cell r="C148"/>
          <cell r="H148">
            <v>711031.99938430078</v>
          </cell>
          <cell r="I148">
            <v>252415.95360000001</v>
          </cell>
          <cell r="J148">
            <v>509297.03951999999</v>
          </cell>
          <cell r="K148"/>
          <cell r="L148">
            <v>64788.489884499737</v>
          </cell>
          <cell r="M148">
            <v>0</v>
          </cell>
          <cell r="N148">
            <v>240359.98079999996</v>
          </cell>
          <cell r="O148">
            <v>0</v>
          </cell>
        </row>
        <row r="149">
          <cell r="C149"/>
          <cell r="H149">
            <v>390257.4548891256</v>
          </cell>
          <cell r="I149">
            <v>149835.7616</v>
          </cell>
          <cell r="J149">
            <v>236975.91512000002</v>
          </cell>
          <cell r="K149"/>
          <cell r="L149">
            <v>32519.192699532785</v>
          </cell>
          <cell r="M149">
            <v>0</v>
          </cell>
          <cell r="N149">
            <v>161959.084</v>
          </cell>
          <cell r="O149">
            <v>0</v>
          </cell>
        </row>
        <row r="150">
          <cell r="H150"/>
          <cell r="I150"/>
          <cell r="J150"/>
          <cell r="K150"/>
          <cell r="L150"/>
          <cell r="M150"/>
          <cell r="N150"/>
          <cell r="O150"/>
        </row>
        <row r="151">
          <cell r="C151">
            <v>9</v>
          </cell>
          <cell r="H151">
            <v>1728213.5426086665</v>
          </cell>
          <cell r="I151">
            <v>654483.47239999997</v>
          </cell>
          <cell r="J151">
            <v>1252447.54792</v>
          </cell>
          <cell r="K151"/>
          <cell r="L151">
            <v>154336.80178364023</v>
          </cell>
          <cell r="M151"/>
          <cell r="N151">
            <v>675642.6031999999</v>
          </cell>
          <cell r="O151"/>
        </row>
        <row r="152">
          <cell r="H152"/>
          <cell r="I152"/>
          <cell r="J152"/>
          <cell r="K152"/>
          <cell r="L152"/>
          <cell r="M152"/>
          <cell r="N152"/>
          <cell r="O152"/>
        </row>
        <row r="153">
          <cell r="H153" t="str">
            <v>.</v>
          </cell>
          <cell r="I153" t="str">
            <v>.</v>
          </cell>
          <cell r="J153" t="str">
            <v>.</v>
          </cell>
          <cell r="K153"/>
          <cell r="L153" t="str">
            <v>.</v>
          </cell>
          <cell r="M153"/>
          <cell r="N153" t="str">
            <v>.</v>
          </cell>
          <cell r="O153"/>
        </row>
        <row r="154">
          <cell r="H154" t="str">
            <v>.</v>
          </cell>
          <cell r="I154" t="str">
            <v>.</v>
          </cell>
          <cell r="J154" t="str">
            <v>.</v>
          </cell>
          <cell r="K154"/>
          <cell r="L154" t="str">
            <v>.</v>
          </cell>
          <cell r="M154"/>
          <cell r="N154" t="str">
            <v>.</v>
          </cell>
          <cell r="O154"/>
        </row>
        <row r="155">
          <cell r="H155"/>
          <cell r="I155"/>
          <cell r="J155"/>
          <cell r="K155"/>
          <cell r="L155"/>
          <cell r="M155"/>
          <cell r="N155"/>
          <cell r="O155"/>
        </row>
        <row r="156">
          <cell r="H156"/>
          <cell r="I156"/>
          <cell r="J156"/>
          <cell r="K156"/>
          <cell r="L156"/>
          <cell r="M156"/>
          <cell r="N156"/>
          <cell r="O156"/>
        </row>
        <row r="157">
          <cell r="H157"/>
          <cell r="I157"/>
          <cell r="J157"/>
          <cell r="K157"/>
          <cell r="L157"/>
          <cell r="M157"/>
          <cell r="N157"/>
          <cell r="O157"/>
        </row>
        <row r="158">
          <cell r="B158"/>
          <cell r="H158" t="str">
            <v>PRIVADA:</v>
          </cell>
          <cell r="I158" t="str">
            <v>SAN FERMÍN</v>
          </cell>
          <cell r="J158" t="str">
            <v>IMPORTE CONTRATADO</v>
          </cell>
          <cell r="K158"/>
          <cell r="L158">
            <v>7375152.4900000021</v>
          </cell>
          <cell r="M158"/>
          <cell r="N158" t="str">
            <v>% ANTICIPO:</v>
          </cell>
          <cell r="O158">
            <v>0.32388521300639178</v>
          </cell>
        </row>
        <row r="159">
          <cell r="C159"/>
          <cell r="H159"/>
          <cell r="I159"/>
          <cell r="J159"/>
          <cell r="K159"/>
          <cell r="L159"/>
          <cell r="M159"/>
          <cell r="N159"/>
          <cell r="O159"/>
        </row>
        <row r="160">
          <cell r="B160">
            <v>10</v>
          </cell>
          <cell r="C160"/>
          <cell r="H160" t="str">
            <v>CONTRATISTA:</v>
          </cell>
          <cell r="I160" t="str">
            <v>COINVI</v>
          </cell>
          <cell r="J160" t="str">
            <v>MANZANA:</v>
          </cell>
          <cell r="K160">
            <v>21</v>
          </cell>
          <cell r="L160" t="str">
            <v>DEL LT:</v>
          </cell>
          <cell r="M160">
            <v>1</v>
          </cell>
          <cell r="N160" t="str">
            <v>AL LT:</v>
          </cell>
          <cell r="O160">
            <v>16</v>
          </cell>
        </row>
        <row r="161">
          <cell r="C161"/>
          <cell r="H161"/>
          <cell r="I161"/>
          <cell r="J161"/>
          <cell r="K161"/>
          <cell r="L161"/>
          <cell r="M161"/>
          <cell r="N161"/>
          <cell r="O161"/>
        </row>
        <row r="162">
          <cell r="H162" t="str">
            <v>ACERO</v>
          </cell>
          <cell r="I162" t="str">
            <v>BLOCK</v>
          </cell>
          <cell r="J162" t="str">
            <v>CONCRETO</v>
          </cell>
          <cell r="K162"/>
          <cell r="L162" t="str">
            <v>PINTURA</v>
          </cell>
          <cell r="M162"/>
          <cell r="N162" t="str">
            <v>VIGUETA Y BOVEDILLA</v>
          </cell>
          <cell r="O162"/>
        </row>
        <row r="163">
          <cell r="C163"/>
          <cell r="H163">
            <v>0</v>
          </cell>
          <cell r="I163">
            <v>0</v>
          </cell>
          <cell r="J163">
            <v>0</v>
          </cell>
          <cell r="K163"/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C164"/>
          <cell r="H164">
            <v>80387.707550021994</v>
          </cell>
          <cell r="I164">
            <v>31364.5556</v>
          </cell>
          <cell r="J164">
            <v>49472.247239999997</v>
          </cell>
          <cell r="K164"/>
          <cell r="L164">
            <v>6544.3716957384095</v>
          </cell>
          <cell r="M164">
            <v>0</v>
          </cell>
          <cell r="N164">
            <v>26663.029199999997</v>
          </cell>
          <cell r="O164">
            <v>0</v>
          </cell>
        </row>
        <row r="165">
          <cell r="C165"/>
          <cell r="H165">
            <v>711031.99938430078</v>
          </cell>
          <cell r="I165">
            <v>252415.95360000001</v>
          </cell>
          <cell r="J165">
            <v>509297.03951999999</v>
          </cell>
          <cell r="K165"/>
          <cell r="L165">
            <v>64788.489884499737</v>
          </cell>
          <cell r="M165">
            <v>0</v>
          </cell>
          <cell r="N165">
            <v>240359.98079999996</v>
          </cell>
          <cell r="O165">
            <v>0</v>
          </cell>
        </row>
        <row r="166">
          <cell r="C166"/>
          <cell r="H166">
            <v>167253.19495248242</v>
          </cell>
          <cell r="I166">
            <v>64215.326399999991</v>
          </cell>
          <cell r="J166">
            <v>101561.10648</v>
          </cell>
          <cell r="K166"/>
          <cell r="L166">
            <v>13936.796871228336</v>
          </cell>
          <cell r="M166">
            <v>0</v>
          </cell>
          <cell r="N166">
            <v>69411.035999999993</v>
          </cell>
          <cell r="O166">
            <v>0</v>
          </cell>
        </row>
        <row r="167">
          <cell r="H167"/>
          <cell r="I167"/>
          <cell r="J167"/>
          <cell r="K167"/>
          <cell r="L167"/>
          <cell r="M167"/>
          <cell r="N167"/>
          <cell r="O167"/>
        </row>
        <row r="168">
          <cell r="C168">
            <v>10</v>
          </cell>
          <cell r="H168">
            <v>958672.90188680519</v>
          </cell>
          <cell r="I168">
            <v>347995.83559999999</v>
          </cell>
          <cell r="J168">
            <v>660330.39324</v>
          </cell>
          <cell r="K168"/>
          <cell r="L168">
            <v>85269.658451466486</v>
          </cell>
          <cell r="M168"/>
          <cell r="N168">
            <v>336434.04599999997</v>
          </cell>
          <cell r="O168"/>
        </row>
        <row r="169">
          <cell r="H169"/>
          <cell r="I169"/>
          <cell r="J169"/>
          <cell r="K169"/>
          <cell r="L169"/>
          <cell r="M169"/>
          <cell r="N169"/>
          <cell r="O169"/>
        </row>
        <row r="170">
          <cell r="H170" t="str">
            <v>.</v>
          </cell>
          <cell r="I170" t="str">
            <v>.</v>
          </cell>
          <cell r="J170" t="str">
            <v>.</v>
          </cell>
          <cell r="K170"/>
          <cell r="L170" t="str">
            <v>.</v>
          </cell>
          <cell r="M170"/>
          <cell r="N170" t="str">
            <v>.</v>
          </cell>
          <cell r="O170"/>
        </row>
        <row r="171">
          <cell r="H171" t="str">
            <v>.</v>
          </cell>
          <cell r="I171" t="str">
            <v>.</v>
          </cell>
          <cell r="J171" t="str">
            <v>.</v>
          </cell>
          <cell r="K171"/>
          <cell r="L171" t="str">
            <v>.</v>
          </cell>
          <cell r="M171"/>
          <cell r="N171" t="str">
            <v>.</v>
          </cell>
          <cell r="O171"/>
        </row>
        <row r="172">
          <cell r="H172"/>
          <cell r="I172"/>
          <cell r="J172"/>
          <cell r="K172"/>
          <cell r="L172"/>
          <cell r="M172"/>
          <cell r="N172"/>
          <cell r="O172"/>
        </row>
        <row r="173">
          <cell r="H173"/>
          <cell r="I173"/>
          <cell r="J173"/>
          <cell r="K173"/>
          <cell r="L173"/>
          <cell r="M173"/>
          <cell r="N173"/>
          <cell r="O173"/>
        </row>
        <row r="174">
          <cell r="H174"/>
          <cell r="I174"/>
          <cell r="J174"/>
          <cell r="K174"/>
          <cell r="L174"/>
          <cell r="M174"/>
          <cell r="N174"/>
          <cell r="O174"/>
        </row>
        <row r="175">
          <cell r="B175"/>
          <cell r="H175" t="str">
            <v>PRIVADA:</v>
          </cell>
          <cell r="I175" t="str">
            <v>SAN FERMÍN</v>
          </cell>
          <cell r="J175" t="str">
            <v>IMPORTE CONTRATADO</v>
          </cell>
          <cell r="K175"/>
          <cell r="L175">
            <v>7592078.9699999969</v>
          </cell>
          <cell r="M175"/>
          <cell r="N175" t="str">
            <v>% ANTICIPO:</v>
          </cell>
          <cell r="O175">
            <v>0.32513461784454439</v>
          </cell>
        </row>
        <row r="176">
          <cell r="C176"/>
          <cell r="H176"/>
          <cell r="I176"/>
          <cell r="J176"/>
          <cell r="K176"/>
          <cell r="L176"/>
          <cell r="M176"/>
          <cell r="N176"/>
          <cell r="O176"/>
        </row>
        <row r="177">
          <cell r="B177">
            <v>11</v>
          </cell>
          <cell r="C177"/>
          <cell r="H177" t="str">
            <v>CONTRATISTA:</v>
          </cell>
          <cell r="I177" t="str">
            <v>ALAMEDA</v>
          </cell>
          <cell r="J177" t="str">
            <v>MANZANA:</v>
          </cell>
          <cell r="K177">
            <v>21</v>
          </cell>
          <cell r="L177" t="str">
            <v>DEL LT:</v>
          </cell>
          <cell r="M177">
            <v>17</v>
          </cell>
          <cell r="N177" t="str">
            <v>AL LT:</v>
          </cell>
          <cell r="O177">
            <v>32</v>
          </cell>
        </row>
        <row r="178">
          <cell r="C178"/>
          <cell r="H178"/>
          <cell r="I178"/>
          <cell r="J178"/>
          <cell r="K178"/>
          <cell r="L178"/>
          <cell r="M178"/>
          <cell r="N178"/>
          <cell r="O178"/>
        </row>
        <row r="179">
          <cell r="H179" t="str">
            <v>ACERO</v>
          </cell>
          <cell r="I179" t="str">
            <v>BLOCK</v>
          </cell>
          <cell r="J179" t="str">
            <v>CONCRETO</v>
          </cell>
          <cell r="K179"/>
          <cell r="L179" t="str">
            <v>PINTURA</v>
          </cell>
          <cell r="M179"/>
          <cell r="N179" t="str">
            <v>VIGUETA Y BOVEDILLA</v>
          </cell>
          <cell r="O179"/>
        </row>
        <row r="180">
          <cell r="C180"/>
          <cell r="H180">
            <v>93229.734647039208</v>
          </cell>
          <cell r="I180">
            <v>37900.529199999997</v>
          </cell>
          <cell r="J180">
            <v>81446.019759999996</v>
          </cell>
          <cell r="K180"/>
          <cell r="L180">
            <v>8788.0751616261769</v>
          </cell>
          <cell r="M180">
            <v>0</v>
          </cell>
          <cell r="N180">
            <v>43999.495999999999</v>
          </cell>
          <cell r="O180">
            <v>0</v>
          </cell>
        </row>
        <row r="181">
          <cell r="C181"/>
          <cell r="H181">
            <v>80387.707550021994</v>
          </cell>
          <cell r="I181">
            <v>31364.5556</v>
          </cell>
          <cell r="J181">
            <v>49472.247239999997</v>
          </cell>
          <cell r="K181"/>
          <cell r="L181">
            <v>6544.3716957384095</v>
          </cell>
          <cell r="M181">
            <v>0</v>
          </cell>
          <cell r="N181">
            <v>26663.029199999997</v>
          </cell>
          <cell r="O181">
            <v>0</v>
          </cell>
        </row>
        <row r="182">
          <cell r="C182"/>
          <cell r="H182">
            <v>414768.66630750877</v>
          </cell>
          <cell r="I182">
            <v>147242.63960000002</v>
          </cell>
          <cell r="J182">
            <v>297089.93972000002</v>
          </cell>
          <cell r="K182"/>
          <cell r="L182">
            <v>37793.285765958179</v>
          </cell>
          <cell r="M182">
            <v>0</v>
          </cell>
          <cell r="N182">
            <v>140209.98879999999</v>
          </cell>
          <cell r="O182">
            <v>0</v>
          </cell>
        </row>
        <row r="183">
          <cell r="C183"/>
          <cell r="H183">
            <v>390257.4548891256</v>
          </cell>
          <cell r="I183">
            <v>149835.7616</v>
          </cell>
          <cell r="J183">
            <v>236975.91512000002</v>
          </cell>
          <cell r="K183"/>
          <cell r="L183">
            <v>32519.192699532785</v>
          </cell>
          <cell r="M183">
            <v>0</v>
          </cell>
          <cell r="N183">
            <v>161959.084</v>
          </cell>
          <cell r="O183">
            <v>0</v>
          </cell>
        </row>
        <row r="184">
          <cell r="H184"/>
          <cell r="I184"/>
          <cell r="J184"/>
          <cell r="K184"/>
          <cell r="L184"/>
          <cell r="M184"/>
          <cell r="N184"/>
          <cell r="O184"/>
        </row>
        <row r="185">
          <cell r="C185">
            <v>11</v>
          </cell>
          <cell r="H185">
            <v>978643.56339369551</v>
          </cell>
          <cell r="I185">
            <v>366343.48600000003</v>
          </cell>
          <cell r="J185">
            <v>664984.12184000004</v>
          </cell>
          <cell r="K185"/>
          <cell r="L185">
            <v>85644.925322855546</v>
          </cell>
          <cell r="M185"/>
          <cell r="N185">
            <v>372831.598</v>
          </cell>
          <cell r="O185"/>
        </row>
        <row r="186">
          <cell r="H186"/>
          <cell r="I186"/>
          <cell r="J186"/>
          <cell r="K186"/>
          <cell r="L186"/>
          <cell r="M186"/>
          <cell r="N186"/>
          <cell r="O186"/>
        </row>
        <row r="187">
          <cell r="H187" t="str">
            <v>.</v>
          </cell>
          <cell r="I187" t="str">
            <v>.</v>
          </cell>
          <cell r="J187" t="str">
            <v>.</v>
          </cell>
          <cell r="K187"/>
          <cell r="L187" t="str">
            <v>.</v>
          </cell>
          <cell r="M187"/>
          <cell r="N187" t="str">
            <v>.</v>
          </cell>
          <cell r="O187"/>
        </row>
        <row r="188">
          <cell r="H188" t="str">
            <v>.</v>
          </cell>
          <cell r="I188" t="str">
            <v>.</v>
          </cell>
          <cell r="J188" t="str">
            <v>.</v>
          </cell>
          <cell r="K188"/>
          <cell r="L188" t="str">
            <v>.</v>
          </cell>
          <cell r="M188"/>
          <cell r="N188" t="str">
            <v>.</v>
          </cell>
          <cell r="O188"/>
        </row>
        <row r="189">
          <cell r="H189"/>
          <cell r="I189"/>
          <cell r="J189"/>
          <cell r="K189"/>
          <cell r="L189"/>
          <cell r="M189"/>
          <cell r="N189"/>
          <cell r="O189"/>
        </row>
        <row r="190">
          <cell r="H190"/>
          <cell r="I190"/>
          <cell r="J190"/>
          <cell r="K190"/>
          <cell r="L190"/>
          <cell r="M190"/>
          <cell r="N190"/>
          <cell r="O190"/>
        </row>
        <row r="191">
          <cell r="H191"/>
          <cell r="I191"/>
          <cell r="J191"/>
          <cell r="K191"/>
          <cell r="L191"/>
          <cell r="M191"/>
          <cell r="N191"/>
          <cell r="O191"/>
        </row>
        <row r="192">
          <cell r="B192"/>
          <cell r="H192" t="str">
            <v>PRIVADA:</v>
          </cell>
          <cell r="I192" t="str">
            <v>SAN FERMÍN</v>
          </cell>
          <cell r="J192" t="str">
            <v>IMPORTE CONTRATADO</v>
          </cell>
          <cell r="K192"/>
          <cell r="L192">
            <v>6886500.1999999983</v>
          </cell>
          <cell r="M192"/>
          <cell r="N192" t="str">
            <v>% ANTICIPO:</v>
          </cell>
          <cell r="O192">
            <v>0.33244289525859028</v>
          </cell>
        </row>
        <row r="193">
          <cell r="C193"/>
          <cell r="H193"/>
          <cell r="I193"/>
          <cell r="J193"/>
          <cell r="K193"/>
          <cell r="L193"/>
          <cell r="M193"/>
          <cell r="N193"/>
          <cell r="O193"/>
        </row>
        <row r="194">
          <cell r="B194">
            <v>12</v>
          </cell>
          <cell r="C194"/>
          <cell r="H194" t="str">
            <v>CONTRATISTA:</v>
          </cell>
          <cell r="I194" t="str">
            <v>ULIGAB</v>
          </cell>
          <cell r="J194" t="str">
            <v>MANZANA:</v>
          </cell>
          <cell r="K194">
            <v>23</v>
          </cell>
          <cell r="L194" t="str">
            <v>DEL LT:</v>
          </cell>
          <cell r="M194">
            <v>1</v>
          </cell>
          <cell r="N194" t="str">
            <v>AL LT:</v>
          </cell>
          <cell r="O194">
            <v>13</v>
          </cell>
        </row>
        <row r="195">
          <cell r="C195"/>
          <cell r="H195"/>
          <cell r="I195"/>
          <cell r="J195"/>
          <cell r="K195"/>
          <cell r="L195"/>
          <cell r="M195"/>
          <cell r="N195"/>
          <cell r="O195"/>
        </row>
        <row r="196">
          <cell r="H196" t="str">
            <v>ACERO</v>
          </cell>
          <cell r="I196" t="str">
            <v>BLOCK</v>
          </cell>
          <cell r="J196" t="str">
            <v>CONCRETO</v>
          </cell>
          <cell r="K196"/>
          <cell r="L196" t="str">
            <v>PINTURA</v>
          </cell>
          <cell r="M196"/>
          <cell r="N196" t="str">
            <v>VIGUETA Y BOVEDILLA</v>
          </cell>
          <cell r="O196"/>
        </row>
        <row r="197">
          <cell r="C197"/>
          <cell r="H197">
            <v>186459.46929407842</v>
          </cell>
          <cell r="I197">
            <v>75801.058399999994</v>
          </cell>
          <cell r="J197">
            <v>162892.03951999999</v>
          </cell>
          <cell r="K197"/>
          <cell r="L197">
            <v>17576.150323252354</v>
          </cell>
          <cell r="M197">
            <v>0</v>
          </cell>
          <cell r="N197">
            <v>87998.991999999998</v>
          </cell>
          <cell r="O197">
            <v>0</v>
          </cell>
        </row>
        <row r="198">
          <cell r="C198"/>
          <cell r="H198">
            <v>321550.83020008798</v>
          </cell>
          <cell r="I198">
            <v>125458.2224</v>
          </cell>
          <cell r="J198">
            <v>197888.98895999999</v>
          </cell>
          <cell r="K198"/>
          <cell r="L198">
            <v>26177.486782953638</v>
          </cell>
          <cell r="M198">
            <v>0</v>
          </cell>
          <cell r="N198">
            <v>106652.11679999999</v>
          </cell>
          <cell r="O198">
            <v>0</v>
          </cell>
        </row>
        <row r="199">
          <cell r="C199"/>
          <cell r="H199">
            <v>59252.666615358394</v>
          </cell>
          <cell r="I199">
            <v>21034.662800000002</v>
          </cell>
          <cell r="J199">
            <v>42441.419959999999</v>
          </cell>
          <cell r="K199"/>
          <cell r="L199">
            <v>5399.0408237083111</v>
          </cell>
          <cell r="M199">
            <v>0</v>
          </cell>
          <cell r="N199">
            <v>20029.998399999997</v>
          </cell>
          <cell r="O199">
            <v>0</v>
          </cell>
        </row>
        <row r="200">
          <cell r="C200"/>
          <cell r="H200">
            <v>334506.38990496483</v>
          </cell>
          <cell r="I200">
            <v>128430.65279999998</v>
          </cell>
          <cell r="J200">
            <v>203122.21296</v>
          </cell>
          <cell r="K200"/>
          <cell r="L200">
            <v>27873.593742456673</v>
          </cell>
          <cell r="M200">
            <v>0</v>
          </cell>
          <cell r="N200">
            <v>138822.07199999999</v>
          </cell>
          <cell r="O200">
            <v>0</v>
          </cell>
        </row>
        <row r="201">
          <cell r="H201"/>
          <cell r="I201"/>
          <cell r="J201"/>
          <cell r="K201"/>
          <cell r="L201"/>
          <cell r="M201"/>
          <cell r="N201"/>
          <cell r="O201"/>
        </row>
        <row r="202">
          <cell r="C202">
            <v>12</v>
          </cell>
          <cell r="H202">
            <v>901769.35601448966</v>
          </cell>
          <cell r="I202">
            <v>350724.59639999998</v>
          </cell>
          <cell r="J202">
            <v>606344.66139999998</v>
          </cell>
          <cell r="K202"/>
          <cell r="L202">
            <v>77026.271672370975</v>
          </cell>
          <cell r="M202"/>
          <cell r="N202">
            <v>353503.17919999996</v>
          </cell>
          <cell r="O202"/>
        </row>
        <row r="203">
          <cell r="H203"/>
          <cell r="I203"/>
          <cell r="J203"/>
          <cell r="K203"/>
          <cell r="L203"/>
          <cell r="M203"/>
          <cell r="N203"/>
          <cell r="O203"/>
        </row>
        <row r="204">
          <cell r="H204" t="str">
            <v>.</v>
          </cell>
          <cell r="I204" t="str">
            <v>.</v>
          </cell>
          <cell r="J204" t="str">
            <v>.</v>
          </cell>
          <cell r="K204"/>
          <cell r="L204" t="str">
            <v>.</v>
          </cell>
          <cell r="M204"/>
          <cell r="N204" t="str">
            <v>.</v>
          </cell>
          <cell r="O204"/>
        </row>
        <row r="205">
          <cell r="H205" t="str">
            <v>.</v>
          </cell>
          <cell r="I205" t="str">
            <v>.</v>
          </cell>
          <cell r="J205" t="str">
            <v>.</v>
          </cell>
          <cell r="K205"/>
          <cell r="L205" t="str">
            <v>.</v>
          </cell>
          <cell r="M205"/>
          <cell r="N205" t="str">
            <v>.</v>
          </cell>
          <cell r="O205"/>
        </row>
        <row r="206">
          <cell r="H206"/>
          <cell r="I206"/>
          <cell r="J206"/>
          <cell r="K206"/>
          <cell r="L206"/>
          <cell r="M206"/>
          <cell r="N206"/>
          <cell r="O206"/>
        </row>
        <row r="207">
          <cell r="H207"/>
          <cell r="I207"/>
          <cell r="J207"/>
          <cell r="K207"/>
          <cell r="L207"/>
          <cell r="M207"/>
          <cell r="N207"/>
          <cell r="O207"/>
        </row>
        <row r="208">
          <cell r="H208"/>
          <cell r="I208"/>
          <cell r="J208"/>
          <cell r="K208"/>
          <cell r="L208"/>
          <cell r="M208"/>
          <cell r="N208"/>
          <cell r="O208"/>
        </row>
        <row r="209">
          <cell r="B209"/>
          <cell r="H209" t="str">
            <v>PRIVADA:</v>
          </cell>
          <cell r="I209" t="str">
            <v>SAN FERMÍN</v>
          </cell>
          <cell r="J209" t="str">
            <v>IMPORTE CONTRATADO</v>
          </cell>
          <cell r="K209"/>
          <cell r="L209">
            <v>6644309.1599999983</v>
          </cell>
          <cell r="M209"/>
          <cell r="N209" t="str">
            <v>% ANTICIPO:</v>
          </cell>
          <cell r="O209">
            <v>0.32922226599336085</v>
          </cell>
        </row>
        <row r="210">
          <cell r="C210"/>
          <cell r="H210"/>
          <cell r="I210"/>
          <cell r="J210"/>
          <cell r="K210"/>
          <cell r="L210"/>
          <cell r="M210"/>
          <cell r="N210"/>
          <cell r="O210"/>
        </row>
        <row r="211">
          <cell r="B211">
            <v>13</v>
          </cell>
          <cell r="C211"/>
          <cell r="H211" t="str">
            <v>CONTRATISTA:</v>
          </cell>
          <cell r="I211" t="str">
            <v>POWER PACHUCA</v>
          </cell>
          <cell r="J211" t="str">
            <v>MANZANA:</v>
          </cell>
          <cell r="K211">
            <v>24</v>
          </cell>
          <cell r="L211" t="str">
            <v>DEL LT:</v>
          </cell>
          <cell r="M211">
            <v>1</v>
          </cell>
          <cell r="N211" t="str">
            <v>AL LT:</v>
          </cell>
          <cell r="O211">
            <v>13</v>
          </cell>
        </row>
        <row r="212">
          <cell r="C212"/>
          <cell r="H212"/>
          <cell r="I212"/>
          <cell r="J212"/>
          <cell r="K212"/>
          <cell r="L212"/>
          <cell r="M212"/>
          <cell r="N212"/>
          <cell r="O212"/>
        </row>
        <row r="213">
          <cell r="H213" t="str">
            <v>ACERO</v>
          </cell>
          <cell r="I213" t="str">
            <v>BLOCK</v>
          </cell>
          <cell r="J213" t="str">
            <v>CONCRETO</v>
          </cell>
          <cell r="K213"/>
          <cell r="L213" t="str">
            <v>PINTURA</v>
          </cell>
          <cell r="M213"/>
          <cell r="N213" t="str">
            <v>VIGUETA Y BOVEDILLA</v>
          </cell>
          <cell r="O213"/>
        </row>
        <row r="214">
          <cell r="C214"/>
          <cell r="H214">
            <v>186459.46929407842</v>
          </cell>
          <cell r="I214">
            <v>75801.058399999994</v>
          </cell>
          <cell r="J214">
            <v>162892.03951999999</v>
          </cell>
          <cell r="K214"/>
          <cell r="L214">
            <v>17576.150323252354</v>
          </cell>
          <cell r="M214">
            <v>0</v>
          </cell>
          <cell r="N214">
            <v>87998.991999999998</v>
          </cell>
          <cell r="O214">
            <v>0</v>
          </cell>
        </row>
        <row r="215">
          <cell r="C215"/>
          <cell r="H215">
            <v>160775.41510004399</v>
          </cell>
          <cell r="I215">
            <v>62729.111199999999</v>
          </cell>
          <cell r="J215">
            <v>98944.494479999994</v>
          </cell>
          <cell r="K215"/>
          <cell r="L215">
            <v>13088.743391476819</v>
          </cell>
          <cell r="M215">
            <v>0</v>
          </cell>
          <cell r="N215">
            <v>53326.058399999994</v>
          </cell>
          <cell r="O215">
            <v>0</v>
          </cell>
        </row>
        <row r="216">
          <cell r="C216"/>
          <cell r="H216">
            <v>118505.33323071679</v>
          </cell>
          <cell r="I216">
            <v>42069.325600000004</v>
          </cell>
          <cell r="J216">
            <v>84882.839919999999</v>
          </cell>
          <cell r="K216"/>
          <cell r="L216">
            <v>10798.081647416622</v>
          </cell>
          <cell r="M216">
            <v>0</v>
          </cell>
          <cell r="N216">
            <v>40059.996799999994</v>
          </cell>
          <cell r="O216">
            <v>0</v>
          </cell>
        </row>
        <row r="217">
          <cell r="C217"/>
          <cell r="H217">
            <v>390257.4548891256</v>
          </cell>
          <cell r="I217">
            <v>149835.7616</v>
          </cell>
          <cell r="J217">
            <v>236975.91512000002</v>
          </cell>
          <cell r="K217"/>
          <cell r="L217">
            <v>32519.192699532785</v>
          </cell>
          <cell r="M217">
            <v>0</v>
          </cell>
          <cell r="N217">
            <v>161959.084</v>
          </cell>
          <cell r="O217">
            <v>0</v>
          </cell>
        </row>
        <row r="218">
          <cell r="H218"/>
          <cell r="I218"/>
          <cell r="J218"/>
          <cell r="K218"/>
          <cell r="L218"/>
          <cell r="M218"/>
          <cell r="N218"/>
          <cell r="O218"/>
        </row>
        <row r="219">
          <cell r="C219">
            <v>13</v>
          </cell>
          <cell r="H219">
            <v>855997.67251396482</v>
          </cell>
          <cell r="I219">
            <v>330435.25679999997</v>
          </cell>
          <cell r="J219">
            <v>583695.28903999995</v>
          </cell>
          <cell r="K219"/>
          <cell r="L219">
            <v>73982.168061678574</v>
          </cell>
          <cell r="M219"/>
          <cell r="N219">
            <v>343344.1312</v>
          </cell>
          <cell r="O219"/>
        </row>
        <row r="220">
          <cell r="H220"/>
          <cell r="I220"/>
          <cell r="J220"/>
          <cell r="K220"/>
          <cell r="L220"/>
          <cell r="M220"/>
          <cell r="N220"/>
          <cell r="O220"/>
        </row>
        <row r="221">
          <cell r="H221" t="str">
            <v>.</v>
          </cell>
          <cell r="I221" t="str">
            <v>.</v>
          </cell>
          <cell r="J221" t="str">
            <v>.</v>
          </cell>
          <cell r="K221"/>
          <cell r="L221" t="str">
            <v>.</v>
          </cell>
          <cell r="M221"/>
          <cell r="N221" t="str">
            <v>.</v>
          </cell>
          <cell r="O221"/>
        </row>
        <row r="222">
          <cell r="H222" t="str">
            <v>.</v>
          </cell>
          <cell r="I222" t="str">
            <v>.</v>
          </cell>
          <cell r="J222" t="str">
            <v>.</v>
          </cell>
          <cell r="K222"/>
          <cell r="L222" t="str">
            <v>.</v>
          </cell>
          <cell r="M222"/>
          <cell r="N222" t="str">
            <v>.</v>
          </cell>
          <cell r="O222"/>
        </row>
        <row r="223">
          <cell r="H223"/>
          <cell r="I223"/>
          <cell r="J223"/>
          <cell r="K223"/>
          <cell r="L223"/>
          <cell r="M223"/>
          <cell r="N223"/>
          <cell r="O223"/>
        </row>
        <row r="224">
          <cell r="H224"/>
          <cell r="I224"/>
          <cell r="J224"/>
          <cell r="K224"/>
          <cell r="L224"/>
          <cell r="M224"/>
          <cell r="N224"/>
          <cell r="O224"/>
        </row>
        <row r="225">
          <cell r="H225"/>
          <cell r="I225"/>
          <cell r="J225"/>
          <cell r="K225"/>
          <cell r="L225"/>
          <cell r="M225"/>
          <cell r="N225"/>
          <cell r="O225"/>
        </row>
        <row r="226">
          <cell r="B226"/>
          <cell r="H226" t="str">
            <v>PRIVADA:</v>
          </cell>
          <cell r="I226" t="str">
            <v>SAN FERMÍN</v>
          </cell>
          <cell r="J226" t="str">
            <v>IMPORTE CONTRATADO</v>
          </cell>
          <cell r="K226"/>
          <cell r="L226">
            <v>1485316.0299999996</v>
          </cell>
          <cell r="M226"/>
          <cell r="N226" t="str">
            <v>% ANTICIPO:</v>
          </cell>
          <cell r="O226">
            <v>0.33039937533286701</v>
          </cell>
        </row>
        <row r="227">
          <cell r="C227"/>
          <cell r="H227"/>
          <cell r="I227"/>
          <cell r="J227"/>
          <cell r="K227"/>
          <cell r="L227"/>
          <cell r="M227"/>
          <cell r="N227"/>
          <cell r="O227"/>
        </row>
        <row r="228">
          <cell r="B228">
            <v>14</v>
          </cell>
          <cell r="C228"/>
          <cell r="H228" t="str">
            <v>CONTRATISTA:</v>
          </cell>
          <cell r="I228" t="str">
            <v>FASAR</v>
          </cell>
          <cell r="J228" t="str">
            <v>MANZANA:</v>
          </cell>
          <cell r="K228">
            <v>25</v>
          </cell>
          <cell r="L228" t="str">
            <v>DEL LT:</v>
          </cell>
          <cell r="M228">
            <v>1</v>
          </cell>
          <cell r="N228" t="str">
            <v>AL LT:</v>
          </cell>
          <cell r="O228">
            <v>3</v>
          </cell>
        </row>
        <row r="229">
          <cell r="C229"/>
          <cell r="H229"/>
          <cell r="I229"/>
          <cell r="J229"/>
          <cell r="K229"/>
          <cell r="L229"/>
          <cell r="M229"/>
          <cell r="N229"/>
          <cell r="O229"/>
        </row>
        <row r="230">
          <cell r="H230" t="str">
            <v>ACERO</v>
          </cell>
          <cell r="I230" t="str">
            <v>BLOCK</v>
          </cell>
          <cell r="J230" t="str">
            <v>CONCRETO</v>
          </cell>
          <cell r="K230"/>
          <cell r="L230" t="str">
            <v>PINTURA</v>
          </cell>
          <cell r="M230"/>
          <cell r="N230" t="str">
            <v>VIGUETA Y BOVEDILLA</v>
          </cell>
          <cell r="O230"/>
        </row>
        <row r="231">
          <cell r="C231"/>
          <cell r="H231">
            <v>0</v>
          </cell>
          <cell r="I231">
            <v>0</v>
          </cell>
          <cell r="J231">
            <v>0</v>
          </cell>
          <cell r="K231"/>
          <cell r="L231">
            <v>0</v>
          </cell>
          <cell r="M231">
            <v>0</v>
          </cell>
          <cell r="N231">
            <v>0</v>
          </cell>
          <cell r="O231">
            <v>0</v>
          </cell>
        </row>
        <row r="232">
          <cell r="C232"/>
          <cell r="H232">
            <v>80387.707550021994</v>
          </cell>
          <cell r="I232">
            <v>31364.5556</v>
          </cell>
          <cell r="J232">
            <v>49472.247239999997</v>
          </cell>
          <cell r="K232"/>
          <cell r="L232">
            <v>6544.3716957384095</v>
          </cell>
          <cell r="M232">
            <v>0</v>
          </cell>
          <cell r="N232">
            <v>26663.029199999997</v>
          </cell>
          <cell r="O232">
            <v>0</v>
          </cell>
        </row>
        <row r="233">
          <cell r="C233"/>
          <cell r="H233">
            <v>118505.33323071679</v>
          </cell>
          <cell r="I233">
            <v>42069.325600000004</v>
          </cell>
          <cell r="J233">
            <v>84882.839919999999</v>
          </cell>
          <cell r="K233"/>
          <cell r="L233">
            <v>10798.081647416622</v>
          </cell>
          <cell r="M233">
            <v>0</v>
          </cell>
          <cell r="N233">
            <v>40059.996799999994</v>
          </cell>
          <cell r="O233">
            <v>0</v>
          </cell>
        </row>
        <row r="234">
          <cell r="C234"/>
          <cell r="H234">
            <v>0</v>
          </cell>
          <cell r="I234">
            <v>0</v>
          </cell>
          <cell r="J234">
            <v>0</v>
          </cell>
          <cell r="K234"/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H235"/>
          <cell r="I235"/>
          <cell r="J235"/>
          <cell r="K235"/>
          <cell r="L235"/>
          <cell r="M235"/>
          <cell r="N235"/>
          <cell r="O235"/>
        </row>
        <row r="236">
          <cell r="C236">
            <v>14</v>
          </cell>
          <cell r="H236">
            <v>198893.04078073878</v>
          </cell>
          <cell r="I236">
            <v>73433.881200000003</v>
          </cell>
          <cell r="J236">
            <v>134355.08716</v>
          </cell>
          <cell r="K236"/>
          <cell r="L236">
            <v>17342.45334315503</v>
          </cell>
          <cell r="M236"/>
          <cell r="N236">
            <v>66723.025999999983</v>
          </cell>
          <cell r="O236"/>
        </row>
        <row r="237">
          <cell r="H237"/>
          <cell r="I237"/>
          <cell r="J237"/>
          <cell r="K237"/>
          <cell r="L237"/>
          <cell r="M237"/>
          <cell r="N237" t="str">
            <v>.</v>
          </cell>
          <cell r="O237"/>
        </row>
        <row r="238">
          <cell r="H238" t="str">
            <v>.</v>
          </cell>
          <cell r="I238" t="str">
            <v>.</v>
          </cell>
          <cell r="J238" t="str">
            <v>.</v>
          </cell>
          <cell r="K238"/>
          <cell r="L238" t="str">
            <v>.</v>
          </cell>
          <cell r="M238"/>
          <cell r="N238" t="str">
            <v>.</v>
          </cell>
          <cell r="O238"/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DORES"/>
      <sheetName val="PRECIOS MATERIALES"/>
      <sheetName val="MATERIALES PARA ANTICIPOS"/>
      <sheetName val="ANTICIPOS SAN SEBASTIÁN"/>
      <sheetName val="RESUMEN ANTICIPOS"/>
    </sheetNames>
    <sheetDataSet>
      <sheetData sheetId="0"/>
      <sheetData sheetId="1"/>
      <sheetData sheetId="2"/>
      <sheetData sheetId="3">
        <row r="1">
          <cell r="I1" t="str">
            <v>.</v>
          </cell>
          <cell r="K1"/>
        </row>
        <row r="2">
          <cell r="I2"/>
          <cell r="K2"/>
        </row>
        <row r="3">
          <cell r="I3"/>
          <cell r="K3"/>
        </row>
        <row r="4">
          <cell r="I4"/>
          <cell r="K4"/>
        </row>
        <row r="5">
          <cell r="B5"/>
          <cell r="I5" t="str">
            <v>SAN SEBASTIÁN</v>
          </cell>
          <cell r="K5"/>
        </row>
        <row r="6">
          <cell r="I6"/>
          <cell r="K6"/>
        </row>
        <row r="7">
          <cell r="B7">
            <v>3</v>
          </cell>
          <cell r="I7" t="str">
            <v>COINVI</v>
          </cell>
          <cell r="K7">
            <v>27</v>
          </cell>
        </row>
        <row r="8">
          <cell r="I8"/>
          <cell r="K8"/>
        </row>
        <row r="9">
          <cell r="I9" t="str">
            <v>BLOCK</v>
          </cell>
          <cell r="K9"/>
        </row>
        <row r="10">
          <cell r="I10">
            <v>0</v>
          </cell>
          <cell r="K10"/>
        </row>
        <row r="11">
          <cell r="I11">
            <v>188187.33360000001</v>
          </cell>
          <cell r="K11"/>
        </row>
        <row r="12">
          <cell r="I12">
            <v>126207.9768</v>
          </cell>
          <cell r="K12"/>
        </row>
        <row r="13">
          <cell r="I13">
            <v>0</v>
          </cell>
          <cell r="K13"/>
        </row>
        <row r="14">
          <cell r="I14"/>
          <cell r="K14"/>
        </row>
        <row r="15">
          <cell r="I15">
            <v>314395.31040000002</v>
          </cell>
          <cell r="K15"/>
        </row>
        <row r="16">
          <cell r="I16"/>
          <cell r="K16"/>
        </row>
        <row r="17">
          <cell r="I17" t="str">
            <v>.</v>
          </cell>
          <cell r="K17"/>
        </row>
        <row r="18">
          <cell r="I18" t="str">
            <v>.</v>
          </cell>
          <cell r="K18"/>
        </row>
        <row r="19">
          <cell r="I19"/>
          <cell r="K19"/>
        </row>
        <row r="20">
          <cell r="I20"/>
          <cell r="K20"/>
        </row>
        <row r="21">
          <cell r="I21"/>
          <cell r="K21"/>
        </row>
        <row r="22">
          <cell r="B22"/>
          <cell r="I22" t="str">
            <v>SAN SEBASTIÁN</v>
          </cell>
          <cell r="K22"/>
        </row>
        <row r="23">
          <cell r="I23"/>
          <cell r="K23"/>
        </row>
        <row r="24">
          <cell r="B24">
            <v>4</v>
          </cell>
          <cell r="I24" t="str">
            <v>OBREGÓN</v>
          </cell>
          <cell r="K24">
            <v>27</v>
          </cell>
        </row>
        <row r="25">
          <cell r="I25"/>
          <cell r="K25"/>
        </row>
        <row r="26">
          <cell r="I26" t="str">
            <v>BLOCK</v>
          </cell>
          <cell r="K26"/>
        </row>
        <row r="27">
          <cell r="I27">
            <v>227403.1752</v>
          </cell>
          <cell r="K27"/>
        </row>
        <row r="28">
          <cell r="I28">
            <v>188187.33360000001</v>
          </cell>
          <cell r="K28"/>
        </row>
        <row r="29">
          <cell r="I29">
            <v>0</v>
          </cell>
          <cell r="K29"/>
        </row>
        <row r="30">
          <cell r="I30">
            <v>0</v>
          </cell>
          <cell r="K30"/>
        </row>
        <row r="31">
          <cell r="I31"/>
          <cell r="K31"/>
        </row>
        <row r="32">
          <cell r="I32">
            <v>415590.50880000001</v>
          </cell>
          <cell r="K32"/>
        </row>
        <row r="33">
          <cell r="I33"/>
          <cell r="K33"/>
        </row>
        <row r="34">
          <cell r="I34" t="str">
            <v>.</v>
          </cell>
          <cell r="K34"/>
        </row>
        <row r="35">
          <cell r="I35" t="str">
            <v>.</v>
          </cell>
          <cell r="K35"/>
        </row>
        <row r="36">
          <cell r="I36"/>
          <cell r="K36"/>
        </row>
        <row r="37">
          <cell r="I37"/>
          <cell r="K37"/>
        </row>
        <row r="38">
          <cell r="I38"/>
          <cell r="K38"/>
        </row>
        <row r="39">
          <cell r="B39"/>
          <cell r="I39" t="str">
            <v>SAN SEBASTIÁN</v>
          </cell>
          <cell r="K39"/>
        </row>
        <row r="40">
          <cell r="I40"/>
          <cell r="K40"/>
        </row>
        <row r="41">
          <cell r="B41">
            <v>5</v>
          </cell>
          <cell r="I41" t="str">
            <v>POWER</v>
          </cell>
          <cell r="K41">
            <v>28</v>
          </cell>
        </row>
        <row r="42">
          <cell r="I42"/>
          <cell r="K42"/>
        </row>
        <row r="43">
          <cell r="I43" t="str">
            <v>BLOCK</v>
          </cell>
          <cell r="K43"/>
        </row>
        <row r="44">
          <cell r="I44">
            <v>37900.529199999997</v>
          </cell>
          <cell r="K44"/>
        </row>
        <row r="45">
          <cell r="I45">
            <v>188187.33360000001</v>
          </cell>
          <cell r="K45"/>
        </row>
        <row r="46">
          <cell r="I46">
            <v>105173.31400000001</v>
          </cell>
          <cell r="K46"/>
        </row>
        <row r="47">
          <cell r="I47">
            <v>149835.7616</v>
          </cell>
          <cell r="K47"/>
        </row>
        <row r="48">
          <cell r="I48"/>
          <cell r="K48"/>
        </row>
        <row r="49">
          <cell r="I49">
            <v>481096.93839999998</v>
          </cell>
          <cell r="K49"/>
        </row>
        <row r="50">
          <cell r="I50"/>
          <cell r="K50"/>
        </row>
        <row r="51">
          <cell r="I51" t="str">
            <v>.</v>
          </cell>
          <cell r="K51"/>
        </row>
        <row r="52">
          <cell r="I52" t="str">
            <v>.</v>
          </cell>
          <cell r="K52"/>
        </row>
        <row r="53">
          <cell r="I53"/>
          <cell r="K53"/>
        </row>
        <row r="54">
          <cell r="I54"/>
          <cell r="K54"/>
        </row>
        <row r="55">
          <cell r="I55"/>
          <cell r="K55"/>
        </row>
        <row r="56">
          <cell r="B56"/>
          <cell r="I56" t="str">
            <v>SAN SEBASTIÁN</v>
          </cell>
          <cell r="K56"/>
        </row>
        <row r="57">
          <cell r="I57"/>
          <cell r="K57"/>
        </row>
        <row r="58">
          <cell r="B58">
            <v>6</v>
          </cell>
          <cell r="I58" t="str">
            <v>FASAR</v>
          </cell>
          <cell r="K58" t="str">
            <v>29 Y 30</v>
          </cell>
        </row>
        <row r="59">
          <cell r="I59"/>
          <cell r="K59"/>
        </row>
        <row r="60">
          <cell r="I60" t="str">
            <v>BLOCK</v>
          </cell>
          <cell r="K60"/>
        </row>
        <row r="61">
          <cell r="I61">
            <v>75801.058399999994</v>
          </cell>
          <cell r="K61"/>
        </row>
        <row r="62">
          <cell r="I62">
            <v>188187.33360000001</v>
          </cell>
          <cell r="K62"/>
        </row>
        <row r="63">
          <cell r="I63">
            <v>189311.96520000001</v>
          </cell>
          <cell r="K63"/>
        </row>
        <row r="64">
          <cell r="I64">
            <v>0</v>
          </cell>
          <cell r="K64"/>
        </row>
        <row r="65">
          <cell r="I65"/>
          <cell r="K65"/>
        </row>
        <row r="66">
          <cell r="I66">
            <v>453300.35719999997</v>
          </cell>
          <cell r="K66"/>
        </row>
        <row r="67">
          <cell r="I67"/>
          <cell r="K67"/>
        </row>
        <row r="68">
          <cell r="I68" t="str">
            <v>.</v>
          </cell>
          <cell r="K68"/>
        </row>
        <row r="69">
          <cell r="I69" t="str">
            <v>.</v>
          </cell>
          <cell r="K69"/>
        </row>
        <row r="70">
          <cell r="I70"/>
          <cell r="K70"/>
        </row>
        <row r="71">
          <cell r="I71"/>
          <cell r="K71"/>
        </row>
        <row r="72">
          <cell r="I72"/>
          <cell r="K72"/>
        </row>
        <row r="73">
          <cell r="B73"/>
          <cell r="I73" t="str">
            <v>SAN SEBASTIÁN</v>
          </cell>
          <cell r="K73"/>
        </row>
        <row r="74">
          <cell r="I74"/>
          <cell r="K74"/>
        </row>
        <row r="75">
          <cell r="B75">
            <v>7</v>
          </cell>
          <cell r="I75" t="str">
            <v>ULIGAB</v>
          </cell>
          <cell r="K75">
            <v>31</v>
          </cell>
        </row>
        <row r="76">
          <cell r="I76"/>
          <cell r="K76"/>
        </row>
        <row r="77">
          <cell r="I77" t="str">
            <v>BLOCK</v>
          </cell>
          <cell r="K77"/>
        </row>
        <row r="78">
          <cell r="I78">
            <v>75801.058399999994</v>
          </cell>
          <cell r="K78"/>
        </row>
        <row r="79">
          <cell r="I79">
            <v>31364.5556</v>
          </cell>
          <cell r="K79"/>
        </row>
        <row r="80">
          <cell r="I80">
            <v>84138.651200000008</v>
          </cell>
          <cell r="K80"/>
        </row>
        <row r="81">
          <cell r="I81">
            <v>107025.54399999999</v>
          </cell>
          <cell r="K81"/>
        </row>
        <row r="82">
          <cell r="I82"/>
          <cell r="K82"/>
        </row>
        <row r="83">
          <cell r="I83">
            <v>298329.80920000002</v>
          </cell>
          <cell r="K83"/>
        </row>
        <row r="84">
          <cell r="I84"/>
          <cell r="K84"/>
        </row>
        <row r="85">
          <cell r="I85" t="str">
            <v>.</v>
          </cell>
          <cell r="K85"/>
        </row>
        <row r="86">
          <cell r="I86" t="str">
            <v>.</v>
          </cell>
          <cell r="K86"/>
        </row>
        <row r="87">
          <cell r="I87"/>
          <cell r="K87"/>
        </row>
        <row r="88">
          <cell r="I88"/>
          <cell r="K88"/>
        </row>
        <row r="89">
          <cell r="I89"/>
          <cell r="K89"/>
        </row>
        <row r="90">
          <cell r="B90"/>
          <cell r="I90" t="str">
            <v>SAN SEBASTIÁN</v>
          </cell>
          <cell r="K90"/>
        </row>
        <row r="91">
          <cell r="I91"/>
          <cell r="K91"/>
        </row>
        <row r="92">
          <cell r="B92">
            <v>8</v>
          </cell>
          <cell r="I92" t="str">
            <v>ULIGAB</v>
          </cell>
          <cell r="K92">
            <v>31</v>
          </cell>
        </row>
        <row r="93">
          <cell r="I93"/>
          <cell r="K93"/>
        </row>
        <row r="94">
          <cell r="I94" t="str">
            <v>BLOCK</v>
          </cell>
          <cell r="K94"/>
        </row>
        <row r="95">
          <cell r="I95">
            <v>0</v>
          </cell>
          <cell r="K95"/>
        </row>
        <row r="96">
          <cell r="I96">
            <v>62729.111199999999</v>
          </cell>
          <cell r="K96"/>
        </row>
        <row r="97">
          <cell r="I97">
            <v>126207.9768</v>
          </cell>
          <cell r="K97"/>
        </row>
        <row r="98">
          <cell r="I98">
            <v>107025.54399999999</v>
          </cell>
          <cell r="K98"/>
        </row>
        <row r="99">
          <cell r="I99"/>
          <cell r="K99"/>
        </row>
        <row r="100">
          <cell r="I100">
            <v>295962.63199999998</v>
          </cell>
          <cell r="K100"/>
        </row>
        <row r="101">
          <cell r="I101"/>
          <cell r="K101"/>
        </row>
        <row r="102">
          <cell r="I102" t="str">
            <v>.</v>
          </cell>
          <cell r="K102"/>
        </row>
        <row r="103">
          <cell r="I103" t="str">
            <v>.</v>
          </cell>
          <cell r="K103"/>
        </row>
        <row r="104">
          <cell r="I104"/>
          <cell r="K104"/>
        </row>
        <row r="105">
          <cell r="I105"/>
          <cell r="K105"/>
        </row>
        <row r="106">
          <cell r="I106"/>
          <cell r="K106"/>
        </row>
        <row r="107">
          <cell r="B107"/>
          <cell r="I107" t="str">
            <v>SAN SEBASTIÁN</v>
          </cell>
          <cell r="K107"/>
        </row>
        <row r="108">
          <cell r="I108"/>
          <cell r="K108"/>
        </row>
        <row r="109">
          <cell r="B109">
            <v>9</v>
          </cell>
          <cell r="I109" t="str">
            <v>ULIGAB</v>
          </cell>
          <cell r="K109">
            <v>32</v>
          </cell>
        </row>
        <row r="110">
          <cell r="I110"/>
          <cell r="K110"/>
        </row>
        <row r="111">
          <cell r="I111" t="str">
            <v>BLOCK</v>
          </cell>
          <cell r="K111"/>
        </row>
        <row r="112">
          <cell r="I112">
            <v>0</v>
          </cell>
          <cell r="K112"/>
        </row>
        <row r="113">
          <cell r="I113">
            <v>250916.4448</v>
          </cell>
          <cell r="K113"/>
        </row>
        <row r="114">
          <cell r="I114">
            <v>168277.30240000002</v>
          </cell>
          <cell r="K114"/>
        </row>
        <row r="115">
          <cell r="I115">
            <v>0</v>
          </cell>
          <cell r="K115"/>
        </row>
        <row r="116">
          <cell r="I116"/>
          <cell r="K116"/>
        </row>
        <row r="117">
          <cell r="I117">
            <v>419193.74719999998</v>
          </cell>
          <cell r="K117"/>
        </row>
        <row r="118">
          <cell r="I118"/>
          <cell r="K118"/>
        </row>
        <row r="119">
          <cell r="I119" t="str">
            <v>.</v>
          </cell>
          <cell r="K119"/>
        </row>
        <row r="120">
          <cell r="I120" t="str">
            <v>.</v>
          </cell>
          <cell r="K120"/>
        </row>
        <row r="121">
          <cell r="I121"/>
          <cell r="K121"/>
        </row>
        <row r="122">
          <cell r="I122"/>
          <cell r="K122"/>
        </row>
        <row r="123">
          <cell r="I123"/>
          <cell r="K123"/>
        </row>
        <row r="124">
          <cell r="B124"/>
          <cell r="I124" t="str">
            <v>SAN SEBASTIÁN</v>
          </cell>
          <cell r="K124"/>
        </row>
        <row r="125">
          <cell r="I125"/>
          <cell r="K125"/>
        </row>
        <row r="126">
          <cell r="B126">
            <v>10</v>
          </cell>
          <cell r="I126" t="str">
            <v>ANGEL ALAMEDA</v>
          </cell>
          <cell r="K126">
            <v>33</v>
          </cell>
        </row>
        <row r="127">
          <cell r="I127"/>
          <cell r="K127"/>
        </row>
        <row r="128">
          <cell r="I128" t="str">
            <v>BLOCK</v>
          </cell>
          <cell r="K128"/>
        </row>
        <row r="129">
          <cell r="I129">
            <v>0</v>
          </cell>
          <cell r="K129"/>
        </row>
        <row r="130">
          <cell r="I130">
            <v>188187.33360000001</v>
          </cell>
          <cell r="K130"/>
        </row>
        <row r="131">
          <cell r="I131">
            <v>168277.30240000002</v>
          </cell>
          <cell r="K131"/>
        </row>
        <row r="132">
          <cell r="I132">
            <v>0</v>
          </cell>
          <cell r="K132"/>
        </row>
        <row r="133">
          <cell r="I133"/>
          <cell r="K133"/>
        </row>
        <row r="134">
          <cell r="I134">
            <v>356464.63600000006</v>
          </cell>
          <cell r="K134"/>
        </row>
        <row r="135">
          <cell r="I135"/>
          <cell r="K135"/>
        </row>
        <row r="136">
          <cell r="I136" t="str">
            <v>.</v>
          </cell>
          <cell r="K136"/>
        </row>
        <row r="137">
          <cell r="I137" t="str">
            <v>.</v>
          </cell>
          <cell r="K137"/>
        </row>
        <row r="138">
          <cell r="I138"/>
          <cell r="K138"/>
        </row>
        <row r="139">
          <cell r="I139"/>
          <cell r="K139"/>
        </row>
        <row r="140">
          <cell r="I140"/>
          <cell r="K140"/>
        </row>
        <row r="141">
          <cell r="B141"/>
          <cell r="I141" t="str">
            <v>SAN SEBASTIÁN</v>
          </cell>
          <cell r="K141"/>
        </row>
        <row r="142">
          <cell r="I142"/>
          <cell r="K142"/>
        </row>
        <row r="143">
          <cell r="B143">
            <v>11</v>
          </cell>
          <cell r="I143" t="str">
            <v>POWER</v>
          </cell>
          <cell r="K143">
            <v>33</v>
          </cell>
        </row>
        <row r="144">
          <cell r="I144"/>
          <cell r="K144"/>
        </row>
        <row r="145">
          <cell r="I145" t="str">
            <v>BLOCK</v>
          </cell>
          <cell r="K145"/>
        </row>
        <row r="146">
          <cell r="I146">
            <v>227403.1752</v>
          </cell>
          <cell r="K146"/>
        </row>
        <row r="147">
          <cell r="I147">
            <v>156822.77799999999</v>
          </cell>
          <cell r="K147"/>
        </row>
        <row r="148">
          <cell r="I148">
            <v>105173.31400000001</v>
          </cell>
          <cell r="K148"/>
        </row>
        <row r="149">
          <cell r="I149">
            <v>0</v>
          </cell>
          <cell r="K149"/>
        </row>
        <row r="150">
          <cell r="I150"/>
          <cell r="K150"/>
        </row>
        <row r="151">
          <cell r="I151">
            <v>489399.2672</v>
          </cell>
          <cell r="K151"/>
        </row>
        <row r="152">
          <cell r="I152"/>
          <cell r="K152"/>
        </row>
        <row r="153">
          <cell r="I153" t="str">
            <v>.</v>
          </cell>
          <cell r="K153"/>
        </row>
        <row r="154">
          <cell r="I154" t="str">
            <v>.</v>
          </cell>
          <cell r="K154"/>
        </row>
        <row r="155">
          <cell r="I155"/>
          <cell r="K155"/>
        </row>
        <row r="156">
          <cell r="I156"/>
          <cell r="K156"/>
        </row>
        <row r="157">
          <cell r="I157"/>
          <cell r="K157"/>
        </row>
        <row r="158">
          <cell r="B158"/>
          <cell r="I158" t="str">
            <v>SAN SEBASTIÁN</v>
          </cell>
          <cell r="K158"/>
        </row>
        <row r="159">
          <cell r="I159"/>
          <cell r="K159"/>
        </row>
        <row r="160">
          <cell r="B160">
            <v>12</v>
          </cell>
          <cell r="I160" t="str">
            <v>CONSORCIO RM</v>
          </cell>
          <cell r="K160">
            <v>34</v>
          </cell>
        </row>
        <row r="161">
          <cell r="I161"/>
          <cell r="K161"/>
        </row>
        <row r="162">
          <cell r="I162" t="str">
            <v>BLOCK</v>
          </cell>
          <cell r="K162"/>
        </row>
        <row r="163">
          <cell r="I163">
            <v>37900.529199999997</v>
          </cell>
          <cell r="K163"/>
        </row>
        <row r="164">
          <cell r="I164">
            <v>376374.66720000003</v>
          </cell>
          <cell r="K164"/>
        </row>
        <row r="165">
          <cell r="I165">
            <v>189311.96520000001</v>
          </cell>
          <cell r="K165"/>
        </row>
        <row r="166">
          <cell r="I166">
            <v>0</v>
          </cell>
          <cell r="K166"/>
        </row>
        <row r="167">
          <cell r="I167"/>
          <cell r="K167"/>
        </row>
        <row r="168">
          <cell r="I168">
            <v>603587.16159999999</v>
          </cell>
          <cell r="K168"/>
        </row>
        <row r="169">
          <cell r="I169"/>
          <cell r="K169"/>
        </row>
        <row r="170">
          <cell r="I170" t="str">
            <v>.</v>
          </cell>
          <cell r="K170"/>
        </row>
        <row r="171">
          <cell r="I171" t="str">
            <v>.</v>
          </cell>
          <cell r="K171"/>
        </row>
        <row r="172">
          <cell r="I172"/>
          <cell r="K172"/>
        </row>
        <row r="173">
          <cell r="I173"/>
          <cell r="K173"/>
        </row>
        <row r="174">
          <cell r="I174"/>
          <cell r="K174"/>
        </row>
        <row r="175">
          <cell r="B175"/>
          <cell r="I175" t="str">
            <v>SAN SEBASTIÁN</v>
          </cell>
          <cell r="K175"/>
        </row>
        <row r="176">
          <cell r="I176"/>
          <cell r="K176"/>
        </row>
        <row r="177">
          <cell r="B177">
            <v>13</v>
          </cell>
          <cell r="I177" t="str">
            <v>CONSORCIO RM</v>
          </cell>
          <cell r="K177">
            <v>34</v>
          </cell>
        </row>
        <row r="178">
          <cell r="I178"/>
          <cell r="K178"/>
        </row>
        <row r="179">
          <cell r="I179" t="str">
            <v>BLOCK</v>
          </cell>
          <cell r="K179"/>
        </row>
        <row r="180">
          <cell r="I180">
            <v>265303.70439999999</v>
          </cell>
          <cell r="K180"/>
        </row>
        <row r="181">
          <cell r="I181">
            <v>219551.88920000001</v>
          </cell>
          <cell r="K181"/>
        </row>
        <row r="182">
          <cell r="I182">
            <v>105173.31400000001</v>
          </cell>
          <cell r="K182"/>
        </row>
        <row r="183">
          <cell r="I183">
            <v>0</v>
          </cell>
          <cell r="K183"/>
        </row>
        <row r="184">
          <cell r="I184"/>
          <cell r="K184"/>
        </row>
        <row r="185">
          <cell r="I185">
            <v>590028.90760000004</v>
          </cell>
          <cell r="K185"/>
        </row>
        <row r="186">
          <cell r="I186"/>
          <cell r="K186"/>
        </row>
        <row r="187">
          <cell r="I187" t="str">
            <v>.</v>
          </cell>
          <cell r="K187"/>
        </row>
        <row r="188">
          <cell r="I188" t="str">
            <v>.</v>
          </cell>
          <cell r="K188"/>
        </row>
        <row r="189">
          <cell r="I189"/>
          <cell r="K189"/>
        </row>
        <row r="190">
          <cell r="I190"/>
          <cell r="K190"/>
        </row>
        <row r="191">
          <cell r="I191"/>
          <cell r="K191"/>
        </row>
        <row r="192">
          <cell r="B192"/>
          <cell r="I192" t="str">
            <v>SAN SEBASTIÁN</v>
          </cell>
          <cell r="K192"/>
        </row>
        <row r="193">
          <cell r="I193"/>
          <cell r="K193"/>
        </row>
        <row r="194">
          <cell r="B194">
            <v>14</v>
          </cell>
          <cell r="I194" t="str">
            <v>COBYPSA</v>
          </cell>
          <cell r="K194">
            <v>35</v>
          </cell>
        </row>
        <row r="195">
          <cell r="I195"/>
          <cell r="K195"/>
        </row>
        <row r="196">
          <cell r="I196" t="str">
            <v>BLOCK</v>
          </cell>
          <cell r="K196"/>
        </row>
        <row r="197">
          <cell r="I197">
            <v>75801.058399999994</v>
          </cell>
          <cell r="K197"/>
        </row>
        <row r="198">
          <cell r="I198">
            <v>156822.77799999999</v>
          </cell>
          <cell r="K198"/>
        </row>
        <row r="199">
          <cell r="I199">
            <v>147242.63960000002</v>
          </cell>
          <cell r="K199"/>
        </row>
        <row r="200">
          <cell r="I200">
            <v>107025.54399999999</v>
          </cell>
          <cell r="K200"/>
        </row>
        <row r="201">
          <cell r="I201"/>
          <cell r="K201"/>
        </row>
        <row r="202">
          <cell r="I202">
            <v>486892.02</v>
          </cell>
          <cell r="K202"/>
        </row>
        <row r="203">
          <cell r="I203"/>
          <cell r="K203"/>
        </row>
        <row r="204">
          <cell r="I204" t="str">
            <v>.</v>
          </cell>
          <cell r="K204"/>
        </row>
        <row r="205">
          <cell r="I205" t="str">
            <v>.</v>
          </cell>
          <cell r="K205"/>
        </row>
        <row r="206">
          <cell r="I206"/>
          <cell r="K206"/>
        </row>
        <row r="207">
          <cell r="I207"/>
          <cell r="K207"/>
        </row>
        <row r="208">
          <cell r="I208"/>
          <cell r="K208"/>
        </row>
        <row r="209">
          <cell r="B209"/>
          <cell r="I209" t="str">
            <v>SAN SEBASTIÁN</v>
          </cell>
          <cell r="K209"/>
        </row>
        <row r="210">
          <cell r="I210"/>
          <cell r="K210"/>
        </row>
        <row r="211">
          <cell r="B211">
            <v>15</v>
          </cell>
          <cell r="I211" t="str">
            <v>ANGEL ALAMEDA</v>
          </cell>
          <cell r="K211">
            <v>36</v>
          </cell>
        </row>
        <row r="212">
          <cell r="I212"/>
          <cell r="K212"/>
        </row>
        <row r="213">
          <cell r="I213" t="str">
            <v>BLOCK</v>
          </cell>
          <cell r="K213"/>
        </row>
        <row r="214">
          <cell r="I214">
            <v>75801.058399999994</v>
          </cell>
          <cell r="K214"/>
        </row>
        <row r="215">
          <cell r="I215">
            <v>219551.88920000001</v>
          </cell>
          <cell r="K215"/>
        </row>
        <row r="216">
          <cell r="I216">
            <v>42069.325600000004</v>
          </cell>
          <cell r="K216"/>
        </row>
        <row r="217">
          <cell r="I217">
            <v>128430.65279999998</v>
          </cell>
          <cell r="K217"/>
        </row>
        <row r="218">
          <cell r="I218"/>
          <cell r="K218"/>
        </row>
        <row r="219">
          <cell r="I219">
            <v>465852.92599999998</v>
          </cell>
          <cell r="K219"/>
        </row>
        <row r="220">
          <cell r="I220"/>
          <cell r="K220"/>
        </row>
        <row r="221">
          <cell r="I221" t="str">
            <v>.</v>
          </cell>
          <cell r="K221"/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CM Y MV"/>
      <sheetName val="SAN SEBASTIAN"/>
    </sheetNames>
    <sheetDataSet>
      <sheetData sheetId="0"/>
      <sheetData sheetId="1"/>
      <sheetData sheetId="2">
        <row r="6">
          <cell r="N6">
            <v>31273.599999999999</v>
          </cell>
          <cell r="O6">
            <v>46864</v>
          </cell>
          <cell r="P6">
            <v>31273.599999999999</v>
          </cell>
          <cell r="Q6">
            <v>56683.4</v>
          </cell>
          <cell r="R6">
            <v>29319</v>
          </cell>
          <cell r="S6">
            <v>93820.800000000003</v>
          </cell>
          <cell r="T6">
            <v>49842.3</v>
          </cell>
        </row>
        <row r="7"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</row>
        <row r="8"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N9">
            <v>39092</v>
          </cell>
          <cell r="O9">
            <v>114344.1</v>
          </cell>
          <cell r="P9">
            <v>69388.3</v>
          </cell>
          <cell r="Q9">
            <v>127049</v>
          </cell>
          <cell r="R9">
            <v>42023.9</v>
          </cell>
          <cell r="S9">
            <v>29319</v>
          </cell>
          <cell r="T9">
            <v>0</v>
          </cell>
        </row>
        <row r="10">
          <cell r="N10">
            <v>0</v>
          </cell>
          <cell r="O10">
            <v>0</v>
          </cell>
          <cell r="P10">
            <v>0</v>
          </cell>
          <cell r="Q10">
            <v>16614.099999999999</v>
          </cell>
          <cell r="R10">
            <v>0</v>
          </cell>
          <cell r="S10">
            <v>0</v>
          </cell>
          <cell r="T10">
            <v>0</v>
          </cell>
        </row>
        <row r="11">
          <cell r="N11">
            <v>29507.5</v>
          </cell>
          <cell r="O11">
            <v>53432.5</v>
          </cell>
          <cell r="P11">
            <v>84761.2</v>
          </cell>
          <cell r="Q11">
            <v>107871.3</v>
          </cell>
          <cell r="R11">
            <v>39092</v>
          </cell>
          <cell r="S11">
            <v>47887.7</v>
          </cell>
          <cell r="T11">
            <v>53751.5</v>
          </cell>
        </row>
        <row r="12">
          <cell r="N12">
            <v>31273.599999999999</v>
          </cell>
          <cell r="O12">
            <v>0</v>
          </cell>
          <cell r="P12">
            <v>0</v>
          </cell>
          <cell r="Q12">
            <v>43978.5</v>
          </cell>
          <cell r="R12">
            <v>44955.8</v>
          </cell>
          <cell r="S12">
            <v>0</v>
          </cell>
          <cell r="T12">
            <v>0</v>
          </cell>
        </row>
        <row r="13">
          <cell r="N13">
            <v>110434.9</v>
          </cell>
          <cell r="O13">
            <v>72320.2</v>
          </cell>
          <cell r="P13">
            <v>45933.1</v>
          </cell>
          <cell r="Q13">
            <v>63524.5</v>
          </cell>
          <cell r="R13">
            <v>22477.9</v>
          </cell>
          <cell r="S13">
            <v>21500.6</v>
          </cell>
          <cell r="T13">
            <v>0</v>
          </cell>
        </row>
        <row r="14">
          <cell r="N14">
            <v>15734.53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N15">
            <v>0</v>
          </cell>
          <cell r="O15">
            <v>0</v>
          </cell>
          <cell r="P15">
            <v>96752.7</v>
          </cell>
          <cell r="Q15">
            <v>92843.5</v>
          </cell>
          <cell r="R15">
            <v>0</v>
          </cell>
          <cell r="S15">
            <v>0</v>
          </cell>
          <cell r="T15">
            <v>0</v>
          </cell>
        </row>
        <row r="16">
          <cell r="N16">
            <v>134510.70000000001</v>
          </cell>
          <cell r="O16">
            <v>0</v>
          </cell>
          <cell r="P16">
            <v>27912.5</v>
          </cell>
          <cell r="Q16">
            <v>70365.600000000006</v>
          </cell>
          <cell r="R16">
            <v>0</v>
          </cell>
          <cell r="S16">
            <v>0</v>
          </cell>
          <cell r="T16">
            <v>0</v>
          </cell>
        </row>
        <row r="17">
          <cell r="N17">
            <v>0</v>
          </cell>
          <cell r="O17">
            <v>0</v>
          </cell>
          <cell r="P17">
            <v>84047.8</v>
          </cell>
          <cell r="Q17">
            <v>99684.6</v>
          </cell>
          <cell r="R17">
            <v>49842.3</v>
          </cell>
          <cell r="S17">
            <v>76229.399999999994</v>
          </cell>
          <cell r="T17">
            <v>43978.5</v>
          </cell>
        </row>
        <row r="18"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RVING GABRIEL ABREGO DURAN" id="{EB7905DB-B080-477F-91E7-B68CC5406F89}" userId="S::analistacostos@cesvin.com.mx::346d27a5-3515-420e-9d74-8890840ce614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0" dT="2022-02-03T18:39:04.14" personId="{EB7905DB-B080-477F-91E7-B68CC5406F89}" id="{E80E118D-BC93-4B45-B7A5-37095A8F1CB0}">
    <text>REVISAR SI SE PAGO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EABA-CDF1-4BC7-9401-61A6C5131ED9}">
  <dimension ref="A1:AA27"/>
  <sheetViews>
    <sheetView showGridLines="0" zoomScaleNormal="100" workbookViewId="0">
      <pane xSplit="18" ySplit="5" topLeftCell="S6" activePane="bottomRight" state="frozen"/>
      <selection pane="topRight" activeCell="R1" sqref="R1"/>
      <selection pane="bottomLeft" activeCell="A6" sqref="A6"/>
      <selection pane="bottomRight" activeCell="H6" sqref="H6:H18"/>
    </sheetView>
  </sheetViews>
  <sheetFormatPr baseColWidth="10" defaultColWidth="11.375" defaultRowHeight="11.4" outlineLevelCol="1" x14ac:dyDescent="0.2"/>
  <cols>
    <col min="1" max="1" width="11.25" style="60" bestFit="1" customWidth="1"/>
    <col min="2" max="2" width="16.625" style="60" bestFit="1" customWidth="1"/>
    <col min="3" max="3" width="7" style="60" bestFit="1" customWidth="1"/>
    <col min="4" max="4" width="6" style="60" bestFit="1" customWidth="1"/>
    <col min="5" max="5" width="7" style="60" bestFit="1" customWidth="1"/>
    <col min="6" max="7" width="17.875" style="60" customWidth="1" outlineLevel="1"/>
    <col min="8" max="8" width="17.875" style="60" customWidth="1"/>
    <col min="9" max="10" width="15.375" style="60" customWidth="1"/>
    <col min="11" max="11" width="16.25" style="60" customWidth="1"/>
    <col min="12" max="12" width="16.25" style="60" hidden="1" customWidth="1"/>
    <col min="13" max="13" width="15.75" style="60" hidden="1" customWidth="1"/>
    <col min="14" max="15" width="16.25" style="60" hidden="1" customWidth="1"/>
    <col min="16" max="16" width="18" style="80" customWidth="1" outlineLevel="1"/>
    <col min="17" max="18" width="20.75" style="60" customWidth="1" outlineLevel="1"/>
    <col min="19" max="19" width="1.75" style="60" customWidth="1"/>
    <col min="20" max="27" width="15.75" style="60" customWidth="1"/>
    <col min="28" max="16384" width="11.375" style="60"/>
  </cols>
  <sheetData>
    <row r="1" spans="1:27" ht="39.9" customHeight="1" thickBot="1" x14ac:dyDescent="0.25">
      <c r="A1" s="55" t="s">
        <v>57</v>
      </c>
      <c r="B1" s="56"/>
      <c r="C1" s="57"/>
      <c r="D1" s="57"/>
      <c r="E1" s="57"/>
      <c r="F1" s="57"/>
      <c r="G1" s="57"/>
      <c r="H1" s="56"/>
      <c r="I1" s="56"/>
      <c r="J1" s="56"/>
      <c r="K1" s="58"/>
      <c r="L1" s="58"/>
      <c r="M1" s="58"/>
      <c r="N1" s="58"/>
      <c r="O1" s="58"/>
      <c r="P1" s="59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</row>
    <row r="2" spans="1:27" ht="12" customHeight="1" thickTop="1" thickBot="1" x14ac:dyDescent="0.25">
      <c r="A2" s="85" t="s">
        <v>0</v>
      </c>
      <c r="B2" s="85" t="s">
        <v>1</v>
      </c>
      <c r="C2" s="85" t="s">
        <v>40</v>
      </c>
      <c r="D2" s="86" t="s">
        <v>41</v>
      </c>
      <c r="E2" s="86" t="s">
        <v>42</v>
      </c>
      <c r="F2" s="82" t="s">
        <v>43</v>
      </c>
      <c r="G2" s="82"/>
      <c r="H2" s="82"/>
      <c r="I2" s="82" t="s">
        <v>44</v>
      </c>
      <c r="J2" s="83" t="s">
        <v>45</v>
      </c>
      <c r="K2" s="83" t="s">
        <v>46</v>
      </c>
      <c r="L2" s="83" t="s">
        <v>53</v>
      </c>
      <c r="M2" s="83" t="s">
        <v>47</v>
      </c>
      <c r="N2" s="83" t="s">
        <v>48</v>
      </c>
      <c r="O2" s="83" t="s">
        <v>49</v>
      </c>
      <c r="P2" s="82" t="s">
        <v>50</v>
      </c>
      <c r="Q2" s="84" t="s">
        <v>51</v>
      </c>
      <c r="R2" s="84" t="s">
        <v>52</v>
      </c>
      <c r="S2" s="61"/>
      <c r="T2" s="81" t="s">
        <v>58</v>
      </c>
      <c r="U2" s="81"/>
      <c r="V2" s="81"/>
      <c r="W2" s="81"/>
      <c r="X2" s="81"/>
      <c r="Y2" s="81"/>
      <c r="Z2" s="81"/>
      <c r="AA2" s="81"/>
    </row>
    <row r="3" spans="1:27" ht="12" customHeight="1" thickTop="1" thickBot="1" x14ac:dyDescent="0.25">
      <c r="A3" s="85"/>
      <c r="B3" s="85"/>
      <c r="C3" s="85"/>
      <c r="D3" s="86"/>
      <c r="E3" s="86"/>
      <c r="F3" s="82" t="s">
        <v>37</v>
      </c>
      <c r="G3" s="82" t="s">
        <v>38</v>
      </c>
      <c r="H3" s="82" t="s">
        <v>39</v>
      </c>
      <c r="I3" s="82"/>
      <c r="J3" s="83"/>
      <c r="K3" s="83"/>
      <c r="L3" s="83"/>
      <c r="M3" s="83"/>
      <c r="N3" s="83"/>
      <c r="O3" s="83"/>
      <c r="P3" s="82"/>
      <c r="Q3" s="84"/>
      <c r="R3" s="84"/>
      <c r="S3" s="61"/>
      <c r="T3" s="81"/>
      <c r="U3" s="81"/>
      <c r="V3" s="81"/>
      <c r="W3" s="81"/>
      <c r="X3" s="81"/>
      <c r="Y3" s="81"/>
      <c r="Z3" s="81"/>
      <c r="AA3" s="81"/>
    </row>
    <row r="4" spans="1:27" ht="12" customHeight="1" thickTop="1" thickBot="1" x14ac:dyDescent="0.25">
      <c r="A4" s="85"/>
      <c r="B4" s="85"/>
      <c r="C4" s="85"/>
      <c r="D4" s="86"/>
      <c r="E4" s="86"/>
      <c r="F4" s="82"/>
      <c r="G4" s="82"/>
      <c r="H4" s="82"/>
      <c r="I4" s="82"/>
      <c r="J4" s="83"/>
      <c r="K4" s="83"/>
      <c r="L4" s="83"/>
      <c r="M4" s="83"/>
      <c r="N4" s="83"/>
      <c r="O4" s="83"/>
      <c r="P4" s="82"/>
      <c r="Q4" s="84"/>
      <c r="R4" s="84"/>
      <c r="S4" s="61"/>
      <c r="T4" s="62" t="s">
        <v>53</v>
      </c>
      <c r="U4" s="62" t="s">
        <v>56</v>
      </c>
      <c r="V4" s="62" t="s">
        <v>54</v>
      </c>
      <c r="W4" s="62" t="s">
        <v>55</v>
      </c>
      <c r="X4" s="62" t="s">
        <v>53</v>
      </c>
      <c r="Y4" s="62" t="s">
        <v>56</v>
      </c>
      <c r="Z4" s="62" t="s">
        <v>54</v>
      </c>
      <c r="AA4" s="62" t="s">
        <v>55</v>
      </c>
    </row>
    <row r="5" spans="1:27" ht="14.4" thickTop="1" thickBot="1" x14ac:dyDescent="0.25">
      <c r="A5" s="85"/>
      <c r="B5" s="85"/>
      <c r="C5" s="85"/>
      <c r="D5" s="86"/>
      <c r="E5" s="86"/>
      <c r="F5" s="63">
        <f ca="1">SUBTOTAL(9,F6:F18)</f>
        <v>37516674.946860418</v>
      </c>
      <c r="G5" s="63">
        <f ca="1">SUBTOTAL(9,G6:G18)</f>
        <v>37434149.870000005</v>
      </c>
      <c r="H5" s="63">
        <f ca="1">SUBTOTAL(9,H6:H18)</f>
        <v>82525.076860413421</v>
      </c>
      <c r="I5" s="63">
        <f t="shared" ref="I5:O5" ca="1" si="0">SUBTOTAL(9,I6:I49)</f>
        <v>0</v>
      </c>
      <c r="J5" s="63">
        <f t="shared" ca="1" si="0"/>
        <v>-3378153.6665356341</v>
      </c>
      <c r="K5" s="63">
        <f t="shared" si="0"/>
        <v>112401547.83</v>
      </c>
      <c r="L5" s="63">
        <f t="shared" si="0"/>
        <v>110495795.34</v>
      </c>
      <c r="M5" s="63">
        <f t="shared" si="0"/>
        <v>1905752.4899999946</v>
      </c>
      <c r="N5" s="63">
        <f t="shared" si="0"/>
        <v>5620077.391499999</v>
      </c>
      <c r="O5" s="63">
        <f t="shared" si="0"/>
        <v>1187612.1014769967</v>
      </c>
      <c r="P5" s="82"/>
      <c r="Q5" s="63">
        <f>SUBTOTAL(9,Q6:Q49)</f>
        <v>1187612.1014769967</v>
      </c>
      <c r="R5" s="63">
        <f>SUBTOTAL(9,R6:R49)</f>
        <v>6807689.492976997</v>
      </c>
      <c r="S5" s="61"/>
      <c r="T5" s="63">
        <f>SUBTOTAL(9,T6:T18)</f>
        <v>0</v>
      </c>
      <c r="U5" s="63">
        <f>SUBTOTAL(9,U6:U18)</f>
        <v>0</v>
      </c>
      <c r="V5" s="64"/>
      <c r="W5" s="63">
        <f ca="1">SUBTOTAL(9,W6:W18)</f>
        <v>0</v>
      </c>
      <c r="X5" s="63">
        <f>SUBTOTAL(9,X6:X18)</f>
        <v>0</v>
      </c>
      <c r="Y5" s="63">
        <f>SUBTOTAL(9,Y6:Y18)</f>
        <v>0</v>
      </c>
      <c r="Z5" s="64"/>
      <c r="AA5" s="63">
        <f ca="1">SUBTOTAL(9,AA6:AA18)</f>
        <v>0</v>
      </c>
    </row>
    <row r="6" spans="1:27" s="74" customFormat="1" ht="12.6" thickTop="1" thickBot="1" x14ac:dyDescent="0.25">
      <c r="A6" s="65">
        <v>3</v>
      </c>
      <c r="B6" s="66" t="s">
        <v>16</v>
      </c>
      <c r="C6" s="67">
        <v>27</v>
      </c>
      <c r="D6" s="68">
        <v>1</v>
      </c>
      <c r="E6" s="68">
        <v>12</v>
      </c>
      <c r="F6" s="69">
        <f ca="1">'RESUMEN ANTICIPOS'!F5</f>
        <v>2055538.1993089626</v>
      </c>
      <c r="G6" s="69">
        <f ca="1">'RESUMEN ANTICIPOS'!G5</f>
        <v>2118953.92</v>
      </c>
      <c r="H6" s="70">
        <f ca="1">'RESUMEN ANTICIPOS'!H5</f>
        <v>-63415.720691037364</v>
      </c>
      <c r="I6" s="70">
        <f t="shared" ref="I6:I18" ca="1" si="1">((SUMIF($T$4:$XFD$4,"DESCUENTO",T6:XFD6)))</f>
        <v>0</v>
      </c>
      <c r="J6" s="70">
        <f ca="1">IF(H6&gt;0,0,H6+I6)</f>
        <v>-63415.720691037364</v>
      </c>
      <c r="K6" s="70">
        <v>6157312.9199999999</v>
      </c>
      <c r="L6" s="70">
        <v>5793475.54</v>
      </c>
      <c r="M6" s="70">
        <f t="shared" ref="M6:M8" si="2">(K6-L6)-(SUMIF($T$4:$XFD$4,"ESTIMADO",T6:XFD6))</f>
        <v>363837.37999999989</v>
      </c>
      <c r="N6" s="70">
        <f>K6*0.05</f>
        <v>307865.64600000001</v>
      </c>
      <c r="O6" s="70">
        <f>M6-(M6*0.3217)-(M6*0.05)</f>
        <v>228599.02585399992</v>
      </c>
      <c r="P6" s="71" t="str">
        <f t="shared" ref="P6:P18" ca="1" si="3">IF(H6&lt;0,IF(Q6&gt;(H6*-1),"NO",IF(R6&gt;(H6*-1),"SI","NO ES SUFICIENTE")),"")</f>
        <v>NO</v>
      </c>
      <c r="Q6" s="72">
        <f>O6</f>
        <v>228599.02585399992</v>
      </c>
      <c r="R6" s="72">
        <f>O6+N6</f>
        <v>536464.67185399996</v>
      </c>
      <c r="S6" s="61"/>
      <c r="T6" s="72"/>
      <c r="U6" s="72"/>
      <c r="V6" s="73">
        <f t="shared" ref="V6:V18" ca="1" si="4">IF($H5&lt;0,IF($P5="SI",1,IF($P5="NO ES SUFICIENTE",1,($H5*-1)/$Q5)),0)</f>
        <v>0</v>
      </c>
      <c r="W6" s="72">
        <f ca="1">(T6*V6)+U6</f>
        <v>0</v>
      </c>
      <c r="X6" s="72"/>
      <c r="Y6" s="72"/>
      <c r="Z6" s="73">
        <f t="shared" ref="Z6:Z18" ca="1" si="5">IF($H5&lt;0,IF($P5="SI",1,IF($P5="NO ES SUFICIENTE",1,($H5*-1)/$Q5)),0)</f>
        <v>0</v>
      </c>
      <c r="AA6" s="72">
        <f t="shared" ref="AA6:AA18" ca="1" si="6">(X6*Z6)+Y6</f>
        <v>0</v>
      </c>
    </row>
    <row r="7" spans="1:27" s="74" customFormat="1" ht="12.6" thickTop="1" thickBot="1" x14ac:dyDescent="0.25">
      <c r="A7" s="65">
        <v>4</v>
      </c>
      <c r="B7" s="66" t="s">
        <v>17</v>
      </c>
      <c r="C7" s="67">
        <v>27</v>
      </c>
      <c r="D7" s="68">
        <v>13</v>
      </c>
      <c r="E7" s="68">
        <v>24</v>
      </c>
      <c r="F7" s="69">
        <f ca="1">'RESUMEN ANTICIPOS'!F6</f>
        <v>2758774.5963265551</v>
      </c>
      <c r="G7" s="69">
        <f ca="1">'RESUMEN ANTICIPOS'!G6</f>
        <v>3397189.21</v>
      </c>
      <c r="H7" s="70">
        <f ca="1">'RESUMEN ANTICIPOS'!H6</f>
        <v>-638414.61367344484</v>
      </c>
      <c r="I7" s="70">
        <f t="shared" ca="1" si="1"/>
        <v>0</v>
      </c>
      <c r="J7" s="70">
        <f t="shared" ref="J7:J18" ca="1" si="7">IF(H7&gt;0,0,H7+I7)</f>
        <v>-638414.61367344484</v>
      </c>
      <c r="K7" s="70">
        <v>8086301.459999999</v>
      </c>
      <c r="L7" s="70">
        <v>7888791.1200000001</v>
      </c>
      <c r="M7" s="70">
        <f t="shared" si="2"/>
        <v>197510.33999999892</v>
      </c>
      <c r="N7" s="70">
        <f t="shared" ref="N7:N18" si="8">K7*0.05</f>
        <v>404315.07299999997</v>
      </c>
      <c r="O7" s="70">
        <f>M7-(M7*0.3319)-(M7*0.05)</f>
        <v>122081.14115399933</v>
      </c>
      <c r="P7" s="71" t="str">
        <f t="shared" ca="1" si="3"/>
        <v>NO ES SUFICIENTE</v>
      </c>
      <c r="Q7" s="72">
        <f t="shared" ref="Q7:Q18" si="9">O7</f>
        <v>122081.14115399933</v>
      </c>
      <c r="R7" s="72">
        <f t="shared" ref="R7:R18" si="10">O7+N7</f>
        <v>526396.21415399935</v>
      </c>
      <c r="S7" s="61"/>
      <c r="T7" s="72"/>
      <c r="U7" s="72"/>
      <c r="V7" s="73">
        <f t="shared" ca="1" si="4"/>
        <v>0.27741028402955353</v>
      </c>
      <c r="W7" s="72">
        <f ca="1">(T7*V7)+U7</f>
        <v>0</v>
      </c>
      <c r="X7" s="72"/>
      <c r="Y7" s="72"/>
      <c r="Z7" s="73">
        <f t="shared" ca="1" si="5"/>
        <v>0.27741028402955353</v>
      </c>
      <c r="AA7" s="72">
        <f t="shared" ca="1" si="6"/>
        <v>0</v>
      </c>
    </row>
    <row r="8" spans="1:27" s="74" customFormat="1" ht="12.6" thickTop="1" thickBot="1" x14ac:dyDescent="0.25">
      <c r="A8" s="65">
        <v>5</v>
      </c>
      <c r="B8" s="66" t="s">
        <v>18</v>
      </c>
      <c r="C8" s="67">
        <v>28</v>
      </c>
      <c r="D8" s="68">
        <v>1</v>
      </c>
      <c r="E8" s="68">
        <v>19</v>
      </c>
      <c r="F8" s="69">
        <f ca="1">'RESUMEN ANTICIPOS'!F7</f>
        <v>3144291.6737872199</v>
      </c>
      <c r="G8" s="69">
        <f ca="1">'RESUMEN ANTICIPOS'!G7</f>
        <v>4106136.7099999995</v>
      </c>
      <c r="H8" s="70">
        <f ca="1">'RESUMEN ANTICIPOS'!H7</f>
        <v>-961845.03621277958</v>
      </c>
      <c r="I8" s="70">
        <f t="shared" ca="1" si="1"/>
        <v>0</v>
      </c>
      <c r="J8" s="70">
        <f ca="1">IF(H8&gt;0,0,H8+I8)</f>
        <v>-961845.03621277958</v>
      </c>
      <c r="K8" s="70">
        <v>9509491.9499999993</v>
      </c>
      <c r="L8" s="70">
        <v>9344266.2200000007</v>
      </c>
      <c r="M8" s="70">
        <f t="shared" si="2"/>
        <v>165225.72999999858</v>
      </c>
      <c r="N8" s="70">
        <f t="shared" si="8"/>
        <v>475474.59749999997</v>
      </c>
      <c r="O8" s="70">
        <f>M8-(M8*0.3309)-(M8*0.05)</f>
        <v>102291.24944299912</v>
      </c>
      <c r="P8" s="71" t="str">
        <f t="shared" ca="1" si="3"/>
        <v>NO ES SUFICIENTE</v>
      </c>
      <c r="Q8" s="72">
        <f t="shared" si="9"/>
        <v>102291.24944299912</v>
      </c>
      <c r="R8" s="72">
        <f t="shared" si="10"/>
        <v>577765.84694299905</v>
      </c>
      <c r="S8" s="61"/>
      <c r="T8" s="72"/>
      <c r="U8" s="72"/>
      <c r="V8" s="73">
        <f t="shared" ca="1" si="4"/>
        <v>1</v>
      </c>
      <c r="W8" s="72">
        <f t="shared" ref="W8:W18" ca="1" si="11">(T8*V8)+U8</f>
        <v>0</v>
      </c>
      <c r="X8" s="72"/>
      <c r="Y8" s="72"/>
      <c r="Z8" s="73">
        <f t="shared" ca="1" si="5"/>
        <v>1</v>
      </c>
      <c r="AA8" s="72">
        <f t="shared" ca="1" si="6"/>
        <v>0</v>
      </c>
    </row>
    <row r="9" spans="1:27" s="74" customFormat="1" ht="13.5" customHeight="1" thickTop="1" thickBot="1" x14ac:dyDescent="0.25">
      <c r="A9" s="65">
        <v>6</v>
      </c>
      <c r="B9" s="66" t="s">
        <v>19</v>
      </c>
      <c r="C9" s="67" t="s">
        <v>20</v>
      </c>
      <c r="D9" s="68" t="s">
        <v>34</v>
      </c>
      <c r="E9" s="68" t="s">
        <v>35</v>
      </c>
      <c r="F9" s="69">
        <f ca="1">'RESUMEN ANTICIPOS'!F8</f>
        <v>3030739.2746434934</v>
      </c>
      <c r="G9" s="69">
        <f ca="1">'RESUMEN ANTICIPOS'!G8</f>
        <v>2501361</v>
      </c>
      <c r="H9" s="70">
        <f ca="1">'RESUMEN ANTICIPOS'!H8</f>
        <v>529378.27464349335</v>
      </c>
      <c r="I9" s="70">
        <f t="shared" ca="1" si="1"/>
        <v>0</v>
      </c>
      <c r="J9" s="70">
        <f t="shared" ca="1" si="7"/>
        <v>0</v>
      </c>
      <c r="K9" s="70">
        <v>9095795.7000000011</v>
      </c>
      <c r="L9" s="70">
        <v>9060992.4600000009</v>
      </c>
      <c r="M9" s="70">
        <f>(K9-L9)-(SUMIF($T$4:$XFD$4,"ESTIMADO",T9:XFD9))</f>
        <v>34803.240000000224</v>
      </c>
      <c r="N9" s="70">
        <f t="shared" si="8"/>
        <v>454789.78500000009</v>
      </c>
      <c r="O9" s="70">
        <f>M9-(M9*0.3252)-(M9*0.05)</f>
        <v>21745.064352000139</v>
      </c>
      <c r="P9" s="71" t="str">
        <f t="shared" ca="1" si="3"/>
        <v/>
      </c>
      <c r="Q9" s="72">
        <f t="shared" si="9"/>
        <v>21745.064352000139</v>
      </c>
      <c r="R9" s="72">
        <f t="shared" si="10"/>
        <v>476534.84935200022</v>
      </c>
      <c r="S9" s="61"/>
      <c r="T9" s="72"/>
      <c r="U9" s="72"/>
      <c r="V9" s="73">
        <f t="shared" ca="1" si="4"/>
        <v>1</v>
      </c>
      <c r="W9" s="72">
        <f t="shared" ca="1" si="11"/>
        <v>0</v>
      </c>
      <c r="X9" s="72"/>
      <c r="Y9" s="72"/>
      <c r="Z9" s="73">
        <f t="shared" ca="1" si="5"/>
        <v>1</v>
      </c>
      <c r="AA9" s="72">
        <f t="shared" ca="1" si="6"/>
        <v>0</v>
      </c>
    </row>
    <row r="10" spans="1:27" s="74" customFormat="1" ht="12.6" thickTop="1" thickBot="1" x14ac:dyDescent="0.25">
      <c r="A10" s="65">
        <v>7</v>
      </c>
      <c r="B10" s="66" t="s">
        <v>21</v>
      </c>
      <c r="C10" s="67">
        <v>31</v>
      </c>
      <c r="D10" s="68">
        <v>1</v>
      </c>
      <c r="E10" s="68">
        <v>12</v>
      </c>
      <c r="F10" s="69">
        <f ca="1">'RESUMEN ANTICIPOS'!F9</f>
        <v>2011753.2097255425</v>
      </c>
      <c r="G10" s="69">
        <f ca="1">'RESUMEN ANTICIPOS'!G9</f>
        <v>2286284.6999999997</v>
      </c>
      <c r="H10" s="70">
        <f ca="1">'RESUMEN ANTICIPOS'!H9</f>
        <v>-274531.49027445726</v>
      </c>
      <c r="I10" s="70">
        <f t="shared" ca="1" si="1"/>
        <v>0</v>
      </c>
      <c r="J10" s="70">
        <f t="shared" ca="1" si="7"/>
        <v>-274531.49027445726</v>
      </c>
      <c r="K10" s="70">
        <v>6129473.6999999993</v>
      </c>
      <c r="L10" s="70">
        <v>6129743.5999999996</v>
      </c>
      <c r="M10" s="70">
        <f t="shared" ref="M10:M18" si="12">(K10-L10)-(SUMIF($T$4:$XFD$4,"ESTIMADO",T10:XFD10))</f>
        <v>-269.90000000037253</v>
      </c>
      <c r="N10" s="70">
        <f t="shared" si="8"/>
        <v>306473.685</v>
      </c>
      <c r="O10" s="70">
        <f>M10-(M10*0.3305)-(M10*0.05)</f>
        <v>-167.20305000023077</v>
      </c>
      <c r="P10" s="71" t="str">
        <f t="shared" ca="1" si="3"/>
        <v>SI</v>
      </c>
      <c r="Q10" s="72">
        <f t="shared" si="9"/>
        <v>-167.20305000023077</v>
      </c>
      <c r="R10" s="72">
        <f t="shared" si="10"/>
        <v>306306.48194999975</v>
      </c>
      <c r="S10" s="61"/>
      <c r="T10" s="72"/>
      <c r="U10" s="72"/>
      <c r="V10" s="73">
        <f t="shared" ca="1" si="4"/>
        <v>0</v>
      </c>
      <c r="W10" s="72">
        <f t="shared" ca="1" si="11"/>
        <v>0</v>
      </c>
      <c r="X10" s="72"/>
      <c r="Y10" s="72"/>
      <c r="Z10" s="73">
        <f t="shared" ca="1" si="5"/>
        <v>0</v>
      </c>
      <c r="AA10" s="72">
        <f t="shared" ca="1" si="6"/>
        <v>0</v>
      </c>
    </row>
    <row r="11" spans="1:27" s="74" customFormat="1" ht="13.5" customHeight="1" thickTop="1" thickBot="1" x14ac:dyDescent="0.25">
      <c r="A11" s="65">
        <v>8</v>
      </c>
      <c r="B11" s="66" t="s">
        <v>21</v>
      </c>
      <c r="C11" s="67">
        <v>31</v>
      </c>
      <c r="D11" s="68">
        <v>13</v>
      </c>
      <c r="E11" s="68">
        <v>25</v>
      </c>
      <c r="F11" s="69">
        <f ca="1">'RESUMEN ANTICIPOS'!F10</f>
        <v>1971772.9886721058</v>
      </c>
      <c r="G11" s="69">
        <f ca="1">'RESUMEN ANTICIPOS'!G10</f>
        <v>1704224.46</v>
      </c>
      <c r="H11" s="70">
        <f ca="1">'RESUMEN ANTICIPOS'!H10</f>
        <v>267548.52867210587</v>
      </c>
      <c r="I11" s="70">
        <f t="shared" ca="1" si="1"/>
        <v>0</v>
      </c>
      <c r="J11" s="70">
        <f t="shared" ca="1" si="7"/>
        <v>0</v>
      </c>
      <c r="K11" s="70">
        <v>6053599.0199999996</v>
      </c>
      <c r="L11" s="70">
        <v>6053598.8200000003</v>
      </c>
      <c r="M11" s="70">
        <f t="shared" si="12"/>
        <v>0.19999999925494194</v>
      </c>
      <c r="N11" s="70">
        <f t="shared" si="8"/>
        <v>302679.951</v>
      </c>
      <c r="O11" s="70">
        <f>M11-(M11*0.3265)-(M11*0.05)</f>
        <v>0.12469999953545628</v>
      </c>
      <c r="P11" s="71" t="str">
        <f t="shared" ca="1" si="3"/>
        <v/>
      </c>
      <c r="Q11" s="72">
        <f t="shared" si="9"/>
        <v>0.12469999953545628</v>
      </c>
      <c r="R11" s="72">
        <f t="shared" si="10"/>
        <v>302680.07569999952</v>
      </c>
      <c r="S11" s="61"/>
      <c r="T11" s="72"/>
      <c r="U11" s="72"/>
      <c r="V11" s="73">
        <f t="shared" ca="1" si="4"/>
        <v>1</v>
      </c>
      <c r="W11" s="72">
        <f t="shared" ca="1" si="11"/>
        <v>0</v>
      </c>
      <c r="X11" s="72"/>
      <c r="Y11" s="72"/>
      <c r="Z11" s="73">
        <f t="shared" ca="1" si="5"/>
        <v>1</v>
      </c>
      <c r="AA11" s="72">
        <f t="shared" ca="1" si="6"/>
        <v>0</v>
      </c>
    </row>
    <row r="12" spans="1:27" s="74" customFormat="1" ht="14.25" customHeight="1" thickTop="1" thickBot="1" x14ac:dyDescent="0.25">
      <c r="A12" s="65">
        <v>9</v>
      </c>
      <c r="B12" s="66" t="s">
        <v>21</v>
      </c>
      <c r="C12" s="67">
        <v>32</v>
      </c>
      <c r="D12" s="68">
        <v>1</v>
      </c>
      <c r="E12" s="68">
        <v>17</v>
      </c>
      <c r="F12" s="69">
        <f ca="1">'RESUMEN ANTICIPOS'!F11</f>
        <v>2740717.5990786166</v>
      </c>
      <c r="G12" s="69">
        <f ca="1">'RESUMEN ANTICIPOS'!G11</f>
        <v>2097266.75</v>
      </c>
      <c r="H12" s="70">
        <f ca="1">'RESUMEN ANTICIPOS'!H11</f>
        <v>643450.84907861659</v>
      </c>
      <c r="I12" s="70">
        <f t="shared" ca="1" si="1"/>
        <v>0</v>
      </c>
      <c r="J12" s="70">
        <f t="shared" ca="1" si="7"/>
        <v>0</v>
      </c>
      <c r="K12" s="70">
        <v>8209750.5600000005</v>
      </c>
      <c r="L12" s="70">
        <v>8209749.6799999997</v>
      </c>
      <c r="M12" s="70">
        <f t="shared" si="12"/>
        <v>0.88000000081956387</v>
      </c>
      <c r="N12" s="70">
        <f t="shared" si="8"/>
        <v>410487.52800000005</v>
      </c>
      <c r="O12" s="70">
        <f>M12-(M12*0.3206)-(M12*0.05)</f>
        <v>0.55387200051583352</v>
      </c>
      <c r="P12" s="71" t="str">
        <f t="shared" ca="1" si="3"/>
        <v/>
      </c>
      <c r="Q12" s="72">
        <f t="shared" si="9"/>
        <v>0.55387200051583352</v>
      </c>
      <c r="R12" s="72">
        <f t="shared" si="10"/>
        <v>410488.08187200059</v>
      </c>
      <c r="S12" s="61"/>
      <c r="T12" s="72"/>
      <c r="U12" s="72"/>
      <c r="V12" s="73">
        <f t="shared" ca="1" si="4"/>
        <v>0</v>
      </c>
      <c r="W12" s="72">
        <f t="shared" ca="1" si="11"/>
        <v>0</v>
      </c>
      <c r="X12" s="72"/>
      <c r="Y12" s="72"/>
      <c r="Z12" s="73">
        <f t="shared" ca="1" si="5"/>
        <v>0</v>
      </c>
      <c r="AA12" s="72">
        <f t="shared" ca="1" si="6"/>
        <v>0</v>
      </c>
    </row>
    <row r="13" spans="1:27" s="74" customFormat="1" ht="12.6" thickTop="1" thickBot="1" x14ac:dyDescent="0.25">
      <c r="A13" s="65">
        <v>10</v>
      </c>
      <c r="B13" s="66" t="s">
        <v>22</v>
      </c>
      <c r="C13" s="67">
        <v>33</v>
      </c>
      <c r="D13" s="68">
        <v>1</v>
      </c>
      <c r="E13" s="68">
        <v>14</v>
      </c>
      <c r="F13" s="69">
        <f ca="1">'RESUMEN ANTICIPOS'!F12</f>
        <v>2351853.7765070959</v>
      </c>
      <c r="G13" s="69">
        <f ca="1">'RESUMEN ANTICIPOS'!G12</f>
        <v>2634244.37</v>
      </c>
      <c r="H13" s="70">
        <f ca="1">'RESUMEN ANTICIPOS'!H12</f>
        <v>-282390.59349290421</v>
      </c>
      <c r="I13" s="70">
        <f t="shared" ca="1" si="1"/>
        <v>0</v>
      </c>
      <c r="J13" s="70">
        <f t="shared" ca="1" si="7"/>
        <v>-282390.59349290421</v>
      </c>
      <c r="K13" s="70">
        <v>7075507.5599999987</v>
      </c>
      <c r="L13" s="70">
        <v>6943893.2400000002</v>
      </c>
      <c r="M13" s="70">
        <f t="shared" si="12"/>
        <v>131614.31999999844</v>
      </c>
      <c r="N13" s="70">
        <f t="shared" si="8"/>
        <v>353775.37799999997</v>
      </c>
      <c r="O13" s="70">
        <f>M13-(M13*0.3278)-(M13*0.05)</f>
        <v>81890.429903999029</v>
      </c>
      <c r="P13" s="71" t="str">
        <f t="shared" ca="1" si="3"/>
        <v>SI</v>
      </c>
      <c r="Q13" s="72">
        <f t="shared" si="9"/>
        <v>81890.429903999029</v>
      </c>
      <c r="R13" s="72">
        <f t="shared" si="10"/>
        <v>435665.807903999</v>
      </c>
      <c r="S13" s="61"/>
      <c r="T13" s="72"/>
      <c r="U13" s="72"/>
      <c r="V13" s="73">
        <f t="shared" ca="1" si="4"/>
        <v>0</v>
      </c>
      <c r="W13" s="72">
        <f t="shared" ca="1" si="11"/>
        <v>0</v>
      </c>
      <c r="X13" s="72"/>
      <c r="Y13" s="72"/>
      <c r="Z13" s="73">
        <f t="shared" ca="1" si="5"/>
        <v>0</v>
      </c>
      <c r="AA13" s="72">
        <f t="shared" ca="1" si="6"/>
        <v>0</v>
      </c>
    </row>
    <row r="14" spans="1:27" s="74" customFormat="1" ht="12.6" thickTop="1" thickBot="1" x14ac:dyDescent="0.25">
      <c r="A14" s="65">
        <v>11</v>
      </c>
      <c r="B14" s="66" t="s">
        <v>18</v>
      </c>
      <c r="C14" s="67">
        <v>33</v>
      </c>
      <c r="D14" s="68">
        <v>15</v>
      </c>
      <c r="E14" s="68">
        <v>30</v>
      </c>
      <c r="F14" s="69">
        <f ca="1">'RESUMEN ANTICIPOS'!F13</f>
        <v>3305131.6280361284</v>
      </c>
      <c r="G14" s="69">
        <f ca="1">'RESUMEN ANTICIPOS'!G13</f>
        <v>1999256.51</v>
      </c>
      <c r="H14" s="70">
        <f ca="1">'RESUMEN ANTICIPOS'!H13</f>
        <v>1305875.1180361283</v>
      </c>
      <c r="I14" s="70">
        <f t="shared" ca="1" si="1"/>
        <v>0</v>
      </c>
      <c r="J14" s="70">
        <f t="shared" ca="1" si="7"/>
        <v>0</v>
      </c>
      <c r="K14" s="70">
        <v>9814666.5599999987</v>
      </c>
      <c r="L14" s="70">
        <v>9640417.4499999993</v>
      </c>
      <c r="M14" s="70">
        <f t="shared" si="12"/>
        <v>174249.1099999994</v>
      </c>
      <c r="N14" s="70">
        <f t="shared" si="8"/>
        <v>490733.32799999998</v>
      </c>
      <c r="O14" s="70">
        <f>M14-(M14*0.3289)-(M14*0.05)</f>
        <v>108226.12222099963</v>
      </c>
      <c r="P14" s="71" t="str">
        <f t="shared" ca="1" si="3"/>
        <v/>
      </c>
      <c r="Q14" s="72">
        <f>O14</f>
        <v>108226.12222099963</v>
      </c>
      <c r="R14" s="72">
        <f t="shared" si="10"/>
        <v>598959.45022099966</v>
      </c>
      <c r="S14" s="61"/>
      <c r="T14" s="72"/>
      <c r="U14" s="72"/>
      <c r="V14" s="73">
        <f t="shared" ca="1" si="4"/>
        <v>1</v>
      </c>
      <c r="W14" s="72">
        <f t="shared" ca="1" si="11"/>
        <v>0</v>
      </c>
      <c r="X14" s="72"/>
      <c r="Y14" s="72"/>
      <c r="Z14" s="73">
        <f t="shared" ca="1" si="5"/>
        <v>1</v>
      </c>
      <c r="AA14" s="72">
        <f t="shared" ca="1" si="6"/>
        <v>0</v>
      </c>
    </row>
    <row r="15" spans="1:27" s="74" customFormat="1" ht="12.6" thickTop="1" thickBot="1" x14ac:dyDescent="0.25">
      <c r="A15" s="65">
        <v>12</v>
      </c>
      <c r="B15" s="66" t="s">
        <v>23</v>
      </c>
      <c r="C15" s="67">
        <v>34</v>
      </c>
      <c r="D15" s="68">
        <v>1</v>
      </c>
      <c r="E15" s="68">
        <v>22</v>
      </c>
      <c r="F15" s="69">
        <f ca="1">'RESUMEN ANTICIPOS'!F14</f>
        <v>3931966.8875893904</v>
      </c>
      <c r="G15" s="69">
        <f ca="1">'RESUMEN ANTICIPOS'!G14</f>
        <v>3280741.8200000003</v>
      </c>
      <c r="H15" s="70">
        <f ca="1">'RESUMEN ANTICIPOS'!H14</f>
        <v>651225.06758939009</v>
      </c>
      <c r="I15" s="70">
        <f t="shared" ca="1" si="1"/>
        <v>0</v>
      </c>
      <c r="J15" s="70">
        <f t="shared" ca="1" si="7"/>
        <v>0</v>
      </c>
      <c r="K15" s="70">
        <v>11717929.289999999</v>
      </c>
      <c r="L15" s="70">
        <v>11545134.539999999</v>
      </c>
      <c r="M15" s="70">
        <f t="shared" si="12"/>
        <v>172794.75</v>
      </c>
      <c r="N15" s="70">
        <f t="shared" si="8"/>
        <v>585896.4645</v>
      </c>
      <c r="O15" s="70">
        <f>M15-(M15*0.3239)-(M15*0.05)</f>
        <v>108186.792975</v>
      </c>
      <c r="P15" s="71" t="str">
        <f t="shared" ca="1" si="3"/>
        <v/>
      </c>
      <c r="Q15" s="72">
        <f t="shared" si="9"/>
        <v>108186.792975</v>
      </c>
      <c r="R15" s="72">
        <f t="shared" si="10"/>
        <v>694083.25747499999</v>
      </c>
      <c r="S15" s="61"/>
      <c r="T15" s="72"/>
      <c r="U15" s="72"/>
      <c r="V15" s="73">
        <f t="shared" ca="1" si="4"/>
        <v>0</v>
      </c>
      <c r="W15" s="72">
        <f t="shared" ca="1" si="11"/>
        <v>0</v>
      </c>
      <c r="X15" s="72"/>
      <c r="Y15" s="72"/>
      <c r="Z15" s="73">
        <f t="shared" ca="1" si="5"/>
        <v>0</v>
      </c>
      <c r="AA15" s="72">
        <f t="shared" ca="1" si="6"/>
        <v>0</v>
      </c>
    </row>
    <row r="16" spans="1:27" s="74" customFormat="1" ht="13.5" customHeight="1" thickTop="1" thickBot="1" x14ac:dyDescent="0.25">
      <c r="A16" s="65">
        <v>13</v>
      </c>
      <c r="B16" s="66" t="s">
        <v>23</v>
      </c>
      <c r="C16" s="67">
        <v>34</v>
      </c>
      <c r="D16" s="68">
        <v>23</v>
      </c>
      <c r="E16" s="68">
        <v>41</v>
      </c>
      <c r="F16" s="69">
        <f ca="1">'RESUMEN ANTICIPOS'!F15</f>
        <v>3959359.3053763136</v>
      </c>
      <c r="G16" s="69">
        <f ca="1">'RESUMEN ANTICIPOS'!G15</f>
        <v>3896158.4000000004</v>
      </c>
      <c r="H16" s="70">
        <f ca="1">'RESUMEN ANTICIPOS'!H15</f>
        <v>63200.905376313254</v>
      </c>
      <c r="I16" s="70">
        <f t="shared" ca="1" si="1"/>
        <v>0</v>
      </c>
      <c r="J16" s="70">
        <f t="shared" ca="1" si="7"/>
        <v>0</v>
      </c>
      <c r="K16" s="70">
        <v>11729504.970000001</v>
      </c>
      <c r="L16" s="70">
        <v>11384716.289999999</v>
      </c>
      <c r="M16" s="70">
        <f t="shared" si="12"/>
        <v>344788.68000000156</v>
      </c>
      <c r="N16" s="70">
        <f t="shared" si="8"/>
        <v>586475.2485000001</v>
      </c>
      <c r="O16" s="70">
        <f>M16-(M16*0.3251)-(M16*0.05)</f>
        <v>215458.446132001</v>
      </c>
      <c r="P16" s="71" t="str">
        <f t="shared" ca="1" si="3"/>
        <v/>
      </c>
      <c r="Q16" s="72">
        <f t="shared" si="9"/>
        <v>215458.446132001</v>
      </c>
      <c r="R16" s="72">
        <f t="shared" si="10"/>
        <v>801933.6946320011</v>
      </c>
      <c r="S16" s="61"/>
      <c r="T16" s="72"/>
      <c r="U16" s="72"/>
      <c r="V16" s="73">
        <f t="shared" ca="1" si="4"/>
        <v>0</v>
      </c>
      <c r="W16" s="72">
        <f t="shared" ca="1" si="11"/>
        <v>0</v>
      </c>
      <c r="X16" s="72"/>
      <c r="Y16" s="72"/>
      <c r="Z16" s="73">
        <f t="shared" ca="1" si="5"/>
        <v>0</v>
      </c>
      <c r="AA16" s="72">
        <f t="shared" ca="1" si="6"/>
        <v>0</v>
      </c>
    </row>
    <row r="17" spans="1:27" s="74" customFormat="1" ht="13.5" customHeight="1" thickTop="1" thickBot="1" x14ac:dyDescent="0.25">
      <c r="A17" s="65">
        <v>14</v>
      </c>
      <c r="B17" s="66" t="s">
        <v>24</v>
      </c>
      <c r="C17" s="67">
        <v>35</v>
      </c>
      <c r="D17" s="68">
        <v>1</v>
      </c>
      <c r="E17" s="68">
        <v>20</v>
      </c>
      <c r="F17" s="69">
        <f ca="1">'RESUMEN ANTICIPOS'!F16</f>
        <v>3233954.2206657841</v>
      </c>
      <c r="G17" s="69">
        <f ca="1">'RESUMEN ANTICIPOS'!G16</f>
        <v>3670679.43</v>
      </c>
      <c r="H17" s="70">
        <f ca="1">'RESUMEN ANTICIPOS'!H16</f>
        <v>-436725.20933421608</v>
      </c>
      <c r="I17" s="70">
        <f t="shared" ca="1" si="1"/>
        <v>0</v>
      </c>
      <c r="J17" s="70">
        <f t="shared" ca="1" si="7"/>
        <v>-436725.20933421608</v>
      </c>
      <c r="K17" s="70">
        <v>9775251.6600000001</v>
      </c>
      <c r="L17" s="70">
        <v>9744246.8200000003</v>
      </c>
      <c r="M17" s="70">
        <f t="shared" si="12"/>
        <v>31004.839999999851</v>
      </c>
      <c r="N17" s="70">
        <f t="shared" si="8"/>
        <v>488762.58300000004</v>
      </c>
      <c r="O17" s="70">
        <f>M17-(M17*0.3324)-(M17*0.05)</f>
        <v>19148.589183999909</v>
      </c>
      <c r="P17" s="71" t="str">
        <f t="shared" ca="1" si="3"/>
        <v>SI</v>
      </c>
      <c r="Q17" s="72">
        <f t="shared" si="9"/>
        <v>19148.589183999909</v>
      </c>
      <c r="R17" s="72">
        <f t="shared" si="10"/>
        <v>507911.17218399997</v>
      </c>
      <c r="S17" s="61"/>
      <c r="T17" s="72"/>
      <c r="U17" s="72"/>
      <c r="V17" s="73">
        <f t="shared" ca="1" si="4"/>
        <v>0</v>
      </c>
      <c r="W17" s="72">
        <f t="shared" ca="1" si="11"/>
        <v>0</v>
      </c>
      <c r="X17" s="72"/>
      <c r="Y17" s="72"/>
      <c r="Z17" s="73">
        <f t="shared" ca="1" si="5"/>
        <v>0</v>
      </c>
      <c r="AA17" s="72">
        <f t="shared" ca="1" si="6"/>
        <v>0</v>
      </c>
    </row>
    <row r="18" spans="1:27" s="74" customFormat="1" ht="13.5" customHeight="1" thickTop="1" thickBot="1" x14ac:dyDescent="0.25">
      <c r="A18" s="65">
        <v>15</v>
      </c>
      <c r="B18" s="66" t="s">
        <v>22</v>
      </c>
      <c r="C18" s="67">
        <v>36</v>
      </c>
      <c r="D18" s="68">
        <v>1</v>
      </c>
      <c r="E18" s="68">
        <v>17</v>
      </c>
      <c r="F18" s="69">
        <f ca="1">'RESUMEN ANTICIPOS'!F17</f>
        <v>3020821.5871432051</v>
      </c>
      <c r="G18" s="69">
        <f ca="1">'RESUMEN ANTICIPOS'!G17</f>
        <v>3741652.59</v>
      </c>
      <c r="H18" s="70">
        <f ca="1">'RESUMEN ANTICIPOS'!H17</f>
        <v>-720831.00285679474</v>
      </c>
      <c r="I18" s="70">
        <f t="shared" ca="1" si="1"/>
        <v>0</v>
      </c>
      <c r="J18" s="70">
        <f t="shared" ca="1" si="7"/>
        <v>-720831.00285679474</v>
      </c>
      <c r="K18" s="70">
        <v>9046962.4799999986</v>
      </c>
      <c r="L18" s="70">
        <v>8756769.5600000005</v>
      </c>
      <c r="M18" s="70">
        <f t="shared" si="12"/>
        <v>290192.91999999806</v>
      </c>
      <c r="N18" s="70">
        <f t="shared" si="8"/>
        <v>452348.12399999995</v>
      </c>
      <c r="O18" s="70">
        <f>M18-(M18*0.3292)-(M18*0.05)</f>
        <v>180151.76473599882</v>
      </c>
      <c r="P18" s="71" t="str">
        <f t="shared" ca="1" si="3"/>
        <v>NO ES SUFICIENTE</v>
      </c>
      <c r="Q18" s="72">
        <f t="shared" si="9"/>
        <v>180151.76473599882</v>
      </c>
      <c r="R18" s="72">
        <f t="shared" si="10"/>
        <v>632499.88873599877</v>
      </c>
      <c r="S18" s="61"/>
      <c r="T18" s="72"/>
      <c r="U18" s="72"/>
      <c r="V18" s="73">
        <f t="shared" ca="1" si="4"/>
        <v>1</v>
      </c>
      <c r="W18" s="72">
        <f t="shared" ca="1" si="11"/>
        <v>0</v>
      </c>
      <c r="X18" s="72"/>
      <c r="Y18" s="72"/>
      <c r="Z18" s="73">
        <f t="shared" ca="1" si="5"/>
        <v>1</v>
      </c>
      <c r="AA18" s="72">
        <f t="shared" ca="1" si="6"/>
        <v>0</v>
      </c>
    </row>
    <row r="19" spans="1:27" ht="12" thickTop="1" x14ac:dyDescent="0.2">
      <c r="A19" s="75"/>
      <c r="B19" s="75"/>
      <c r="C19" s="75"/>
      <c r="D19" s="75"/>
      <c r="E19" s="75"/>
      <c r="F19" s="75"/>
      <c r="G19" s="75"/>
      <c r="H19" s="75"/>
      <c r="I19" s="75"/>
      <c r="K19" s="75"/>
      <c r="L19" s="75"/>
      <c r="M19" s="75"/>
      <c r="N19" s="75"/>
      <c r="O19" s="75"/>
      <c r="P19" s="76"/>
      <c r="Q19" s="61"/>
      <c r="R19" s="61"/>
      <c r="S19" s="61"/>
      <c r="T19" s="61"/>
      <c r="U19" s="61"/>
      <c r="X19" s="61"/>
      <c r="Y19" s="61"/>
    </row>
    <row r="20" spans="1:27" x14ac:dyDescent="0.2">
      <c r="P20" s="78"/>
      <c r="Q20" s="74"/>
      <c r="R20" s="74"/>
      <c r="S20" s="74"/>
      <c r="V20" s="77">
        <f>IF($H19&lt;0,IF($P19="SI",1,IF($P19="NO ES SUFICIENTE",1,($H19*-1)/$Q19)),0)</f>
        <v>0</v>
      </c>
      <c r="Z20" s="77">
        <f>IF($H19&lt;0,IF($P19="SI",1,IF($P19="NO ES SUFICIENTE",1,($H19*-1)/$Q19)),0)</f>
        <v>0</v>
      </c>
    </row>
    <row r="21" spans="1:27" x14ac:dyDescent="0.2">
      <c r="P21" s="78"/>
      <c r="Q21" s="74"/>
      <c r="R21" s="74"/>
      <c r="S21" s="74"/>
    </row>
    <row r="22" spans="1:27" x14ac:dyDescent="0.2">
      <c r="P22" s="78"/>
      <c r="Q22" s="74"/>
      <c r="R22" s="74"/>
      <c r="S22" s="74"/>
      <c r="T22" s="79"/>
      <c r="U22" s="79"/>
      <c r="X22" s="79"/>
      <c r="Y22" s="79"/>
    </row>
    <row r="23" spans="1:27" x14ac:dyDescent="0.2">
      <c r="P23" s="78"/>
      <c r="Q23" s="74"/>
      <c r="R23" s="74"/>
      <c r="S23" s="74"/>
    </row>
    <row r="24" spans="1:27" x14ac:dyDescent="0.2">
      <c r="P24" s="78"/>
      <c r="Q24" s="74"/>
      <c r="R24" s="74"/>
      <c r="S24" s="74"/>
    </row>
    <row r="25" spans="1:27" x14ac:dyDescent="0.2">
      <c r="P25" s="78"/>
      <c r="Q25" s="74"/>
      <c r="R25" s="74"/>
      <c r="S25" s="74"/>
    </row>
    <row r="26" spans="1:27" x14ac:dyDescent="0.2">
      <c r="P26" s="78"/>
      <c r="Q26" s="74"/>
      <c r="R26" s="74"/>
      <c r="S26" s="74"/>
    </row>
    <row r="27" spans="1:27" x14ac:dyDescent="0.2">
      <c r="P27" s="78"/>
      <c r="Q27" s="74"/>
      <c r="R27" s="74"/>
      <c r="S27" s="74"/>
    </row>
  </sheetData>
  <autoFilter ref="A5:AA18" xr:uid="{B4F4EA4F-A4EE-4BB4-AB4C-FD75A845C1C2}"/>
  <mergeCells count="21">
    <mergeCell ref="A2:A5"/>
    <mergeCell ref="B2:B5"/>
    <mergeCell ref="C2:C5"/>
    <mergeCell ref="D2:D5"/>
    <mergeCell ref="E2:E5"/>
    <mergeCell ref="T2:W3"/>
    <mergeCell ref="X2:AA3"/>
    <mergeCell ref="F3:F4"/>
    <mergeCell ref="G3:G4"/>
    <mergeCell ref="H3:H4"/>
    <mergeCell ref="L2:L4"/>
    <mergeCell ref="P2:P5"/>
    <mergeCell ref="Q2:Q4"/>
    <mergeCell ref="R2:R4"/>
    <mergeCell ref="I2:I4"/>
    <mergeCell ref="J2:J4"/>
    <mergeCell ref="K2:K4"/>
    <mergeCell ref="M2:M4"/>
    <mergeCell ref="N2:N4"/>
    <mergeCell ref="O2:O4"/>
    <mergeCell ref="F2:H2"/>
  </mergeCells>
  <conditionalFormatting sqref="G6:G18">
    <cfRule type="cellIs" dxfId="8" priority="6" operator="greaterThan">
      <formula>F6</formula>
    </cfRule>
  </conditionalFormatting>
  <conditionalFormatting sqref="P6:P18">
    <cfRule type="cellIs" dxfId="7" priority="4" operator="equal">
      <formula>"NO ES SUFICIENTE"</formula>
    </cfRule>
    <cfRule type="cellIs" dxfId="6" priority="5" operator="equal">
      <formula>"SI"</formula>
    </cfRule>
  </conditionalFormatting>
  <conditionalFormatting sqref="J6:J18">
    <cfRule type="cellIs" dxfId="5" priority="3" operator="lessThan">
      <formula>0</formula>
    </cfRule>
  </conditionalFormatting>
  <conditionalFormatting sqref="H6:H18">
    <cfRule type="cellIs" dxfId="4" priority="2" operator="lessThan">
      <formula>0</formula>
    </cfRule>
  </conditionalFormatting>
  <conditionalFormatting sqref="J5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DF94-502C-4BA3-8E1F-9AA1E504AADF}">
  <dimension ref="A1:AV18"/>
  <sheetViews>
    <sheetView showGridLines="0" workbookViewId="0">
      <pane xSplit="4" ySplit="5" topLeftCell="E6" activePane="bottomRight" state="frozen"/>
      <selection activeCell="J9" sqref="J9"/>
      <selection pane="topRight" activeCell="J9" sqref="J9"/>
      <selection pane="bottomLeft" activeCell="J9" sqref="J9"/>
      <selection pane="bottomRight" activeCell="E16" sqref="E16:F16"/>
    </sheetView>
  </sheetViews>
  <sheetFormatPr baseColWidth="10" defaultColWidth="11.375" defaultRowHeight="11.4" x14ac:dyDescent="0.2"/>
  <cols>
    <col min="1" max="1" width="11.25" style="3" bestFit="1" customWidth="1"/>
    <col min="2" max="2" width="15.875" style="3" bestFit="1" customWidth="1"/>
    <col min="3" max="3" width="10.125" style="3" bestFit="1" customWidth="1"/>
    <col min="4" max="4" width="14.375" style="3" bestFit="1" customWidth="1"/>
    <col min="5" max="8" width="10.125" style="6" bestFit="1" customWidth="1"/>
    <col min="9" max="16384" width="11.375" style="3"/>
  </cols>
  <sheetData>
    <row r="1" spans="1:48" ht="21" thickBot="1" x14ac:dyDescent="0.25">
      <c r="A1" s="115" t="s">
        <v>9</v>
      </c>
      <c r="B1" s="115"/>
      <c r="C1" s="115"/>
      <c r="D1" s="115"/>
    </row>
    <row r="2" spans="1:48" s="7" customFormat="1" ht="13.5" customHeight="1" thickBot="1" x14ac:dyDescent="0.25">
      <c r="A2" s="116" t="s">
        <v>0</v>
      </c>
      <c r="B2" s="119" t="s">
        <v>1</v>
      </c>
      <c r="C2" s="119" t="s">
        <v>2</v>
      </c>
      <c r="D2" s="119" t="s">
        <v>5</v>
      </c>
      <c r="E2" s="9" t="s">
        <v>3</v>
      </c>
      <c r="F2" s="9" t="s">
        <v>4</v>
      </c>
      <c r="G2" s="9" t="s">
        <v>3</v>
      </c>
      <c r="H2" s="10" t="s">
        <v>4</v>
      </c>
      <c r="I2" s="9" t="s">
        <v>3</v>
      </c>
      <c r="J2" s="10" t="s">
        <v>4</v>
      </c>
      <c r="K2" s="9" t="s">
        <v>3</v>
      </c>
      <c r="L2" s="10" t="s">
        <v>4</v>
      </c>
      <c r="M2" s="9" t="s">
        <v>3</v>
      </c>
      <c r="N2" s="10" t="s">
        <v>4</v>
      </c>
      <c r="O2" s="9" t="s">
        <v>3</v>
      </c>
      <c r="P2" s="10" t="s">
        <v>4</v>
      </c>
      <c r="Q2" s="9" t="s">
        <v>3</v>
      </c>
      <c r="R2" s="10" t="s">
        <v>4</v>
      </c>
      <c r="S2" s="9" t="s">
        <v>3</v>
      </c>
      <c r="T2" s="10" t="s">
        <v>4</v>
      </c>
      <c r="U2" s="9" t="s">
        <v>3</v>
      </c>
      <c r="V2" s="10" t="s">
        <v>4</v>
      </c>
      <c r="W2" s="9" t="s">
        <v>3</v>
      </c>
      <c r="X2" s="10" t="s">
        <v>4</v>
      </c>
      <c r="Y2" s="9" t="s">
        <v>3</v>
      </c>
      <c r="Z2" s="10" t="s">
        <v>4</v>
      </c>
      <c r="AA2" s="9" t="s">
        <v>3</v>
      </c>
      <c r="AB2" s="10" t="s">
        <v>4</v>
      </c>
      <c r="AC2" s="9" t="s">
        <v>3</v>
      </c>
      <c r="AD2" s="10" t="s">
        <v>4</v>
      </c>
      <c r="AE2" s="9" t="s">
        <v>3</v>
      </c>
      <c r="AF2" s="10" t="s">
        <v>4</v>
      </c>
      <c r="AG2" s="9" t="s">
        <v>3</v>
      </c>
      <c r="AH2" s="10" t="s">
        <v>4</v>
      </c>
      <c r="AI2" s="9" t="s">
        <v>3</v>
      </c>
      <c r="AJ2" s="10" t="s">
        <v>4</v>
      </c>
      <c r="AK2" s="9" t="s">
        <v>3</v>
      </c>
      <c r="AL2" s="10" t="s">
        <v>4</v>
      </c>
      <c r="AM2" s="9" t="s">
        <v>3</v>
      </c>
      <c r="AN2" s="10" t="s">
        <v>4</v>
      </c>
      <c r="AO2" s="9" t="s">
        <v>3</v>
      </c>
      <c r="AP2" s="10" t="s">
        <v>4</v>
      </c>
      <c r="AQ2" s="9" t="s">
        <v>3</v>
      </c>
      <c r="AR2" s="10" t="s">
        <v>4</v>
      </c>
      <c r="AS2" s="9" t="s">
        <v>3</v>
      </c>
      <c r="AT2" s="10" t="s">
        <v>4</v>
      </c>
      <c r="AU2" s="9" t="s">
        <v>3</v>
      </c>
      <c r="AV2" s="10" t="s">
        <v>4</v>
      </c>
    </row>
    <row r="3" spans="1:48" s="6" customFormat="1" ht="13.5" customHeight="1" thickTop="1" thickBot="1" x14ac:dyDescent="0.25">
      <c r="A3" s="117"/>
      <c r="B3" s="120"/>
      <c r="C3" s="120"/>
      <c r="D3" s="120"/>
      <c r="E3" s="5">
        <v>44466</v>
      </c>
      <c r="F3" s="5">
        <f>E3+5</f>
        <v>44471</v>
      </c>
      <c r="G3" s="5">
        <f>E3+7</f>
        <v>44473</v>
      </c>
      <c r="H3" s="11">
        <f>G3+5</f>
        <v>44478</v>
      </c>
      <c r="I3" s="5">
        <f>G3+7</f>
        <v>44480</v>
      </c>
      <c r="J3" s="11">
        <f>I3+5</f>
        <v>44485</v>
      </c>
      <c r="K3" s="5">
        <f>I3+7</f>
        <v>44487</v>
      </c>
      <c r="L3" s="11">
        <f>K3+5</f>
        <v>44492</v>
      </c>
      <c r="M3" s="5">
        <f>K3+7</f>
        <v>44494</v>
      </c>
      <c r="N3" s="11">
        <f>M3+5</f>
        <v>44499</v>
      </c>
      <c r="O3" s="5">
        <f>M3+7</f>
        <v>44501</v>
      </c>
      <c r="P3" s="11">
        <f>O3+5</f>
        <v>44506</v>
      </c>
      <c r="Q3" s="5">
        <f>O3+7</f>
        <v>44508</v>
      </c>
      <c r="R3" s="11">
        <f>Q3+5</f>
        <v>44513</v>
      </c>
      <c r="S3" s="5">
        <f>Q3+7</f>
        <v>44515</v>
      </c>
      <c r="T3" s="11">
        <f>S3+5</f>
        <v>44520</v>
      </c>
      <c r="U3" s="5">
        <f>S3+7</f>
        <v>44522</v>
      </c>
      <c r="V3" s="11">
        <f>U3+5</f>
        <v>44527</v>
      </c>
      <c r="W3" s="5">
        <f>U3+7</f>
        <v>44529</v>
      </c>
      <c r="X3" s="11">
        <f>W3+5</f>
        <v>44534</v>
      </c>
      <c r="Y3" s="5">
        <f>W3+7</f>
        <v>44536</v>
      </c>
      <c r="Z3" s="11">
        <f>Y3+5</f>
        <v>44541</v>
      </c>
      <c r="AA3" s="5">
        <f>Y3+7</f>
        <v>44543</v>
      </c>
      <c r="AB3" s="11">
        <f>AA3+5</f>
        <v>44548</v>
      </c>
      <c r="AC3" s="5">
        <f>AA3+7</f>
        <v>44550</v>
      </c>
      <c r="AD3" s="11">
        <f>AC3+5</f>
        <v>44555</v>
      </c>
      <c r="AE3" s="5">
        <f>AC3+7</f>
        <v>44557</v>
      </c>
      <c r="AF3" s="11">
        <f>AE3+5</f>
        <v>44562</v>
      </c>
      <c r="AG3" s="5">
        <f>AE3+7</f>
        <v>44564</v>
      </c>
      <c r="AH3" s="11">
        <f>AG3+5</f>
        <v>44569</v>
      </c>
      <c r="AI3" s="5">
        <f>AG3+7</f>
        <v>44571</v>
      </c>
      <c r="AJ3" s="11">
        <f>AI3+5</f>
        <v>44576</v>
      </c>
      <c r="AK3" s="5">
        <f>AI3+7</f>
        <v>44578</v>
      </c>
      <c r="AL3" s="11">
        <f>AK3+5</f>
        <v>44583</v>
      </c>
      <c r="AM3" s="5">
        <f>AK3+7</f>
        <v>44585</v>
      </c>
      <c r="AN3" s="11">
        <f>AM3+5</f>
        <v>44590</v>
      </c>
      <c r="AO3" s="5">
        <f>AM3+7</f>
        <v>44592</v>
      </c>
      <c r="AP3" s="11">
        <f>AO3+5</f>
        <v>44597</v>
      </c>
      <c r="AQ3" s="5">
        <f>AO3+7</f>
        <v>44599</v>
      </c>
      <c r="AR3" s="11">
        <f>AQ3+5</f>
        <v>44604</v>
      </c>
      <c r="AS3" s="5">
        <f>AQ3+7</f>
        <v>44606</v>
      </c>
      <c r="AT3" s="11">
        <f>AS3+5</f>
        <v>44611</v>
      </c>
      <c r="AU3" s="5">
        <f>AS3+7</f>
        <v>44613</v>
      </c>
      <c r="AV3" s="11">
        <f>AU3+5</f>
        <v>44618</v>
      </c>
    </row>
    <row r="4" spans="1:48" s="8" customFormat="1" ht="13.5" customHeight="1" thickTop="1" thickBot="1" x14ac:dyDescent="0.25">
      <c r="A4" s="117"/>
      <c r="B4" s="120"/>
      <c r="C4" s="120"/>
      <c r="D4" s="120"/>
      <c r="E4" s="109">
        <v>1</v>
      </c>
      <c r="F4" s="127"/>
      <c r="G4" s="109">
        <f>E4+1</f>
        <v>2</v>
      </c>
      <c r="H4" s="110"/>
      <c r="I4" s="109">
        <f>G4+1</f>
        <v>3</v>
      </c>
      <c r="J4" s="110"/>
      <c r="K4" s="109">
        <f>I4+1</f>
        <v>4</v>
      </c>
      <c r="L4" s="110"/>
      <c r="M4" s="109">
        <f>K4+1</f>
        <v>5</v>
      </c>
      <c r="N4" s="110"/>
      <c r="O4" s="109">
        <f>M4+1</f>
        <v>6</v>
      </c>
      <c r="P4" s="110"/>
      <c r="Q4" s="109">
        <f>O4+1</f>
        <v>7</v>
      </c>
      <c r="R4" s="110"/>
      <c r="S4" s="109">
        <f>Q4+1</f>
        <v>8</v>
      </c>
      <c r="T4" s="110"/>
      <c r="U4" s="109">
        <f>S4+1</f>
        <v>9</v>
      </c>
      <c r="V4" s="110"/>
      <c r="W4" s="109">
        <f>U4+1</f>
        <v>10</v>
      </c>
      <c r="X4" s="110"/>
      <c r="Y4" s="109">
        <f>W4+1</f>
        <v>11</v>
      </c>
      <c r="Z4" s="110"/>
      <c r="AA4" s="109">
        <f>Y4+1</f>
        <v>12</v>
      </c>
      <c r="AB4" s="110"/>
      <c r="AC4" s="109">
        <f>AA4+1</f>
        <v>13</v>
      </c>
      <c r="AD4" s="110"/>
      <c r="AE4" s="109">
        <f>AC4+1</f>
        <v>14</v>
      </c>
      <c r="AF4" s="110"/>
      <c r="AG4" s="104">
        <v>1</v>
      </c>
      <c r="AH4" s="108"/>
      <c r="AI4" s="104">
        <f>AG4+1</f>
        <v>2</v>
      </c>
      <c r="AJ4" s="108"/>
      <c r="AK4" s="104">
        <f>AI4+1</f>
        <v>3</v>
      </c>
      <c r="AL4" s="108"/>
      <c r="AM4" s="104">
        <f>AK4+1</f>
        <v>4</v>
      </c>
      <c r="AN4" s="108"/>
      <c r="AO4" s="104">
        <f>AM4+1</f>
        <v>5</v>
      </c>
      <c r="AP4" s="108"/>
      <c r="AQ4" s="104">
        <f>AO4+1</f>
        <v>6</v>
      </c>
      <c r="AR4" s="108"/>
      <c r="AS4" s="104">
        <f>AQ4+1</f>
        <v>7</v>
      </c>
      <c r="AT4" s="108"/>
      <c r="AU4" s="104">
        <f>AS4+1</f>
        <v>8</v>
      </c>
      <c r="AV4" s="108"/>
    </row>
    <row r="5" spans="1:48" s="8" customFormat="1" ht="12.75" customHeight="1" thickTop="1" thickBot="1" x14ac:dyDescent="0.25">
      <c r="A5" s="118"/>
      <c r="B5" s="121"/>
      <c r="C5" s="121"/>
      <c r="D5" s="121"/>
      <c r="E5" s="106">
        <f>SUM(E6:F18)</f>
        <v>521849.35</v>
      </c>
      <c r="F5" s="122"/>
      <c r="G5" s="106">
        <f>SUM(G6:H18)</f>
        <v>289748.37</v>
      </c>
      <c r="H5" s="107"/>
      <c r="I5" s="106">
        <f>SUM(I6:J18)</f>
        <v>263794.19</v>
      </c>
      <c r="J5" s="107"/>
      <c r="K5" s="106">
        <f>SUM(K6:L18)</f>
        <v>826721.94</v>
      </c>
      <c r="L5" s="107"/>
      <c r="M5" s="106">
        <f>SUM(M6:N18)</f>
        <v>786389.19000000006</v>
      </c>
      <c r="N5" s="107"/>
      <c r="O5" s="106">
        <f>SUM(O6:P18)</f>
        <v>348034.67000000004</v>
      </c>
      <c r="P5" s="107"/>
      <c r="Q5" s="106">
        <f>SUM(Q6:R18)</f>
        <v>724294.1100000001</v>
      </c>
      <c r="R5" s="107"/>
      <c r="S5" s="106">
        <f>SUM(S6:T18)</f>
        <v>353812.49</v>
      </c>
      <c r="T5" s="107"/>
      <c r="U5" s="106">
        <f>SUM(U6:V18)</f>
        <v>318943.71999999997</v>
      </c>
      <c r="V5" s="107"/>
      <c r="W5" s="106">
        <f>SUM(W6:X18)</f>
        <v>276238.08999999997</v>
      </c>
      <c r="X5" s="107"/>
      <c r="Y5" s="106">
        <f>SUM(Y6:Z18)</f>
        <v>209998.37</v>
      </c>
      <c r="Z5" s="107"/>
      <c r="AA5" s="106">
        <f>SUM(AA6:AB18)</f>
        <v>53205.91</v>
      </c>
      <c r="AB5" s="107"/>
      <c r="AC5" s="106">
        <f>SUM(AC6:AD18)</f>
        <v>0</v>
      </c>
      <c r="AD5" s="107"/>
      <c r="AE5" s="106">
        <f>SUM(AE6:AF18)</f>
        <v>0</v>
      </c>
      <c r="AF5" s="107"/>
      <c r="AG5" s="106">
        <f>SUM(AG6:AH18)</f>
        <v>0</v>
      </c>
      <c r="AH5" s="107"/>
      <c r="AI5" s="106">
        <f>SUM(AI6:AJ18)</f>
        <v>0</v>
      </c>
      <c r="AJ5" s="107"/>
      <c r="AK5" s="106">
        <f>SUM(AK6:AL18)</f>
        <v>0</v>
      </c>
      <c r="AL5" s="107"/>
      <c r="AM5" s="106">
        <f>SUM(AM6:AN18)</f>
        <v>0</v>
      </c>
      <c r="AN5" s="107"/>
      <c r="AO5" s="106">
        <f>SUM(AO6:AP18)</f>
        <v>0</v>
      </c>
      <c r="AP5" s="107"/>
      <c r="AQ5" s="106">
        <f>SUM(AQ6:AR18)</f>
        <v>8574.64</v>
      </c>
      <c r="AR5" s="107"/>
      <c r="AS5" s="106">
        <f>SUM(AS6:AT18)</f>
        <v>0</v>
      </c>
      <c r="AT5" s="107"/>
      <c r="AU5" s="106">
        <f>SUM(AU6:AV18)</f>
        <v>0</v>
      </c>
      <c r="AV5" s="107"/>
    </row>
    <row r="6" spans="1:48" ht="12.6" thickTop="1" thickBot="1" x14ac:dyDescent="0.25">
      <c r="A6" s="12">
        <v>3</v>
      </c>
      <c r="B6" s="1" t="str">
        <f>IF(A6="","",_xlfn.XLOOKUP($A6,'[3]ANTICIPOS SAN SEBASTIÁN'!$B$1:$B$221,'[3]ANTICIPOS SAN SEBASTIÁN'!$I$1:$I$221))</f>
        <v>COINVI</v>
      </c>
      <c r="C6" s="2">
        <f>IF(A6="","",IF(_xlfn.XLOOKUP($A6,'[3]ANTICIPOS SAN SEBASTIÁN'!$B$1:$B$221,'[3]ANTICIPOS SAN SEBASTIÁN'!$K$1:$K$221)="","",_xlfn.XLOOKUP($A6,'[3]ANTICIPOS SAN SEBASTIÁN'!$B$1:$B$221,'[3]ANTICIPOS SAN SEBASTIÁN'!$K$1:$K$221)))</f>
        <v>27</v>
      </c>
      <c r="D6" s="16">
        <f t="shared" ref="D6:D17" si="0">SUM(E6:ZZ6)</f>
        <v>266350</v>
      </c>
      <c r="E6" s="100">
        <v>0</v>
      </c>
      <c r="F6" s="111"/>
      <c r="G6" s="100">
        <v>45328.46</v>
      </c>
      <c r="H6" s="101"/>
      <c r="I6" s="100">
        <v>0</v>
      </c>
      <c r="J6" s="101"/>
      <c r="K6" s="100">
        <v>70606.34</v>
      </c>
      <c r="L6" s="101"/>
      <c r="M6" s="100">
        <v>0</v>
      </c>
      <c r="N6" s="101"/>
      <c r="O6" s="100">
        <v>0</v>
      </c>
      <c r="P6" s="101"/>
      <c r="Q6" s="100">
        <v>0</v>
      </c>
      <c r="R6" s="101"/>
      <c r="S6" s="100">
        <v>70606.34</v>
      </c>
      <c r="T6" s="101"/>
      <c r="U6" s="100">
        <v>79808.86</v>
      </c>
      <c r="V6" s="101"/>
      <c r="W6" s="100">
        <v>0</v>
      </c>
      <c r="X6" s="101"/>
      <c r="Y6" s="100">
        <v>0</v>
      </c>
      <c r="Z6" s="101"/>
      <c r="AA6" s="100">
        <v>0</v>
      </c>
      <c r="AB6" s="101"/>
      <c r="AC6" s="100">
        <v>0</v>
      </c>
      <c r="AD6" s="101"/>
      <c r="AE6" s="100">
        <v>0</v>
      </c>
      <c r="AF6" s="101"/>
      <c r="AG6" s="100">
        <v>0</v>
      </c>
      <c r="AH6" s="101"/>
      <c r="AI6" s="100">
        <v>0</v>
      </c>
      <c r="AJ6" s="101"/>
      <c r="AK6" s="100">
        <v>0</v>
      </c>
      <c r="AL6" s="101"/>
      <c r="AM6" s="100">
        <v>0</v>
      </c>
      <c r="AN6" s="101"/>
      <c r="AO6" s="100">
        <v>0</v>
      </c>
      <c r="AP6" s="101"/>
      <c r="AQ6" s="100">
        <v>0</v>
      </c>
      <c r="AR6" s="101"/>
      <c r="AS6" s="100">
        <v>0</v>
      </c>
      <c r="AT6" s="101"/>
      <c r="AU6" s="100">
        <v>0</v>
      </c>
      <c r="AV6" s="101"/>
    </row>
    <row r="7" spans="1:48" ht="12.6" thickTop="1" thickBot="1" x14ac:dyDescent="0.25">
      <c r="A7" s="12">
        <v>4</v>
      </c>
      <c r="B7" s="1" t="str">
        <f>IF(A7="","",_xlfn.XLOOKUP($A7,'[3]ANTICIPOS SAN SEBASTIÁN'!$B$1:$B$221,'[3]ANTICIPOS SAN SEBASTIÁN'!$I$1:$I$221))</f>
        <v>OBREGÓN</v>
      </c>
      <c r="C7" s="2">
        <f>IF(A7="","",IF(_xlfn.XLOOKUP($A7,'[3]ANTICIPOS SAN SEBASTIÁN'!$B$1:$B$221,'[3]ANTICIPOS SAN SEBASTIÁN'!$K$1:$K$221)="","",_xlfn.XLOOKUP($A7,'[3]ANTICIPOS SAN SEBASTIÁN'!$B$1:$B$221,'[3]ANTICIPOS SAN SEBASTIÁN'!$K$1:$K$221)))</f>
        <v>27</v>
      </c>
      <c r="D7" s="16">
        <f t="shared" si="0"/>
        <v>383865.86</v>
      </c>
      <c r="E7" s="100">
        <v>0</v>
      </c>
      <c r="F7" s="111"/>
      <c r="G7" s="100">
        <v>0</v>
      </c>
      <c r="H7" s="101"/>
      <c r="I7" s="100">
        <v>0</v>
      </c>
      <c r="J7" s="101"/>
      <c r="K7" s="100">
        <v>90454.28</v>
      </c>
      <c r="L7" s="101"/>
      <c r="M7" s="100">
        <v>0</v>
      </c>
      <c r="N7" s="101"/>
      <c r="O7" s="100">
        <v>0</v>
      </c>
      <c r="P7" s="101"/>
      <c r="Q7" s="100">
        <v>68485.919999999998</v>
      </c>
      <c r="R7" s="101"/>
      <c r="S7" s="100">
        <v>69096.05</v>
      </c>
      <c r="T7" s="101"/>
      <c r="U7" s="100">
        <v>41049.480000000003</v>
      </c>
      <c r="V7" s="101"/>
      <c r="W7" s="100">
        <v>61574.22</v>
      </c>
      <c r="X7" s="101"/>
      <c r="Y7" s="100">
        <v>0</v>
      </c>
      <c r="Z7" s="101"/>
      <c r="AA7" s="100">
        <v>53205.91</v>
      </c>
      <c r="AB7" s="101"/>
      <c r="AC7" s="100">
        <v>0</v>
      </c>
      <c r="AD7" s="101"/>
      <c r="AE7" s="100">
        <v>0</v>
      </c>
      <c r="AF7" s="101"/>
      <c r="AG7" s="100">
        <v>0</v>
      </c>
      <c r="AH7" s="101"/>
      <c r="AI7" s="100">
        <v>0</v>
      </c>
      <c r="AJ7" s="101"/>
      <c r="AK7" s="100">
        <v>0</v>
      </c>
      <c r="AL7" s="101"/>
      <c r="AM7" s="100">
        <v>0</v>
      </c>
      <c r="AN7" s="101"/>
      <c r="AO7" s="100">
        <v>0</v>
      </c>
      <c r="AP7" s="101"/>
      <c r="AQ7" s="100">
        <v>0</v>
      </c>
      <c r="AR7" s="101"/>
      <c r="AS7" s="100">
        <v>0</v>
      </c>
      <c r="AT7" s="101"/>
      <c r="AU7" s="100">
        <v>0</v>
      </c>
      <c r="AV7" s="101"/>
    </row>
    <row r="8" spans="1:48" ht="12.6" thickTop="1" thickBot="1" x14ac:dyDescent="0.25">
      <c r="A8" s="12">
        <v>5</v>
      </c>
      <c r="B8" s="1" t="str">
        <f>IF(A8="","",_xlfn.XLOOKUP($A8,'[3]ANTICIPOS SAN SEBASTIÁN'!$B$1:$B$221,'[3]ANTICIPOS SAN SEBASTIÁN'!$I$1:$I$221))</f>
        <v>POWER</v>
      </c>
      <c r="C8" s="2">
        <f>IF(A8="","",IF(_xlfn.XLOOKUP($A8,'[3]ANTICIPOS SAN SEBASTIÁN'!$B$1:$B$221,'[3]ANTICIPOS SAN SEBASTIÁN'!$K$1:$K$221)="","",_xlfn.XLOOKUP($A8,'[3]ANTICIPOS SAN SEBASTIÁN'!$B$1:$B$221,'[3]ANTICIPOS SAN SEBASTIÁN'!$K$1:$K$221)))</f>
        <v>28</v>
      </c>
      <c r="D8" s="16">
        <f t="shared" si="0"/>
        <v>484503.04999999993</v>
      </c>
      <c r="E8" s="100">
        <f>89531.86+48653.44+106250.93</f>
        <v>244436.22999999998</v>
      </c>
      <c r="F8" s="111"/>
      <c r="G8" s="100">
        <v>0</v>
      </c>
      <c r="H8" s="111"/>
      <c r="I8" s="100">
        <v>0</v>
      </c>
      <c r="J8" s="101"/>
      <c r="K8" s="100">
        <v>238794.96</v>
      </c>
      <c r="L8" s="101"/>
      <c r="M8" s="100">
        <v>0</v>
      </c>
      <c r="N8" s="101"/>
      <c r="O8" s="100">
        <v>0</v>
      </c>
      <c r="P8" s="101"/>
      <c r="Q8" s="100">
        <v>0</v>
      </c>
      <c r="R8" s="101"/>
      <c r="S8" s="100">
        <v>0</v>
      </c>
      <c r="T8" s="101"/>
      <c r="U8" s="100">
        <v>0</v>
      </c>
      <c r="V8" s="101"/>
      <c r="W8" s="100">
        <v>0</v>
      </c>
      <c r="X8" s="101"/>
      <c r="Y8" s="100">
        <v>0</v>
      </c>
      <c r="Z8" s="101"/>
      <c r="AA8" s="100">
        <v>0</v>
      </c>
      <c r="AB8" s="101"/>
      <c r="AC8" s="100">
        <v>0</v>
      </c>
      <c r="AD8" s="101"/>
      <c r="AE8" s="100">
        <v>0</v>
      </c>
      <c r="AF8" s="101"/>
      <c r="AG8" s="100">
        <v>0</v>
      </c>
      <c r="AH8" s="101"/>
      <c r="AI8" s="100">
        <v>0</v>
      </c>
      <c r="AJ8" s="101"/>
      <c r="AK8" s="100">
        <v>0</v>
      </c>
      <c r="AL8" s="101"/>
      <c r="AM8" s="100">
        <v>0</v>
      </c>
      <c r="AN8" s="101"/>
      <c r="AO8" s="100">
        <v>0</v>
      </c>
      <c r="AP8" s="101"/>
      <c r="AQ8" s="100">
        <v>1271.8599999999999</v>
      </c>
      <c r="AR8" s="101"/>
      <c r="AS8" s="100">
        <v>0</v>
      </c>
      <c r="AT8" s="101"/>
      <c r="AU8" s="100">
        <v>0</v>
      </c>
      <c r="AV8" s="101"/>
    </row>
    <row r="9" spans="1:48" ht="12.6" thickTop="1" thickBot="1" x14ac:dyDescent="0.25">
      <c r="A9" s="12">
        <v>6</v>
      </c>
      <c r="B9" s="1" t="str">
        <f>IF(A9="","",_xlfn.XLOOKUP($A9,'[3]ANTICIPOS SAN SEBASTIÁN'!$B$1:$B$221,'[3]ANTICIPOS SAN SEBASTIÁN'!$I$1:$I$221))</f>
        <v>FASAR</v>
      </c>
      <c r="C9" s="2" t="str">
        <f>IF(A9="","",IF(_xlfn.XLOOKUP($A9,'[3]ANTICIPOS SAN SEBASTIÁN'!$B$1:$B$221,'[3]ANTICIPOS SAN SEBASTIÁN'!$K$1:$K$221)="","",_xlfn.XLOOKUP($A9,'[3]ANTICIPOS SAN SEBASTIÁN'!$B$1:$B$221,'[3]ANTICIPOS SAN SEBASTIÁN'!$K$1:$K$221)))</f>
        <v>29 Y 30</v>
      </c>
      <c r="D9" s="16">
        <f t="shared" si="0"/>
        <v>334177.71999999997</v>
      </c>
      <c r="E9" s="100">
        <f>37416.8+69287.82</f>
        <v>106704.62000000001</v>
      </c>
      <c r="F9" s="111"/>
      <c r="G9" s="100">
        <v>126917.62</v>
      </c>
      <c r="H9" s="111"/>
      <c r="I9" s="100">
        <v>33548.239999999998</v>
      </c>
      <c r="J9" s="101"/>
      <c r="K9" s="100" t="s">
        <v>15</v>
      </c>
      <c r="L9" s="101"/>
      <c r="M9" s="100">
        <v>0</v>
      </c>
      <c r="N9" s="101"/>
      <c r="O9" s="100">
        <v>0</v>
      </c>
      <c r="P9" s="101"/>
      <c r="Q9" s="100">
        <v>63462.1</v>
      </c>
      <c r="R9" s="101"/>
      <c r="S9" s="100">
        <v>0</v>
      </c>
      <c r="T9" s="101"/>
      <c r="U9" s="100">
        <v>0</v>
      </c>
      <c r="V9" s="101"/>
      <c r="W9" s="100">
        <v>0</v>
      </c>
      <c r="X9" s="101"/>
      <c r="Y9" s="100">
        <v>0</v>
      </c>
      <c r="Z9" s="101"/>
      <c r="AA9" s="100">
        <v>0</v>
      </c>
      <c r="AB9" s="101"/>
      <c r="AC9" s="100">
        <v>0</v>
      </c>
      <c r="AD9" s="101"/>
      <c r="AE9" s="100">
        <v>0</v>
      </c>
      <c r="AF9" s="101"/>
      <c r="AG9" s="100">
        <v>0</v>
      </c>
      <c r="AH9" s="101"/>
      <c r="AI9" s="100">
        <v>0</v>
      </c>
      <c r="AJ9" s="101"/>
      <c r="AK9" s="100">
        <v>0</v>
      </c>
      <c r="AL9" s="101"/>
      <c r="AM9" s="100">
        <v>0</v>
      </c>
      <c r="AN9" s="101"/>
      <c r="AO9" s="100">
        <v>0</v>
      </c>
      <c r="AP9" s="101"/>
      <c r="AQ9" s="100">
        <v>3545.14</v>
      </c>
      <c r="AR9" s="101"/>
      <c r="AS9" s="100">
        <v>0</v>
      </c>
      <c r="AT9" s="101"/>
      <c r="AU9" s="100">
        <v>0</v>
      </c>
      <c r="AV9" s="101"/>
    </row>
    <row r="10" spans="1:48" ht="12.6" thickTop="1" thickBot="1" x14ac:dyDescent="0.25">
      <c r="A10" s="12">
        <v>7</v>
      </c>
      <c r="B10" s="1" t="str">
        <f>IF(A10="","",_xlfn.XLOOKUP($A10,'[3]ANTICIPOS SAN SEBASTIÁN'!$B$1:$B$221,'[3]ANTICIPOS SAN SEBASTIÁN'!$I$1:$I$221))</f>
        <v>ULIGAB</v>
      </c>
      <c r="C10" s="2">
        <f>IF(A10="","",IF(_xlfn.XLOOKUP($A10,'[3]ANTICIPOS SAN SEBASTIÁN'!$B$1:$B$221,'[3]ANTICIPOS SAN SEBASTIÁN'!$K$1:$K$221)="","",_xlfn.XLOOKUP($A10,'[3]ANTICIPOS SAN SEBASTIÁN'!$B$1:$B$221,'[3]ANTICIPOS SAN SEBASTIÁN'!$K$1:$K$221)))</f>
        <v>31</v>
      </c>
      <c r="D10" s="16">
        <f t="shared" si="0"/>
        <v>0</v>
      </c>
      <c r="E10" s="100">
        <v>0</v>
      </c>
      <c r="F10" s="111"/>
      <c r="G10" s="100">
        <v>0</v>
      </c>
      <c r="H10" s="111"/>
      <c r="I10" s="100">
        <v>0</v>
      </c>
      <c r="J10" s="101"/>
      <c r="K10" s="100">
        <v>0</v>
      </c>
      <c r="L10" s="101"/>
      <c r="M10" s="100">
        <v>0</v>
      </c>
      <c r="N10" s="101"/>
      <c r="O10" s="100">
        <v>0</v>
      </c>
      <c r="P10" s="101"/>
      <c r="Q10" s="100">
        <v>0</v>
      </c>
      <c r="R10" s="101"/>
      <c r="S10" s="100">
        <v>0</v>
      </c>
      <c r="T10" s="101"/>
      <c r="U10" s="100">
        <v>0</v>
      </c>
      <c r="V10" s="101"/>
      <c r="W10" s="100">
        <v>0</v>
      </c>
      <c r="X10" s="101"/>
      <c r="Y10" s="100">
        <v>0</v>
      </c>
      <c r="Z10" s="101"/>
      <c r="AA10" s="100">
        <v>0</v>
      </c>
      <c r="AB10" s="101"/>
      <c r="AC10" s="100">
        <v>0</v>
      </c>
      <c r="AD10" s="101"/>
      <c r="AE10" s="100">
        <v>0</v>
      </c>
      <c r="AF10" s="101"/>
      <c r="AG10" s="100">
        <v>0</v>
      </c>
      <c r="AH10" s="101"/>
      <c r="AI10" s="100">
        <v>0</v>
      </c>
      <c r="AJ10" s="101"/>
      <c r="AK10" s="100">
        <v>0</v>
      </c>
      <c r="AL10" s="101"/>
      <c r="AM10" s="100">
        <v>0</v>
      </c>
      <c r="AN10" s="101"/>
      <c r="AO10" s="100">
        <v>0</v>
      </c>
      <c r="AP10" s="101"/>
      <c r="AQ10" s="100">
        <v>0</v>
      </c>
      <c r="AR10" s="101"/>
      <c r="AS10" s="100">
        <v>0</v>
      </c>
      <c r="AT10" s="101"/>
      <c r="AU10" s="100">
        <v>0</v>
      </c>
      <c r="AV10" s="101"/>
    </row>
    <row r="11" spans="1:48" ht="12.6" thickTop="1" thickBot="1" x14ac:dyDescent="0.25">
      <c r="A11" s="12">
        <v>8</v>
      </c>
      <c r="B11" s="1" t="str">
        <f>IF(A11="","",_xlfn.XLOOKUP($A11,'[3]ANTICIPOS SAN SEBASTIÁN'!$B$1:$B$221,'[3]ANTICIPOS SAN SEBASTIÁN'!$I$1:$I$221))</f>
        <v>ULIGAB</v>
      </c>
      <c r="C11" s="2">
        <f>IF(A11="","",IF(_xlfn.XLOOKUP($A11,'[3]ANTICIPOS SAN SEBASTIÁN'!$B$1:$B$221,'[3]ANTICIPOS SAN SEBASTIÁN'!$K$1:$K$221)="","",_xlfn.XLOOKUP($A11,'[3]ANTICIPOS SAN SEBASTIÁN'!$B$1:$B$221,'[3]ANTICIPOS SAN SEBASTIÁN'!$K$1:$K$221)))</f>
        <v>31</v>
      </c>
      <c r="D11" s="16">
        <f t="shared" si="0"/>
        <v>338226.85</v>
      </c>
      <c r="E11" s="100">
        <v>0</v>
      </c>
      <c r="F11" s="111"/>
      <c r="G11" s="100">
        <v>0</v>
      </c>
      <c r="H11" s="111"/>
      <c r="I11" s="100">
        <v>67786.84</v>
      </c>
      <c r="J11" s="101"/>
      <c r="K11" s="100">
        <v>0</v>
      </c>
      <c r="L11" s="101"/>
      <c r="M11" s="100">
        <v>71408.13</v>
      </c>
      <c r="N11" s="101"/>
      <c r="O11" s="100">
        <v>22544.76</v>
      </c>
      <c r="P11" s="101"/>
      <c r="Q11" s="100">
        <v>87712.97</v>
      </c>
      <c r="R11" s="101"/>
      <c r="S11" s="100">
        <v>0</v>
      </c>
      <c r="T11" s="101"/>
      <c r="U11" s="100">
        <v>0</v>
      </c>
      <c r="V11" s="101"/>
      <c r="W11" s="100">
        <v>0</v>
      </c>
      <c r="X11" s="101"/>
      <c r="Y11" s="100">
        <v>88774.15</v>
      </c>
      <c r="Z11" s="101"/>
      <c r="AA11" s="100">
        <v>0</v>
      </c>
      <c r="AB11" s="101"/>
      <c r="AC11" s="100">
        <v>0</v>
      </c>
      <c r="AD11" s="101"/>
      <c r="AE11" s="100">
        <v>0</v>
      </c>
      <c r="AF11" s="101"/>
      <c r="AG11" s="100">
        <v>0</v>
      </c>
      <c r="AH11" s="101"/>
      <c r="AI11" s="100">
        <v>0</v>
      </c>
      <c r="AJ11" s="101"/>
      <c r="AK11" s="100">
        <v>0</v>
      </c>
      <c r="AL11" s="101"/>
      <c r="AM11" s="100">
        <v>0</v>
      </c>
      <c r="AN11" s="101"/>
      <c r="AO11" s="100">
        <v>0</v>
      </c>
      <c r="AP11" s="101"/>
      <c r="AQ11" s="100">
        <v>0</v>
      </c>
      <c r="AR11" s="101"/>
      <c r="AS11" s="100">
        <v>0</v>
      </c>
      <c r="AT11" s="101"/>
      <c r="AU11" s="100">
        <v>0</v>
      </c>
      <c r="AV11" s="101"/>
    </row>
    <row r="12" spans="1:48" ht="12.6" thickTop="1" thickBot="1" x14ac:dyDescent="0.25">
      <c r="A12" s="12">
        <v>9</v>
      </c>
      <c r="B12" s="1" t="str">
        <f>IF(A12="","",_xlfn.XLOOKUP($A12,'[3]ANTICIPOS SAN SEBASTIÁN'!$B$1:$B$221,'[3]ANTICIPOS SAN SEBASTIÁN'!$I$1:$I$221))</f>
        <v>ULIGAB</v>
      </c>
      <c r="C12" s="2">
        <f>IF(A12="","",IF(_xlfn.XLOOKUP($A12,'[3]ANTICIPOS SAN SEBASTIÁN'!$B$1:$B$221,'[3]ANTICIPOS SAN SEBASTIÁN'!$K$1:$K$221)="","",_xlfn.XLOOKUP($A12,'[3]ANTICIPOS SAN SEBASTIÁN'!$B$1:$B$221,'[3]ANTICIPOS SAN SEBASTIÁN'!$K$1:$K$221)))</f>
        <v>32</v>
      </c>
      <c r="D12" s="16">
        <f t="shared" si="0"/>
        <v>552175.79</v>
      </c>
      <c r="E12" s="100">
        <f>37935.22+49348.09</f>
        <v>87283.31</v>
      </c>
      <c r="F12" s="111"/>
      <c r="G12" s="100">
        <v>0</v>
      </c>
      <c r="H12" s="111"/>
      <c r="I12" s="100">
        <v>48653.440000000002</v>
      </c>
      <c r="J12" s="101"/>
      <c r="K12" s="100">
        <v>90997.73</v>
      </c>
      <c r="L12" s="101"/>
      <c r="M12" s="100">
        <v>26602.95</v>
      </c>
      <c r="N12" s="101"/>
      <c r="O12" s="100">
        <v>57653.32</v>
      </c>
      <c r="P12" s="101"/>
      <c r="Q12" s="100">
        <v>23557.67</v>
      </c>
      <c r="R12" s="101"/>
      <c r="S12" s="100">
        <v>94695.97</v>
      </c>
      <c r="T12" s="101"/>
      <c r="U12" s="100">
        <v>0</v>
      </c>
      <c r="V12" s="101"/>
      <c r="W12" s="100">
        <v>0</v>
      </c>
      <c r="X12" s="101"/>
      <c r="Y12" s="100">
        <v>121224.22</v>
      </c>
      <c r="Z12" s="101"/>
      <c r="AA12" s="100">
        <v>0</v>
      </c>
      <c r="AB12" s="101"/>
      <c r="AC12" s="100">
        <v>0</v>
      </c>
      <c r="AD12" s="101"/>
      <c r="AE12" s="100">
        <v>0</v>
      </c>
      <c r="AF12" s="101"/>
      <c r="AG12" s="100">
        <v>0</v>
      </c>
      <c r="AH12" s="101"/>
      <c r="AI12" s="100">
        <v>0</v>
      </c>
      <c r="AJ12" s="101"/>
      <c r="AK12" s="100">
        <v>0</v>
      </c>
      <c r="AL12" s="101"/>
      <c r="AM12" s="100">
        <v>0</v>
      </c>
      <c r="AN12" s="101"/>
      <c r="AO12" s="100">
        <v>0</v>
      </c>
      <c r="AP12" s="101"/>
      <c r="AQ12" s="100">
        <f>1768.79-261.61</f>
        <v>1507.1799999999998</v>
      </c>
      <c r="AR12" s="101"/>
      <c r="AS12" s="100">
        <v>0</v>
      </c>
      <c r="AT12" s="101"/>
      <c r="AU12" s="100">
        <v>0</v>
      </c>
      <c r="AV12" s="101"/>
    </row>
    <row r="13" spans="1:48" ht="12.6" thickTop="1" thickBot="1" x14ac:dyDescent="0.25">
      <c r="A13" s="12">
        <v>10</v>
      </c>
      <c r="B13" s="1" t="str">
        <f>IF(A13="","",_xlfn.XLOOKUP($A13,'[3]ANTICIPOS SAN SEBASTIÁN'!$B$1:$B$221,'[3]ANTICIPOS SAN SEBASTIÁN'!$I$1:$I$221))</f>
        <v>ANGEL ALAMEDA</v>
      </c>
      <c r="C13" s="2">
        <f>IF(A13="","",IF(_xlfn.XLOOKUP($A13,'[3]ANTICIPOS SAN SEBASTIÁN'!$B$1:$B$221,'[3]ANTICIPOS SAN SEBASTIÁN'!$K$1:$K$221)="","",_xlfn.XLOOKUP($A13,'[3]ANTICIPOS SAN SEBASTIÁN'!$B$1:$B$221,'[3]ANTICIPOS SAN SEBASTIÁN'!$K$1:$K$221)))</f>
        <v>33</v>
      </c>
      <c r="D13" s="16">
        <f t="shared" si="0"/>
        <v>302954.72000000003</v>
      </c>
      <c r="E13" s="100">
        <v>83425.19</v>
      </c>
      <c r="F13" s="111"/>
      <c r="G13" s="100">
        <v>45489.97</v>
      </c>
      <c r="H13" s="111"/>
      <c r="I13" s="100">
        <v>0</v>
      </c>
      <c r="J13" s="101"/>
      <c r="K13" s="100">
        <v>112100.1</v>
      </c>
      <c r="L13" s="101"/>
      <c r="M13" s="100">
        <v>61939.46</v>
      </c>
      <c r="N13" s="101"/>
      <c r="O13" s="100">
        <v>0</v>
      </c>
      <c r="P13" s="101"/>
      <c r="Q13" s="100">
        <v>0</v>
      </c>
      <c r="R13" s="101"/>
      <c r="S13" s="100">
        <v>0</v>
      </c>
      <c r="T13" s="101"/>
      <c r="U13" s="100">
        <v>0</v>
      </c>
      <c r="V13" s="101"/>
      <c r="W13" s="100">
        <v>0</v>
      </c>
      <c r="X13" s="101"/>
      <c r="Y13" s="100">
        <v>0</v>
      </c>
      <c r="Z13" s="101"/>
      <c r="AA13" s="100">
        <v>0</v>
      </c>
      <c r="AB13" s="101"/>
      <c r="AC13" s="100">
        <v>0</v>
      </c>
      <c r="AD13" s="101"/>
      <c r="AE13" s="100">
        <v>0</v>
      </c>
      <c r="AF13" s="101"/>
      <c r="AG13" s="100">
        <v>0</v>
      </c>
      <c r="AH13" s="101"/>
      <c r="AI13" s="100">
        <v>0</v>
      </c>
      <c r="AJ13" s="101"/>
      <c r="AK13" s="100">
        <v>0</v>
      </c>
      <c r="AL13" s="101"/>
      <c r="AM13" s="100">
        <v>0</v>
      </c>
      <c r="AN13" s="101"/>
      <c r="AO13" s="100">
        <v>0</v>
      </c>
      <c r="AP13" s="101"/>
      <c r="AQ13" s="100">
        <v>0</v>
      </c>
      <c r="AR13" s="101"/>
      <c r="AS13" s="100">
        <v>0</v>
      </c>
      <c r="AT13" s="101"/>
      <c r="AU13" s="100">
        <v>0</v>
      </c>
      <c r="AV13" s="101"/>
    </row>
    <row r="14" spans="1:48" ht="12.6" thickTop="1" thickBot="1" x14ac:dyDescent="0.25">
      <c r="A14" s="12">
        <v>11</v>
      </c>
      <c r="B14" s="1" t="str">
        <f>IF(A14="","",_xlfn.XLOOKUP($A14,'[3]ANTICIPOS SAN SEBASTIÁN'!$B$1:$B$221,'[3]ANTICIPOS SAN SEBASTIÁN'!$I$1:$I$221))</f>
        <v>POWER</v>
      </c>
      <c r="C14" s="2">
        <f>IF(A14="","",IF(_xlfn.XLOOKUP($A14,'[3]ANTICIPOS SAN SEBASTIÁN'!$B$1:$B$221,'[3]ANTICIPOS SAN SEBASTIÁN'!$K$1:$K$221)="","",_xlfn.XLOOKUP($A14,'[3]ANTICIPOS SAN SEBASTIÁN'!$B$1:$B$221,'[3]ANTICIPOS SAN SEBASTIÁN'!$K$1:$K$221)))</f>
        <v>33</v>
      </c>
      <c r="D14" s="16">
        <f t="shared" si="0"/>
        <v>394188.74</v>
      </c>
      <c r="E14" s="100">
        <v>0</v>
      </c>
      <c r="F14" s="111"/>
      <c r="G14" s="100">
        <v>0</v>
      </c>
      <c r="H14" s="101"/>
      <c r="I14" s="100">
        <v>0</v>
      </c>
      <c r="J14" s="101"/>
      <c r="K14" s="100">
        <v>0</v>
      </c>
      <c r="L14" s="101"/>
      <c r="M14" s="100">
        <v>394188.74</v>
      </c>
      <c r="N14" s="101"/>
      <c r="O14" s="100">
        <v>0</v>
      </c>
      <c r="P14" s="101"/>
      <c r="Q14" s="100">
        <v>0</v>
      </c>
      <c r="R14" s="101"/>
      <c r="S14" s="100">
        <v>0</v>
      </c>
      <c r="T14" s="101"/>
      <c r="U14" s="100">
        <v>0</v>
      </c>
      <c r="V14" s="101"/>
      <c r="W14" s="100">
        <v>0</v>
      </c>
      <c r="X14" s="101"/>
      <c r="Y14" s="100">
        <v>0</v>
      </c>
      <c r="Z14" s="101"/>
      <c r="AA14" s="100">
        <v>0</v>
      </c>
      <c r="AB14" s="101"/>
      <c r="AC14" s="100">
        <v>0</v>
      </c>
      <c r="AD14" s="101"/>
      <c r="AE14" s="100">
        <v>0</v>
      </c>
      <c r="AF14" s="101"/>
      <c r="AG14" s="100">
        <v>0</v>
      </c>
      <c r="AH14" s="101"/>
      <c r="AI14" s="100">
        <v>0</v>
      </c>
      <c r="AJ14" s="101"/>
      <c r="AK14" s="100">
        <v>0</v>
      </c>
      <c r="AL14" s="101"/>
      <c r="AM14" s="100">
        <v>0</v>
      </c>
      <c r="AN14" s="101"/>
      <c r="AO14" s="100">
        <v>0</v>
      </c>
      <c r="AP14" s="101"/>
      <c r="AQ14" s="100">
        <v>0</v>
      </c>
      <c r="AR14" s="101"/>
      <c r="AS14" s="100">
        <v>0</v>
      </c>
      <c r="AT14" s="101"/>
      <c r="AU14" s="100">
        <v>0</v>
      </c>
      <c r="AV14" s="101"/>
    </row>
    <row r="15" spans="1:48" ht="12.6" thickTop="1" thickBot="1" x14ac:dyDescent="0.25">
      <c r="A15" s="12">
        <v>12</v>
      </c>
      <c r="B15" s="1" t="str">
        <f>IF(A15="","",_xlfn.XLOOKUP($A15,'[3]ANTICIPOS SAN SEBASTIÁN'!$B$1:$B$221,'[3]ANTICIPOS SAN SEBASTIÁN'!$I$1:$I$221))</f>
        <v>CONSORCIO RM</v>
      </c>
      <c r="C15" s="2">
        <f>IF(A15="","",IF(_xlfn.XLOOKUP($A15,'[3]ANTICIPOS SAN SEBASTIÁN'!$B$1:$B$221,'[3]ANTICIPOS SAN SEBASTIÁN'!$K$1:$K$221)="","",_xlfn.XLOOKUP($A15,'[3]ANTICIPOS SAN SEBASTIÁN'!$B$1:$B$221,'[3]ANTICIPOS SAN SEBASTIÁN'!$K$1:$K$221)))</f>
        <v>34</v>
      </c>
      <c r="D15" s="16">
        <f t="shared" si="0"/>
        <v>680546.47</v>
      </c>
      <c r="E15" s="100">
        <v>0</v>
      </c>
      <c r="F15" s="111"/>
      <c r="G15" s="100">
        <v>0</v>
      </c>
      <c r="H15" s="101"/>
      <c r="I15" s="100">
        <v>113805.67</v>
      </c>
      <c r="J15" s="101"/>
      <c r="K15" s="100">
        <v>164913.1</v>
      </c>
      <c r="L15" s="101"/>
      <c r="M15" s="100">
        <v>192345.48</v>
      </c>
      <c r="N15" s="101"/>
      <c r="O15" s="100">
        <v>207419.76</v>
      </c>
      <c r="P15" s="101"/>
      <c r="Q15" s="100">
        <v>0</v>
      </c>
      <c r="R15" s="101"/>
      <c r="S15" s="100">
        <v>0</v>
      </c>
      <c r="T15" s="101"/>
      <c r="U15" s="100">
        <v>0</v>
      </c>
      <c r="V15" s="101"/>
      <c r="W15" s="100">
        <v>0</v>
      </c>
      <c r="X15" s="101"/>
      <c r="Y15" s="100">
        <v>0</v>
      </c>
      <c r="Z15" s="101"/>
      <c r="AA15" s="100">
        <v>0</v>
      </c>
      <c r="AB15" s="101"/>
      <c r="AC15" s="100">
        <v>0</v>
      </c>
      <c r="AD15" s="101"/>
      <c r="AE15" s="100">
        <v>0</v>
      </c>
      <c r="AF15" s="101"/>
      <c r="AG15" s="100">
        <v>0</v>
      </c>
      <c r="AH15" s="101"/>
      <c r="AI15" s="100">
        <v>0</v>
      </c>
      <c r="AJ15" s="101"/>
      <c r="AK15" s="100">
        <v>0</v>
      </c>
      <c r="AL15" s="101"/>
      <c r="AM15" s="100">
        <v>0</v>
      </c>
      <c r="AN15" s="101"/>
      <c r="AO15" s="100">
        <v>0</v>
      </c>
      <c r="AP15" s="101"/>
      <c r="AQ15" s="100">
        <v>2062.46</v>
      </c>
      <c r="AR15" s="101"/>
      <c r="AS15" s="100">
        <v>0</v>
      </c>
      <c r="AT15" s="101"/>
      <c r="AU15" s="100">
        <v>0</v>
      </c>
      <c r="AV15" s="101"/>
    </row>
    <row r="16" spans="1:48" ht="12.6" thickTop="1" thickBot="1" x14ac:dyDescent="0.25">
      <c r="A16" s="12">
        <v>13</v>
      </c>
      <c r="B16" s="1" t="str">
        <f>IF(A16="","",_xlfn.XLOOKUP($A16,'[3]ANTICIPOS SAN SEBASTIÁN'!$B$1:$B$221,'[3]ANTICIPOS SAN SEBASTIÁN'!$I$1:$I$221))</f>
        <v>CONSORCIO RM</v>
      </c>
      <c r="C16" s="2">
        <f>IF(A16="","",IF(_xlfn.XLOOKUP($A16,'[3]ANTICIPOS SAN SEBASTIÁN'!$B$1:$B$221,'[3]ANTICIPOS SAN SEBASTIÁN'!$K$1:$K$221)="","",_xlfn.XLOOKUP($A16,'[3]ANTICIPOS SAN SEBASTIÁN'!$B$1:$B$221,'[3]ANTICIPOS SAN SEBASTIÁN'!$K$1:$K$221)))</f>
        <v>34</v>
      </c>
      <c r="D16" s="16">
        <f t="shared" si="0"/>
        <v>395660.01</v>
      </c>
      <c r="E16" s="100">
        <v>0</v>
      </c>
      <c r="F16" s="111"/>
      <c r="G16" s="100">
        <v>0</v>
      </c>
      <c r="H16" s="101"/>
      <c r="I16" s="100">
        <v>0</v>
      </c>
      <c r="J16" s="101"/>
      <c r="K16" s="100">
        <v>0</v>
      </c>
      <c r="L16" s="101"/>
      <c r="M16" s="100">
        <v>0</v>
      </c>
      <c r="N16" s="101"/>
      <c r="O16" s="100">
        <v>0</v>
      </c>
      <c r="P16" s="101"/>
      <c r="Q16" s="100">
        <v>279734.84000000003</v>
      </c>
      <c r="R16" s="101"/>
      <c r="S16" s="100">
        <v>0</v>
      </c>
      <c r="T16" s="101"/>
      <c r="U16" s="100">
        <v>0</v>
      </c>
      <c r="V16" s="101"/>
      <c r="W16" s="100">
        <v>115925.17</v>
      </c>
      <c r="X16" s="101"/>
      <c r="Y16" s="100">
        <v>0</v>
      </c>
      <c r="Z16" s="101"/>
      <c r="AA16" s="100">
        <v>0</v>
      </c>
      <c r="AB16" s="101"/>
      <c r="AC16" s="100">
        <v>0</v>
      </c>
      <c r="AD16" s="101"/>
      <c r="AE16" s="100">
        <v>0</v>
      </c>
      <c r="AF16" s="101"/>
      <c r="AG16" s="100">
        <v>0</v>
      </c>
      <c r="AH16" s="101"/>
      <c r="AI16" s="100">
        <v>0</v>
      </c>
      <c r="AJ16" s="101"/>
      <c r="AK16" s="100">
        <v>0</v>
      </c>
      <c r="AL16" s="101"/>
      <c r="AM16" s="100">
        <v>0</v>
      </c>
      <c r="AN16" s="101"/>
      <c r="AO16" s="100">
        <v>0</v>
      </c>
      <c r="AP16" s="101"/>
      <c r="AQ16" s="100">
        <v>0</v>
      </c>
      <c r="AR16" s="101"/>
      <c r="AS16" s="100">
        <v>0</v>
      </c>
      <c r="AT16" s="101"/>
      <c r="AU16" s="100">
        <v>0</v>
      </c>
      <c r="AV16" s="101"/>
    </row>
    <row r="17" spans="1:48" ht="12.6" thickTop="1" thickBot="1" x14ac:dyDescent="0.25">
      <c r="A17" s="12">
        <v>14</v>
      </c>
      <c r="B17" s="1" t="str">
        <f>IF(A17="","",_xlfn.XLOOKUP($A17,'[3]ANTICIPOS SAN SEBASTIÁN'!$B$1:$B$221,'[3]ANTICIPOS SAN SEBASTIÁN'!$I$1:$I$221))</f>
        <v>COBYPSA</v>
      </c>
      <c r="C17" s="2">
        <f>IF(A17="","",IF(_xlfn.XLOOKUP($A17,'[3]ANTICIPOS SAN SEBASTIÁN'!$B$1:$B$221,'[3]ANTICIPOS SAN SEBASTIÁN'!$K$1:$K$221)="","",_xlfn.XLOOKUP($A17,'[3]ANTICIPOS SAN SEBASTIÁN'!$B$1:$B$221,'[3]ANTICIPOS SAN SEBASTIÁN'!$K$1:$K$221)))</f>
        <v>35</v>
      </c>
      <c r="D17" s="16">
        <f t="shared" si="0"/>
        <v>437351.22000000003</v>
      </c>
      <c r="E17" s="100">
        <v>0</v>
      </c>
      <c r="F17" s="111"/>
      <c r="G17" s="100">
        <v>72012.320000000007</v>
      </c>
      <c r="H17" s="101"/>
      <c r="I17" s="100">
        <v>0</v>
      </c>
      <c r="J17" s="101"/>
      <c r="K17" s="100">
        <v>58855.43</v>
      </c>
      <c r="L17" s="101"/>
      <c r="M17" s="100">
        <v>39904.43</v>
      </c>
      <c r="N17" s="101"/>
      <c r="O17" s="100">
        <v>60416.83</v>
      </c>
      <c r="P17" s="101"/>
      <c r="Q17" s="100">
        <v>82182.320000000007</v>
      </c>
      <c r="R17" s="101"/>
      <c r="S17" s="100">
        <v>43519.57</v>
      </c>
      <c r="T17" s="101"/>
      <c r="U17" s="100">
        <v>60660.9</v>
      </c>
      <c r="V17" s="101"/>
      <c r="W17" s="100">
        <v>19611.419999999998</v>
      </c>
      <c r="X17" s="101"/>
      <c r="Y17" s="100">
        <v>0</v>
      </c>
      <c r="Z17" s="101"/>
      <c r="AA17" s="100">
        <v>0</v>
      </c>
      <c r="AB17" s="101"/>
      <c r="AC17" s="100">
        <v>0</v>
      </c>
      <c r="AD17" s="101"/>
      <c r="AE17" s="100">
        <v>0</v>
      </c>
      <c r="AF17" s="101"/>
      <c r="AG17" s="100">
        <v>0</v>
      </c>
      <c r="AH17" s="101"/>
      <c r="AI17" s="100">
        <v>0</v>
      </c>
      <c r="AJ17" s="101"/>
      <c r="AK17" s="100">
        <v>0</v>
      </c>
      <c r="AL17" s="101"/>
      <c r="AM17" s="100">
        <v>0</v>
      </c>
      <c r="AN17" s="101"/>
      <c r="AO17" s="100">
        <v>0</v>
      </c>
      <c r="AP17" s="101"/>
      <c r="AQ17" s="100">
        <v>188</v>
      </c>
      <c r="AR17" s="101"/>
      <c r="AS17" s="100">
        <v>0</v>
      </c>
      <c r="AT17" s="101"/>
      <c r="AU17" s="100">
        <v>0</v>
      </c>
      <c r="AV17" s="101"/>
    </row>
    <row r="18" spans="1:48" ht="12.6" thickTop="1" thickBot="1" x14ac:dyDescent="0.25">
      <c r="A18" s="13">
        <v>15</v>
      </c>
      <c r="B18" s="14" t="str">
        <f>IF(A18="","",_xlfn.XLOOKUP($A18,'[3]ANTICIPOS SAN SEBASTIÁN'!$B$1:$B$221,'[3]ANTICIPOS SAN SEBASTIÁN'!$I$1:$I$221))</f>
        <v>ANGEL ALAMEDA</v>
      </c>
      <c r="C18" s="15">
        <f>IF(A18="","",IF(_xlfn.XLOOKUP($A18,'[3]ANTICIPOS SAN SEBASTIÁN'!$B$1:$B$221,'[3]ANTICIPOS SAN SEBASTIÁN'!$K$1:$K$221)="","",_xlfn.XLOOKUP($A18,'[3]ANTICIPOS SAN SEBASTIÁN'!$B$1:$B$221,'[3]ANTICIPOS SAN SEBASTIÁN'!$K$1:$K$221)))</f>
        <v>36</v>
      </c>
      <c r="D18" s="16">
        <f>SUM(E18:ZZ18)</f>
        <v>411604.61</v>
      </c>
      <c r="E18" s="102">
        <v>0</v>
      </c>
      <c r="F18" s="112"/>
      <c r="G18" s="102">
        <v>0</v>
      </c>
      <c r="H18" s="103"/>
      <c r="I18" s="102">
        <v>0</v>
      </c>
      <c r="J18" s="103"/>
      <c r="K18" s="102">
        <v>0</v>
      </c>
      <c r="L18" s="103"/>
      <c r="M18" s="102">
        <v>0</v>
      </c>
      <c r="N18" s="103"/>
      <c r="O18" s="102">
        <v>0</v>
      </c>
      <c r="P18" s="103"/>
      <c r="Q18" s="102">
        <v>119158.29</v>
      </c>
      <c r="R18" s="103"/>
      <c r="S18" s="102">
        <v>75894.559999999998</v>
      </c>
      <c r="T18" s="103"/>
      <c r="U18" s="102">
        <v>137424.48000000001</v>
      </c>
      <c r="V18" s="103"/>
      <c r="W18" s="102">
        <v>79127.28</v>
      </c>
      <c r="X18" s="103"/>
      <c r="Y18" s="102">
        <v>0</v>
      </c>
      <c r="Z18" s="103"/>
      <c r="AA18" s="102">
        <v>0</v>
      </c>
      <c r="AB18" s="103"/>
      <c r="AC18" s="102">
        <v>0</v>
      </c>
      <c r="AD18" s="103"/>
      <c r="AE18" s="102">
        <v>0</v>
      </c>
      <c r="AF18" s="103"/>
      <c r="AG18" s="102">
        <v>0</v>
      </c>
      <c r="AH18" s="103"/>
      <c r="AI18" s="102">
        <v>0</v>
      </c>
      <c r="AJ18" s="103"/>
      <c r="AK18" s="102">
        <v>0</v>
      </c>
      <c r="AL18" s="103"/>
      <c r="AM18" s="102">
        <v>0</v>
      </c>
      <c r="AN18" s="103"/>
      <c r="AO18" s="102">
        <v>0</v>
      </c>
      <c r="AP18" s="103"/>
      <c r="AQ18" s="102">
        <v>0</v>
      </c>
      <c r="AR18" s="103"/>
      <c r="AS18" s="102">
        <v>0</v>
      </c>
      <c r="AT18" s="103"/>
      <c r="AU18" s="102">
        <v>0</v>
      </c>
      <c r="AV18" s="103"/>
    </row>
  </sheetData>
  <mergeCells count="335">
    <mergeCell ref="E7:F7"/>
    <mergeCell ref="G7:H7"/>
    <mergeCell ref="A1:D1"/>
    <mergeCell ref="A2:A5"/>
    <mergeCell ref="B2:B5"/>
    <mergeCell ref="C2:C5"/>
    <mergeCell ref="D2:D5"/>
    <mergeCell ref="E4:F4"/>
    <mergeCell ref="G4:H4"/>
    <mergeCell ref="E5:F5"/>
    <mergeCell ref="G5:H5"/>
    <mergeCell ref="E6:F6"/>
    <mergeCell ref="G6:H6"/>
    <mergeCell ref="E11:F11"/>
    <mergeCell ref="G11:H11"/>
    <mergeCell ref="E12:F12"/>
    <mergeCell ref="G12:H12"/>
    <mergeCell ref="E13:F13"/>
    <mergeCell ref="G13:H13"/>
    <mergeCell ref="E8:F8"/>
    <mergeCell ref="G8:H8"/>
    <mergeCell ref="E9:F9"/>
    <mergeCell ref="G9:H9"/>
    <mergeCell ref="E10:F10"/>
    <mergeCell ref="G10:H10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  <mergeCell ref="I18:J18"/>
    <mergeCell ref="I9:J9"/>
    <mergeCell ref="I10:J10"/>
    <mergeCell ref="I11:J11"/>
    <mergeCell ref="I12:J12"/>
    <mergeCell ref="I13:J13"/>
    <mergeCell ref="I4:J4"/>
    <mergeCell ref="I5:J5"/>
    <mergeCell ref="I6:J6"/>
    <mergeCell ref="I7:J7"/>
    <mergeCell ref="I8:J8"/>
    <mergeCell ref="K4:L4"/>
    <mergeCell ref="K5:L5"/>
    <mergeCell ref="K6:L6"/>
    <mergeCell ref="K7:L7"/>
    <mergeCell ref="K8:L8"/>
    <mergeCell ref="I14:J14"/>
    <mergeCell ref="I15:J15"/>
    <mergeCell ref="I16:J16"/>
    <mergeCell ref="I17:J17"/>
    <mergeCell ref="K14:L14"/>
    <mergeCell ref="K15:L15"/>
    <mergeCell ref="K16:L16"/>
    <mergeCell ref="K17:L17"/>
    <mergeCell ref="K18:L18"/>
    <mergeCell ref="K9:L9"/>
    <mergeCell ref="K10:L10"/>
    <mergeCell ref="K11:L11"/>
    <mergeCell ref="K12:L12"/>
    <mergeCell ref="K13:L13"/>
    <mergeCell ref="M18:N1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4:N4"/>
    <mergeCell ref="M5:N5"/>
    <mergeCell ref="M6:N6"/>
    <mergeCell ref="M7:N7"/>
    <mergeCell ref="M8:N8"/>
    <mergeCell ref="O4:P4"/>
    <mergeCell ref="O5:P5"/>
    <mergeCell ref="O6:P6"/>
    <mergeCell ref="O7:P7"/>
    <mergeCell ref="O8:P8"/>
    <mergeCell ref="O14:P14"/>
    <mergeCell ref="O15:P15"/>
    <mergeCell ref="O16:P16"/>
    <mergeCell ref="O17:P17"/>
    <mergeCell ref="O18:P18"/>
    <mergeCell ref="O9:P9"/>
    <mergeCell ref="O10:P10"/>
    <mergeCell ref="O11:P11"/>
    <mergeCell ref="O12:P12"/>
    <mergeCell ref="O13:P13"/>
    <mergeCell ref="Q18:R18"/>
    <mergeCell ref="Q9:R9"/>
    <mergeCell ref="Q10:R10"/>
    <mergeCell ref="Q11:R11"/>
    <mergeCell ref="Q12:R12"/>
    <mergeCell ref="Q13:R13"/>
    <mergeCell ref="Q4:R4"/>
    <mergeCell ref="Q5:R5"/>
    <mergeCell ref="Q6:R6"/>
    <mergeCell ref="Q7:R7"/>
    <mergeCell ref="Q8:R8"/>
    <mergeCell ref="S4:T4"/>
    <mergeCell ref="S5:T5"/>
    <mergeCell ref="S6:T6"/>
    <mergeCell ref="S7:T7"/>
    <mergeCell ref="S8:T8"/>
    <mergeCell ref="Q14:R14"/>
    <mergeCell ref="Q15:R15"/>
    <mergeCell ref="Q16:R16"/>
    <mergeCell ref="Q17:R17"/>
    <mergeCell ref="S14:T14"/>
    <mergeCell ref="S15:T15"/>
    <mergeCell ref="S16:T16"/>
    <mergeCell ref="S17:T17"/>
    <mergeCell ref="S18:T18"/>
    <mergeCell ref="S9:T9"/>
    <mergeCell ref="S10:T10"/>
    <mergeCell ref="S11:T11"/>
    <mergeCell ref="S12:T12"/>
    <mergeCell ref="S13:T13"/>
    <mergeCell ref="U18:V1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4:V4"/>
    <mergeCell ref="U5:V5"/>
    <mergeCell ref="U6:V6"/>
    <mergeCell ref="U7:V7"/>
    <mergeCell ref="U8:V8"/>
    <mergeCell ref="W4:X4"/>
    <mergeCell ref="W5:X5"/>
    <mergeCell ref="W6:X6"/>
    <mergeCell ref="W7:X7"/>
    <mergeCell ref="W8:X8"/>
    <mergeCell ref="W14:X14"/>
    <mergeCell ref="W15:X15"/>
    <mergeCell ref="W16:X16"/>
    <mergeCell ref="W17:X17"/>
    <mergeCell ref="W18:X18"/>
    <mergeCell ref="W9:X9"/>
    <mergeCell ref="W10:X10"/>
    <mergeCell ref="W11:X11"/>
    <mergeCell ref="W12:X12"/>
    <mergeCell ref="W13:X13"/>
    <mergeCell ref="Y18:Z18"/>
    <mergeCell ref="Y9:Z9"/>
    <mergeCell ref="Y10:Z10"/>
    <mergeCell ref="Y11:Z11"/>
    <mergeCell ref="Y12:Z12"/>
    <mergeCell ref="Y13:Z13"/>
    <mergeCell ref="Y4:Z4"/>
    <mergeCell ref="Y5:Z5"/>
    <mergeCell ref="Y6:Z6"/>
    <mergeCell ref="Y7:Z7"/>
    <mergeCell ref="Y8:Z8"/>
    <mergeCell ref="AA4:AB4"/>
    <mergeCell ref="AA5:AB5"/>
    <mergeCell ref="AA6:AB6"/>
    <mergeCell ref="AA7:AB7"/>
    <mergeCell ref="AA8:AB8"/>
    <mergeCell ref="Y14:Z14"/>
    <mergeCell ref="Y15:Z15"/>
    <mergeCell ref="Y16:Z16"/>
    <mergeCell ref="Y17:Z17"/>
    <mergeCell ref="AA14:AB14"/>
    <mergeCell ref="AA15:AB15"/>
    <mergeCell ref="AA16:AB16"/>
    <mergeCell ref="AA17:AB17"/>
    <mergeCell ref="AA18:AB18"/>
    <mergeCell ref="AA9:AB9"/>
    <mergeCell ref="AA10:AB10"/>
    <mergeCell ref="AA11:AB11"/>
    <mergeCell ref="AA12:AB12"/>
    <mergeCell ref="AA13:AB13"/>
    <mergeCell ref="AC18:AD1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4:AD4"/>
    <mergeCell ref="AC5:AD5"/>
    <mergeCell ref="AC6:AD6"/>
    <mergeCell ref="AC7:AD7"/>
    <mergeCell ref="AC8:AD8"/>
    <mergeCell ref="AE4:AF4"/>
    <mergeCell ref="AE5:AF5"/>
    <mergeCell ref="AE6:AF6"/>
    <mergeCell ref="AE7:AF7"/>
    <mergeCell ref="AE8:AF8"/>
    <mergeCell ref="AE14:AF14"/>
    <mergeCell ref="AE15:AF15"/>
    <mergeCell ref="AE16:AF16"/>
    <mergeCell ref="AE17:AF17"/>
    <mergeCell ref="AE18:AF18"/>
    <mergeCell ref="AE9:AF9"/>
    <mergeCell ref="AE10:AF10"/>
    <mergeCell ref="AE11:AF11"/>
    <mergeCell ref="AE12:AF12"/>
    <mergeCell ref="AE13:AF13"/>
    <mergeCell ref="AG18:AH18"/>
    <mergeCell ref="AG9:AH9"/>
    <mergeCell ref="AG10:AH10"/>
    <mergeCell ref="AG11:AH11"/>
    <mergeCell ref="AG12:AH12"/>
    <mergeCell ref="AG13:AH13"/>
    <mergeCell ref="AG4:AH4"/>
    <mergeCell ref="AG5:AH5"/>
    <mergeCell ref="AG6:AH6"/>
    <mergeCell ref="AG7:AH7"/>
    <mergeCell ref="AG8:AH8"/>
    <mergeCell ref="AI4:AJ4"/>
    <mergeCell ref="AI5:AJ5"/>
    <mergeCell ref="AI6:AJ6"/>
    <mergeCell ref="AI7:AJ7"/>
    <mergeCell ref="AI8:AJ8"/>
    <mergeCell ref="AG14:AH14"/>
    <mergeCell ref="AG15:AH15"/>
    <mergeCell ref="AG16:AH16"/>
    <mergeCell ref="AG17:AH17"/>
    <mergeCell ref="AI14:AJ14"/>
    <mergeCell ref="AI15:AJ15"/>
    <mergeCell ref="AI16:AJ16"/>
    <mergeCell ref="AI17:AJ17"/>
    <mergeCell ref="AI18:AJ18"/>
    <mergeCell ref="AI9:AJ9"/>
    <mergeCell ref="AI10:AJ10"/>
    <mergeCell ref="AI11:AJ11"/>
    <mergeCell ref="AI12:AJ12"/>
    <mergeCell ref="AI13:AJ13"/>
    <mergeCell ref="AK18:AL18"/>
    <mergeCell ref="AK9:AL9"/>
    <mergeCell ref="AK10:AL10"/>
    <mergeCell ref="AK11:AL11"/>
    <mergeCell ref="AK12:AL12"/>
    <mergeCell ref="AK13:AL13"/>
    <mergeCell ref="AK14:AL14"/>
    <mergeCell ref="AK15:AL15"/>
    <mergeCell ref="AK16:AL16"/>
    <mergeCell ref="AK17:AL17"/>
    <mergeCell ref="AK4:AL4"/>
    <mergeCell ref="AK5:AL5"/>
    <mergeCell ref="AK6:AL6"/>
    <mergeCell ref="AK7:AL7"/>
    <mergeCell ref="AK8:AL8"/>
    <mergeCell ref="AM4:AN4"/>
    <mergeCell ref="AM5:AN5"/>
    <mergeCell ref="AM6:AN6"/>
    <mergeCell ref="AM7:AN7"/>
    <mergeCell ref="AM8:AN8"/>
    <mergeCell ref="AM14:AN14"/>
    <mergeCell ref="AM15:AN15"/>
    <mergeCell ref="AM16:AN16"/>
    <mergeCell ref="AM17:AN17"/>
    <mergeCell ref="AM18:AN18"/>
    <mergeCell ref="AM9:AN9"/>
    <mergeCell ref="AM10:AN10"/>
    <mergeCell ref="AM11:AN11"/>
    <mergeCell ref="AM12:AN12"/>
    <mergeCell ref="AM13:AN13"/>
    <mergeCell ref="AO18:AP18"/>
    <mergeCell ref="AO9:AP9"/>
    <mergeCell ref="AO10:AP10"/>
    <mergeCell ref="AO11:AP11"/>
    <mergeCell ref="AO12:AP12"/>
    <mergeCell ref="AO13:AP13"/>
    <mergeCell ref="AO4:AP4"/>
    <mergeCell ref="AO5:AP5"/>
    <mergeCell ref="AO6:AP6"/>
    <mergeCell ref="AO7:AP7"/>
    <mergeCell ref="AO8:AP8"/>
    <mergeCell ref="AQ4:AR4"/>
    <mergeCell ref="AQ5:AR5"/>
    <mergeCell ref="AQ6:AR6"/>
    <mergeCell ref="AQ7:AR7"/>
    <mergeCell ref="AQ8:AR8"/>
    <mergeCell ref="AO14:AP14"/>
    <mergeCell ref="AO15:AP15"/>
    <mergeCell ref="AO16:AP16"/>
    <mergeCell ref="AO17:AP17"/>
    <mergeCell ref="AQ14:AR14"/>
    <mergeCell ref="AQ15:AR15"/>
    <mergeCell ref="AQ16:AR16"/>
    <mergeCell ref="AQ17:AR17"/>
    <mergeCell ref="AQ18:AR18"/>
    <mergeCell ref="AQ9:AR9"/>
    <mergeCell ref="AQ10:AR10"/>
    <mergeCell ref="AQ11:AR11"/>
    <mergeCell ref="AQ12:AR12"/>
    <mergeCell ref="AQ13:AR13"/>
    <mergeCell ref="AS18:AT18"/>
    <mergeCell ref="AS9:AT9"/>
    <mergeCell ref="AS10:AT10"/>
    <mergeCell ref="AS11:AT11"/>
    <mergeCell ref="AS12:AT12"/>
    <mergeCell ref="AS13:AT13"/>
    <mergeCell ref="AS14:AT14"/>
    <mergeCell ref="AS15:AT15"/>
    <mergeCell ref="AS16:AT16"/>
    <mergeCell ref="AS17:AT17"/>
    <mergeCell ref="AS4:AT4"/>
    <mergeCell ref="AS5:AT5"/>
    <mergeCell ref="AS6:AT6"/>
    <mergeCell ref="AS7:AT7"/>
    <mergeCell ref="AS8:AT8"/>
    <mergeCell ref="AU4:AV4"/>
    <mergeCell ref="AU5:AV5"/>
    <mergeCell ref="AU6:AV6"/>
    <mergeCell ref="AU7:AV7"/>
    <mergeCell ref="AU8:AV8"/>
    <mergeCell ref="AU14:AV14"/>
    <mergeCell ref="AU15:AV15"/>
    <mergeCell ref="AU16:AV16"/>
    <mergeCell ref="AU17:AV17"/>
    <mergeCell ref="AU18:AV18"/>
    <mergeCell ref="AU9:AV9"/>
    <mergeCell ref="AU10:AV10"/>
    <mergeCell ref="AU11:AV11"/>
    <mergeCell ref="AU12:AV12"/>
    <mergeCell ref="AU13:AV1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809F-A013-4A34-A1C7-9B9F83CE4C2A}">
  <dimension ref="A1:AR18"/>
  <sheetViews>
    <sheetView showGridLines="0" workbookViewId="0">
      <pane xSplit="4" ySplit="5" topLeftCell="E6" activePane="bottomRight" state="frozen"/>
      <selection activeCell="J9" sqref="J9"/>
      <selection pane="topRight" activeCell="J9" sqref="J9"/>
      <selection pane="bottomLeft" activeCell="J9" sqref="J9"/>
      <selection pane="bottomRight" activeCell="D18" sqref="D6:D18"/>
    </sheetView>
  </sheetViews>
  <sheetFormatPr baseColWidth="10" defaultColWidth="11.375" defaultRowHeight="11.4" x14ac:dyDescent="0.2"/>
  <cols>
    <col min="1" max="1" width="11.25" style="3" bestFit="1" customWidth="1"/>
    <col min="2" max="2" width="15.875" style="3" bestFit="1" customWidth="1"/>
    <col min="3" max="3" width="10.125" style="3" bestFit="1" customWidth="1"/>
    <col min="4" max="4" width="14.375" style="3" bestFit="1" customWidth="1"/>
    <col min="5" max="8" width="10.125" style="6" bestFit="1" customWidth="1"/>
    <col min="9" max="16384" width="11.375" style="3"/>
  </cols>
  <sheetData>
    <row r="1" spans="1:44" ht="21" thickBot="1" x14ac:dyDescent="0.25">
      <c r="A1" s="115" t="s">
        <v>14</v>
      </c>
      <c r="B1" s="115"/>
      <c r="C1" s="115"/>
      <c r="D1" s="115"/>
    </row>
    <row r="2" spans="1:44" s="7" customFormat="1" ht="13.5" customHeight="1" thickBot="1" x14ac:dyDescent="0.25">
      <c r="A2" s="116" t="s">
        <v>0</v>
      </c>
      <c r="B2" s="119" t="s">
        <v>1</v>
      </c>
      <c r="C2" s="119" t="s">
        <v>2</v>
      </c>
      <c r="D2" s="119" t="s">
        <v>5</v>
      </c>
      <c r="E2" s="9" t="s">
        <v>3</v>
      </c>
      <c r="F2" s="9" t="s">
        <v>4</v>
      </c>
      <c r="G2" s="9" t="s">
        <v>3</v>
      </c>
      <c r="H2" s="10" t="s">
        <v>4</v>
      </c>
      <c r="I2" s="9" t="s">
        <v>3</v>
      </c>
      <c r="J2" s="10" t="s">
        <v>4</v>
      </c>
      <c r="K2" s="123" t="s">
        <v>36</v>
      </c>
      <c r="L2" s="124"/>
      <c r="M2" s="123" t="s">
        <v>36</v>
      </c>
      <c r="N2" s="124"/>
      <c r="O2" s="123" t="s">
        <v>36</v>
      </c>
      <c r="P2" s="124"/>
      <c r="Q2" s="123" t="s">
        <v>36</v>
      </c>
      <c r="R2" s="124"/>
      <c r="S2" s="123" t="s">
        <v>36</v>
      </c>
      <c r="T2" s="124"/>
      <c r="U2" s="123" t="s">
        <v>36</v>
      </c>
      <c r="V2" s="124"/>
      <c r="W2" s="123" t="s">
        <v>36</v>
      </c>
      <c r="X2" s="124"/>
      <c r="Y2" s="123" t="s">
        <v>36</v>
      </c>
      <c r="Z2" s="124"/>
      <c r="AA2" s="123" t="s">
        <v>36</v>
      </c>
      <c r="AB2" s="124"/>
      <c r="AC2" s="123" t="s">
        <v>36</v>
      </c>
      <c r="AD2" s="124"/>
      <c r="AE2" s="123" t="s">
        <v>36</v>
      </c>
      <c r="AF2" s="124"/>
      <c r="AG2" s="123" t="s">
        <v>36</v>
      </c>
      <c r="AH2" s="124"/>
      <c r="AI2" s="123" t="s">
        <v>36</v>
      </c>
      <c r="AJ2" s="124"/>
      <c r="AK2" s="123" t="s">
        <v>36</v>
      </c>
      <c r="AL2" s="124"/>
      <c r="AM2" s="123" t="s">
        <v>36</v>
      </c>
      <c r="AN2" s="124"/>
      <c r="AO2" s="123" t="s">
        <v>36</v>
      </c>
      <c r="AP2" s="124"/>
      <c r="AQ2" s="123" t="s">
        <v>36</v>
      </c>
      <c r="AR2" s="124"/>
    </row>
    <row r="3" spans="1:44" s="6" customFormat="1" ht="13.5" customHeight="1" thickTop="1" thickBot="1" x14ac:dyDescent="0.25">
      <c r="A3" s="117"/>
      <c r="B3" s="120"/>
      <c r="C3" s="120"/>
      <c r="D3" s="120"/>
      <c r="E3" s="5">
        <v>44543</v>
      </c>
      <c r="F3" s="5">
        <f>E3+5</f>
        <v>44548</v>
      </c>
      <c r="G3" s="5">
        <f>E3+7</f>
        <v>44550</v>
      </c>
      <c r="H3" s="11">
        <f>G3+5</f>
        <v>44555</v>
      </c>
      <c r="I3" s="5">
        <f>G3+7</f>
        <v>44557</v>
      </c>
      <c r="J3" s="11">
        <f>I3+5</f>
        <v>44562</v>
      </c>
      <c r="K3" s="125">
        <v>44564</v>
      </c>
      <c r="L3" s="126"/>
      <c r="M3" s="125">
        <f>K3+7</f>
        <v>44571</v>
      </c>
      <c r="N3" s="126"/>
      <c r="O3" s="125">
        <f t="shared" ref="O3" si="0">M3+7</f>
        <v>44578</v>
      </c>
      <c r="P3" s="126"/>
      <c r="Q3" s="125">
        <f t="shared" ref="Q3" si="1">O3+7</f>
        <v>44585</v>
      </c>
      <c r="R3" s="126"/>
      <c r="S3" s="125">
        <f t="shared" ref="S3" si="2">Q3+7</f>
        <v>44592</v>
      </c>
      <c r="T3" s="126"/>
      <c r="U3" s="125">
        <f t="shared" ref="U3" si="3">S3+7</f>
        <v>44599</v>
      </c>
      <c r="V3" s="126"/>
      <c r="W3" s="125">
        <f t="shared" ref="W3" si="4">U3+7</f>
        <v>44606</v>
      </c>
      <c r="X3" s="126"/>
      <c r="Y3" s="125">
        <f t="shared" ref="Y3" si="5">W3+7</f>
        <v>44613</v>
      </c>
      <c r="Z3" s="126"/>
      <c r="AA3" s="125">
        <f t="shared" ref="AA3" si="6">Y3+7</f>
        <v>44620</v>
      </c>
      <c r="AB3" s="126"/>
      <c r="AC3" s="125">
        <f t="shared" ref="AC3" si="7">AA3+7</f>
        <v>44627</v>
      </c>
      <c r="AD3" s="126"/>
      <c r="AE3" s="125">
        <f t="shared" ref="AE3" si="8">AC3+7</f>
        <v>44634</v>
      </c>
      <c r="AF3" s="126"/>
      <c r="AG3" s="125">
        <f t="shared" ref="AG3" si="9">AE3+7</f>
        <v>44641</v>
      </c>
      <c r="AH3" s="126"/>
      <c r="AI3" s="125">
        <f t="shared" ref="AI3" si="10">AG3+7</f>
        <v>44648</v>
      </c>
      <c r="AJ3" s="126"/>
      <c r="AK3" s="125">
        <f t="shared" ref="AK3" si="11">AI3+7</f>
        <v>44655</v>
      </c>
      <c r="AL3" s="126"/>
      <c r="AM3" s="125">
        <f t="shared" ref="AM3" si="12">AK3+7</f>
        <v>44662</v>
      </c>
      <c r="AN3" s="126"/>
      <c r="AO3" s="125">
        <f t="shared" ref="AO3" si="13">AM3+7</f>
        <v>44669</v>
      </c>
      <c r="AP3" s="126"/>
      <c r="AQ3" s="125">
        <f t="shared" ref="AQ3" si="14">AO3+7</f>
        <v>44676</v>
      </c>
      <c r="AR3" s="126"/>
    </row>
    <row r="4" spans="1:44" s="8" customFormat="1" ht="13.5" customHeight="1" thickTop="1" thickBot="1" x14ac:dyDescent="0.25">
      <c r="A4" s="117"/>
      <c r="B4" s="120"/>
      <c r="C4" s="120"/>
      <c r="D4" s="120"/>
      <c r="E4" s="109">
        <v>1</v>
      </c>
      <c r="F4" s="127"/>
      <c r="G4" s="109">
        <f>E4+1</f>
        <v>2</v>
      </c>
      <c r="H4" s="110"/>
      <c r="I4" s="109">
        <f>G4+1</f>
        <v>3</v>
      </c>
      <c r="J4" s="110"/>
      <c r="K4" s="104">
        <v>1</v>
      </c>
      <c r="L4" s="105"/>
      <c r="M4" s="132">
        <f>K4+1</f>
        <v>2</v>
      </c>
      <c r="N4" s="133"/>
      <c r="O4" s="132">
        <f t="shared" ref="O4" si="15">M4+1</f>
        <v>3</v>
      </c>
      <c r="P4" s="133"/>
      <c r="Q4" s="132">
        <f t="shared" ref="Q4" si="16">O4+1</f>
        <v>4</v>
      </c>
      <c r="R4" s="133"/>
      <c r="S4" s="132">
        <f t="shared" ref="S4" si="17">Q4+1</f>
        <v>5</v>
      </c>
      <c r="T4" s="133"/>
      <c r="U4" s="132">
        <f t="shared" ref="U4" si="18">S4+1</f>
        <v>6</v>
      </c>
      <c r="V4" s="133"/>
      <c r="W4" s="132">
        <f t="shared" ref="W4" si="19">U4+1</f>
        <v>7</v>
      </c>
      <c r="X4" s="133"/>
      <c r="Y4" s="132">
        <f t="shared" ref="Y4" si="20">W4+1</f>
        <v>8</v>
      </c>
      <c r="Z4" s="133"/>
      <c r="AA4" s="132">
        <f t="shared" ref="AA4" si="21">Y4+1</f>
        <v>9</v>
      </c>
      <c r="AB4" s="133"/>
      <c r="AC4" s="132">
        <f t="shared" ref="AC4" si="22">AA4+1</f>
        <v>10</v>
      </c>
      <c r="AD4" s="133"/>
      <c r="AE4" s="132">
        <f t="shared" ref="AE4" si="23">AC4+1</f>
        <v>11</v>
      </c>
      <c r="AF4" s="133"/>
      <c r="AG4" s="132">
        <f t="shared" ref="AG4" si="24">AE4+1</f>
        <v>12</v>
      </c>
      <c r="AH4" s="133"/>
      <c r="AI4" s="132">
        <f t="shared" ref="AI4" si="25">AG4+1</f>
        <v>13</v>
      </c>
      <c r="AJ4" s="133"/>
      <c r="AK4" s="132">
        <f t="shared" ref="AK4" si="26">AI4+1</f>
        <v>14</v>
      </c>
      <c r="AL4" s="133"/>
      <c r="AM4" s="132">
        <f t="shared" ref="AM4" si="27">AK4+1</f>
        <v>15</v>
      </c>
      <c r="AN4" s="133"/>
      <c r="AO4" s="132">
        <f t="shared" ref="AO4" si="28">AM4+1</f>
        <v>16</v>
      </c>
      <c r="AP4" s="133"/>
      <c r="AQ4" s="132">
        <f t="shared" ref="AQ4" si="29">AO4+1</f>
        <v>17</v>
      </c>
      <c r="AR4" s="133"/>
    </row>
    <row r="5" spans="1:44" s="8" customFormat="1" ht="12.75" customHeight="1" thickTop="1" thickBot="1" x14ac:dyDescent="0.25">
      <c r="A5" s="118"/>
      <c r="B5" s="121"/>
      <c r="C5" s="121"/>
      <c r="D5" s="121"/>
      <c r="E5" s="106">
        <f>SUM(E6:F18)</f>
        <v>713414.26</v>
      </c>
      <c r="F5" s="122"/>
      <c r="G5" s="106">
        <f>SUM(G6:H18)</f>
        <v>0</v>
      </c>
      <c r="H5" s="107"/>
      <c r="I5" s="106">
        <f>SUM(I6:J18)</f>
        <v>0</v>
      </c>
      <c r="J5" s="107"/>
      <c r="K5" s="106">
        <f>SUM(K6:L18)</f>
        <v>0</v>
      </c>
      <c r="L5" s="107"/>
      <c r="M5" s="106">
        <f>SUM(M6:N18)</f>
        <v>0</v>
      </c>
      <c r="N5" s="107"/>
      <c r="O5" s="106">
        <f>SUM(O6:P18)</f>
        <v>373835.33999999997</v>
      </c>
      <c r="P5" s="107"/>
      <c r="Q5" s="106">
        <f>SUM(Q6:R18)</f>
        <v>0</v>
      </c>
      <c r="R5" s="107"/>
      <c r="S5" s="106">
        <f>SUM(S6:T18)</f>
        <v>533154.49</v>
      </c>
      <c r="T5" s="107"/>
      <c r="U5" s="106">
        <f>SUM(U6:V18)</f>
        <v>129896.45</v>
      </c>
      <c r="V5" s="107"/>
      <c r="W5" s="106">
        <f>SUM(W6:X18)</f>
        <v>225372.87</v>
      </c>
      <c r="X5" s="107"/>
      <c r="Y5" s="106">
        <f>SUM(Y6:Z18)</f>
        <v>177107.75</v>
      </c>
      <c r="Z5" s="107"/>
      <c r="AA5" s="106">
        <f>SUM(AA6:AB18)</f>
        <v>176306.83</v>
      </c>
      <c r="AB5" s="107"/>
      <c r="AC5" s="106">
        <f>SUM(AC6:AD18)</f>
        <v>31811.379999999997</v>
      </c>
      <c r="AD5" s="107"/>
      <c r="AE5" s="106">
        <f>SUM(AE6:AF18)</f>
        <v>266420.27</v>
      </c>
      <c r="AF5" s="107"/>
      <c r="AG5" s="106">
        <f>SUM(AG6:AH18)</f>
        <v>30485.899999999998</v>
      </c>
      <c r="AH5" s="107"/>
      <c r="AI5" s="106">
        <f>SUM(AI6:AJ18)</f>
        <v>0</v>
      </c>
      <c r="AJ5" s="107"/>
      <c r="AK5" s="106">
        <f t="shared" ref="AK5" si="30">SUM(AK6:AL18)</f>
        <v>0</v>
      </c>
      <c r="AL5" s="107"/>
      <c r="AM5" s="106">
        <f t="shared" ref="AM5" si="31">SUM(AM6:AN18)</f>
        <v>0</v>
      </c>
      <c r="AN5" s="107"/>
      <c r="AO5" s="106">
        <f t="shared" ref="AO5" si="32">SUM(AO6:AP18)</f>
        <v>0</v>
      </c>
      <c r="AP5" s="107"/>
      <c r="AQ5" s="106">
        <f t="shared" ref="AQ5" si="33">SUM(AQ6:AR18)</f>
        <v>0</v>
      </c>
      <c r="AR5" s="107"/>
    </row>
    <row r="6" spans="1:44" ht="12.6" thickTop="1" thickBot="1" x14ac:dyDescent="0.25">
      <c r="A6" s="12">
        <v>3</v>
      </c>
      <c r="B6" s="1" t="str">
        <f>IF(A6="","",_xlfn.XLOOKUP($A6,'[3]ANTICIPOS SAN SEBASTIÁN'!$B$1:$B$221,'[3]ANTICIPOS SAN SEBASTIÁN'!$I$1:$I$221))</f>
        <v>COINVI</v>
      </c>
      <c r="C6" s="2">
        <f>IF(A6="","",IF(_xlfn.XLOOKUP($A6,'[3]ANTICIPOS SAN SEBASTIÁN'!$B$1:$B$221,'[3]ANTICIPOS SAN SEBASTIÁN'!$K$1:$K$221)="","",_xlfn.XLOOKUP($A6,'[3]ANTICIPOS SAN SEBASTIÁN'!$B$1:$B$221,'[3]ANTICIPOS SAN SEBASTIÁN'!$K$1:$K$221)))</f>
        <v>27</v>
      </c>
      <c r="D6" s="16">
        <f t="shared" ref="D6:D17" si="34">SUM(E6:ZZ6)</f>
        <v>134420.90000000002</v>
      </c>
      <c r="E6" s="100">
        <f>41890.61+3976.42</f>
        <v>45867.03</v>
      </c>
      <c r="F6" s="111"/>
      <c r="G6" s="100">
        <v>0</v>
      </c>
      <c r="H6" s="101"/>
      <c r="I6" s="100">
        <v>0</v>
      </c>
      <c r="J6" s="101"/>
      <c r="K6" s="100">
        <v>0</v>
      </c>
      <c r="L6" s="101"/>
      <c r="M6" s="100">
        <v>0</v>
      </c>
      <c r="N6" s="101"/>
      <c r="O6" s="100">
        <v>0</v>
      </c>
      <c r="P6" s="101"/>
      <c r="Q6" s="100">
        <v>0</v>
      </c>
      <c r="R6" s="101"/>
      <c r="S6" s="100">
        <v>46663.26</v>
      </c>
      <c r="T6" s="101"/>
      <c r="U6" s="100">
        <v>0</v>
      </c>
      <c r="V6" s="101"/>
      <c r="W6" s="100">
        <v>0</v>
      </c>
      <c r="X6" s="101"/>
      <c r="Y6" s="100">
        <v>41890.61</v>
      </c>
      <c r="Z6" s="101"/>
      <c r="AA6" s="100">
        <v>0</v>
      </c>
      <c r="AB6" s="101"/>
      <c r="AC6" s="100">
        <v>0</v>
      </c>
      <c r="AD6" s="101"/>
      <c r="AE6" s="100">
        <v>0</v>
      </c>
      <c r="AF6" s="101"/>
      <c r="AG6" s="100">
        <v>0</v>
      </c>
      <c r="AH6" s="101"/>
      <c r="AI6" s="100">
        <v>0</v>
      </c>
      <c r="AJ6" s="101"/>
      <c r="AK6" s="100">
        <v>0</v>
      </c>
      <c r="AL6" s="101"/>
      <c r="AM6" s="100">
        <v>0</v>
      </c>
      <c r="AN6" s="101"/>
      <c r="AO6" s="100">
        <v>0</v>
      </c>
      <c r="AP6" s="101"/>
      <c r="AQ6" s="100">
        <v>0</v>
      </c>
      <c r="AR6" s="101"/>
    </row>
    <row r="7" spans="1:44" ht="12.6" thickTop="1" thickBot="1" x14ac:dyDescent="0.25">
      <c r="A7" s="12">
        <v>4</v>
      </c>
      <c r="B7" s="1" t="str">
        <f>IF(A7="","",_xlfn.XLOOKUP($A7,'[3]ANTICIPOS SAN SEBASTIÁN'!$B$1:$B$221,'[3]ANTICIPOS SAN SEBASTIÁN'!$I$1:$I$221))</f>
        <v>OBREGÓN</v>
      </c>
      <c r="C7" s="2">
        <f>IF(A7="","",IF(_xlfn.XLOOKUP($A7,'[3]ANTICIPOS SAN SEBASTIÁN'!$B$1:$B$221,'[3]ANTICIPOS SAN SEBASTIÁN'!$K$1:$K$221)="","",_xlfn.XLOOKUP($A7,'[3]ANTICIPOS SAN SEBASTIÁN'!$B$1:$B$221,'[3]ANTICIPOS SAN SEBASTIÁN'!$K$1:$K$221)))</f>
        <v>27</v>
      </c>
      <c r="D7" s="16">
        <f t="shared" si="34"/>
        <v>0</v>
      </c>
      <c r="E7" s="100">
        <v>0</v>
      </c>
      <c r="F7" s="111"/>
      <c r="G7" s="100">
        <v>0</v>
      </c>
      <c r="H7" s="101"/>
      <c r="I7" s="100">
        <v>0</v>
      </c>
      <c r="J7" s="101"/>
      <c r="K7" s="100">
        <v>0</v>
      </c>
      <c r="L7" s="101"/>
      <c r="M7" s="100">
        <v>0</v>
      </c>
      <c r="N7" s="101"/>
      <c r="O7" s="100">
        <v>0</v>
      </c>
      <c r="P7" s="101"/>
      <c r="Q7" s="100">
        <v>0</v>
      </c>
      <c r="R7" s="101"/>
      <c r="S7" s="100">
        <v>0</v>
      </c>
      <c r="T7" s="101"/>
      <c r="U7" s="100">
        <v>0</v>
      </c>
      <c r="V7" s="101"/>
      <c r="W7" s="100">
        <v>0</v>
      </c>
      <c r="X7" s="101"/>
      <c r="Y7" s="100">
        <v>0</v>
      </c>
      <c r="Z7" s="101"/>
      <c r="AA7" s="100">
        <v>0</v>
      </c>
      <c r="AB7" s="101"/>
      <c r="AC7" s="100">
        <v>0</v>
      </c>
      <c r="AD7" s="101"/>
      <c r="AE7" s="100">
        <v>0</v>
      </c>
      <c r="AF7" s="101"/>
      <c r="AG7" s="100">
        <v>0</v>
      </c>
      <c r="AH7" s="101"/>
      <c r="AI7" s="100">
        <v>0</v>
      </c>
      <c r="AJ7" s="101"/>
      <c r="AK7" s="100">
        <v>0</v>
      </c>
      <c r="AL7" s="101"/>
      <c r="AM7" s="100">
        <v>0</v>
      </c>
      <c r="AN7" s="101"/>
      <c r="AO7" s="100">
        <v>0</v>
      </c>
      <c r="AP7" s="101"/>
      <c r="AQ7" s="100">
        <v>0</v>
      </c>
      <c r="AR7" s="101"/>
    </row>
    <row r="8" spans="1:44" ht="12.6" thickTop="1" thickBot="1" x14ac:dyDescent="0.25">
      <c r="A8" s="12">
        <v>5</v>
      </c>
      <c r="B8" s="1" t="str">
        <f>IF(A8="","",_xlfn.XLOOKUP($A8,'[3]ANTICIPOS SAN SEBASTIÁN'!$B$1:$B$221,'[3]ANTICIPOS SAN SEBASTIÁN'!$I$1:$I$221))</f>
        <v>POWER</v>
      </c>
      <c r="C8" s="2">
        <f>IF(A8="","",IF(_xlfn.XLOOKUP($A8,'[3]ANTICIPOS SAN SEBASTIÁN'!$B$1:$B$221,'[3]ANTICIPOS SAN SEBASTIÁN'!$K$1:$K$221)="","",_xlfn.XLOOKUP($A8,'[3]ANTICIPOS SAN SEBASTIÁN'!$B$1:$B$221,'[3]ANTICIPOS SAN SEBASTIÁN'!$K$1:$K$221)))</f>
        <v>28</v>
      </c>
      <c r="D8" s="16">
        <f t="shared" si="34"/>
        <v>405642.02999999997</v>
      </c>
      <c r="E8" s="100">
        <v>0</v>
      </c>
      <c r="F8" s="111"/>
      <c r="G8" s="100"/>
      <c r="H8" s="101"/>
      <c r="I8" s="100">
        <v>0</v>
      </c>
      <c r="J8" s="101"/>
      <c r="K8" s="100">
        <v>0</v>
      </c>
      <c r="L8" s="101"/>
      <c r="M8" s="100">
        <v>0</v>
      </c>
      <c r="N8" s="101"/>
      <c r="O8" s="100">
        <f>41089.69+123292.57</f>
        <v>164382.26</v>
      </c>
      <c r="P8" s="101"/>
      <c r="Q8" s="100">
        <v>0</v>
      </c>
      <c r="R8" s="101"/>
      <c r="S8" s="100">
        <v>11929.27</v>
      </c>
      <c r="T8" s="101"/>
      <c r="U8" s="100">
        <v>0</v>
      </c>
      <c r="V8" s="101"/>
      <c r="W8" s="100">
        <f>68924.65+54367.93</f>
        <v>123292.57999999999</v>
      </c>
      <c r="X8" s="101"/>
      <c r="Y8" s="100">
        <v>13254.74</v>
      </c>
      <c r="Z8" s="101"/>
      <c r="AA8" s="100">
        <v>92783.18</v>
      </c>
      <c r="AB8" s="101"/>
      <c r="AC8" s="100">
        <v>0</v>
      </c>
      <c r="AD8" s="101"/>
      <c r="AE8" s="100">
        <v>0</v>
      </c>
      <c r="AF8" s="101"/>
      <c r="AG8" s="100">
        <v>0</v>
      </c>
      <c r="AH8" s="101"/>
      <c r="AI8" s="100">
        <v>0</v>
      </c>
      <c r="AJ8" s="101"/>
      <c r="AK8" s="100">
        <v>0</v>
      </c>
      <c r="AL8" s="101"/>
      <c r="AM8" s="100">
        <v>0</v>
      </c>
      <c r="AN8" s="101"/>
      <c r="AO8" s="100">
        <v>0</v>
      </c>
      <c r="AP8" s="101"/>
      <c r="AQ8" s="100">
        <v>0</v>
      </c>
      <c r="AR8" s="101"/>
    </row>
    <row r="9" spans="1:44" ht="12.6" thickTop="1" thickBot="1" x14ac:dyDescent="0.25">
      <c r="A9" s="12">
        <v>6</v>
      </c>
      <c r="B9" s="1" t="str">
        <f>IF(A9="","",_xlfn.XLOOKUP($A9,'[3]ANTICIPOS SAN SEBASTIÁN'!$B$1:$B$221,'[3]ANTICIPOS SAN SEBASTIÁN'!$I$1:$I$221))</f>
        <v>FASAR</v>
      </c>
      <c r="C9" s="2" t="str">
        <f>IF(A9="","",IF(_xlfn.XLOOKUP($A9,'[3]ANTICIPOS SAN SEBASTIÁN'!$B$1:$B$221,'[3]ANTICIPOS SAN SEBASTIÁN'!$K$1:$K$221)="","",_xlfn.XLOOKUP($A9,'[3]ANTICIPOS SAN SEBASTIÁN'!$B$1:$B$221,'[3]ANTICIPOS SAN SEBASTIÁN'!$K$1:$K$221)))</f>
        <v>29 Y 30</v>
      </c>
      <c r="D9" s="16">
        <f t="shared" si="34"/>
        <v>300882.59999999998</v>
      </c>
      <c r="E9" s="100">
        <v>79528.44</v>
      </c>
      <c r="F9" s="111"/>
      <c r="G9" s="100">
        <v>0</v>
      </c>
      <c r="H9" s="101"/>
      <c r="I9" s="100">
        <v>0</v>
      </c>
      <c r="J9" s="101"/>
      <c r="K9" s="100">
        <v>0</v>
      </c>
      <c r="L9" s="101"/>
      <c r="M9" s="100">
        <v>0</v>
      </c>
      <c r="N9" s="101"/>
      <c r="O9" s="100">
        <v>0</v>
      </c>
      <c r="P9" s="101"/>
      <c r="Q9" s="100">
        <v>0</v>
      </c>
      <c r="R9" s="101"/>
      <c r="S9" s="100">
        <v>26509.48</v>
      </c>
      <c r="T9" s="101"/>
      <c r="U9" s="100">
        <v>129896.45</v>
      </c>
      <c r="V9" s="101"/>
      <c r="W9" s="100">
        <v>46391.59</v>
      </c>
      <c r="X9" s="101"/>
      <c r="Y9" s="100">
        <v>0</v>
      </c>
      <c r="Z9" s="101"/>
      <c r="AA9" s="100">
        <v>0</v>
      </c>
      <c r="AB9" s="101"/>
      <c r="AC9" s="100">
        <v>18556.64</v>
      </c>
      <c r="AD9" s="101"/>
      <c r="AE9" s="100">
        <v>0</v>
      </c>
      <c r="AF9" s="101"/>
      <c r="AG9" s="100">
        <v>0</v>
      </c>
      <c r="AH9" s="101"/>
      <c r="AI9" s="100">
        <v>0</v>
      </c>
      <c r="AJ9" s="101"/>
      <c r="AK9" s="100">
        <v>0</v>
      </c>
      <c r="AL9" s="101"/>
      <c r="AM9" s="100">
        <v>0</v>
      </c>
      <c r="AN9" s="101"/>
      <c r="AO9" s="100">
        <v>0</v>
      </c>
      <c r="AP9" s="101"/>
      <c r="AQ9" s="100">
        <v>0</v>
      </c>
      <c r="AR9" s="101"/>
    </row>
    <row r="10" spans="1:44" ht="12.6" thickTop="1" thickBot="1" x14ac:dyDescent="0.25">
      <c r="A10" s="12">
        <v>7</v>
      </c>
      <c r="B10" s="1" t="str">
        <f>IF(A10="","",_xlfn.XLOOKUP($A10,'[3]ANTICIPOS SAN SEBASTIÁN'!$B$1:$B$221,'[3]ANTICIPOS SAN SEBASTIÁN'!$I$1:$I$221))</f>
        <v>ULIGAB</v>
      </c>
      <c r="C10" s="2">
        <f>IF(A10="","",IF(_xlfn.XLOOKUP($A10,'[3]ANTICIPOS SAN SEBASTIÁN'!$B$1:$B$221,'[3]ANTICIPOS SAN SEBASTIÁN'!$K$1:$K$221)="","",_xlfn.XLOOKUP($A10,'[3]ANTICIPOS SAN SEBASTIÁN'!$B$1:$B$221,'[3]ANTICIPOS SAN SEBASTIÁN'!$K$1:$K$221)))</f>
        <v>31</v>
      </c>
      <c r="D10" s="16">
        <f t="shared" si="34"/>
        <v>192198.41999999998</v>
      </c>
      <c r="E10" s="100">
        <f>99410.55+26509.48</f>
        <v>125920.03</v>
      </c>
      <c r="F10" s="111"/>
      <c r="G10" s="100">
        <v>0</v>
      </c>
      <c r="H10" s="101"/>
      <c r="I10" s="100">
        <v>0</v>
      </c>
      <c r="J10" s="101"/>
      <c r="K10" s="100">
        <v>0</v>
      </c>
      <c r="L10" s="101"/>
      <c r="M10" s="100">
        <v>0</v>
      </c>
      <c r="N10" s="101"/>
      <c r="O10" s="100">
        <v>0</v>
      </c>
      <c r="P10" s="101"/>
      <c r="Q10" s="100">
        <v>0</v>
      </c>
      <c r="R10" s="101"/>
      <c r="S10" s="100">
        <v>66278.39</v>
      </c>
      <c r="T10" s="101"/>
      <c r="U10" s="100">
        <v>0</v>
      </c>
      <c r="V10" s="101"/>
      <c r="W10" s="100">
        <v>0</v>
      </c>
      <c r="X10" s="101"/>
      <c r="Y10" s="100">
        <v>0</v>
      </c>
      <c r="Z10" s="101"/>
      <c r="AA10" s="100">
        <v>0</v>
      </c>
      <c r="AB10" s="101"/>
      <c r="AC10" s="100">
        <v>0</v>
      </c>
      <c r="AD10" s="101"/>
      <c r="AE10" s="100">
        <v>0</v>
      </c>
      <c r="AF10" s="101"/>
      <c r="AG10" s="100">
        <v>0</v>
      </c>
      <c r="AH10" s="101"/>
      <c r="AI10" s="100">
        <v>0</v>
      </c>
      <c r="AJ10" s="101"/>
      <c r="AK10" s="100">
        <v>0</v>
      </c>
      <c r="AL10" s="101"/>
      <c r="AM10" s="100">
        <v>0</v>
      </c>
      <c r="AN10" s="101"/>
      <c r="AO10" s="100">
        <v>0</v>
      </c>
      <c r="AP10" s="101"/>
      <c r="AQ10" s="100">
        <v>0</v>
      </c>
      <c r="AR10" s="101"/>
    </row>
    <row r="11" spans="1:44" ht="12.6" thickTop="1" thickBot="1" x14ac:dyDescent="0.25">
      <c r="A11" s="12">
        <v>8</v>
      </c>
      <c r="B11" s="1" t="str">
        <f>IF(A11="","",_xlfn.XLOOKUP($A11,'[3]ANTICIPOS SAN SEBASTIÁN'!$B$1:$B$221,'[3]ANTICIPOS SAN SEBASTIÁN'!$I$1:$I$221))</f>
        <v>ULIGAB</v>
      </c>
      <c r="C11" s="2">
        <f>IF(A11="","",IF(_xlfn.XLOOKUP($A11,'[3]ANTICIPOS SAN SEBASTIÁN'!$B$1:$B$221,'[3]ANTICIPOS SAN SEBASTIÁN'!$K$1:$K$221)="","",_xlfn.XLOOKUP($A11,'[3]ANTICIPOS SAN SEBASTIÁN'!$B$1:$B$221,'[3]ANTICIPOS SAN SEBASTIÁN'!$K$1:$K$221)))</f>
        <v>31</v>
      </c>
      <c r="D11" s="16">
        <f t="shared" si="34"/>
        <v>14580.21</v>
      </c>
      <c r="E11" s="100">
        <v>0</v>
      </c>
      <c r="F11" s="111"/>
      <c r="G11" s="100">
        <v>0</v>
      </c>
      <c r="H11" s="101"/>
      <c r="I11" s="100">
        <v>0</v>
      </c>
      <c r="J11" s="101"/>
      <c r="K11" s="100">
        <v>0</v>
      </c>
      <c r="L11" s="101"/>
      <c r="M11" s="100">
        <v>0</v>
      </c>
      <c r="N11" s="101"/>
      <c r="O11" s="100">
        <v>0</v>
      </c>
      <c r="P11" s="101"/>
      <c r="Q11" s="100">
        <v>0</v>
      </c>
      <c r="R11" s="101"/>
      <c r="S11" s="100">
        <v>14580.21</v>
      </c>
      <c r="T11" s="101"/>
      <c r="U11" s="100">
        <v>0</v>
      </c>
      <c r="V11" s="101"/>
      <c r="W11" s="100">
        <v>0</v>
      </c>
      <c r="X11" s="101"/>
      <c r="Y11" s="100">
        <v>0</v>
      </c>
      <c r="Z11" s="101"/>
      <c r="AA11" s="100">
        <v>0</v>
      </c>
      <c r="AB11" s="101"/>
      <c r="AC11" s="100">
        <v>0</v>
      </c>
      <c r="AD11" s="101"/>
      <c r="AE11" s="100">
        <v>0</v>
      </c>
      <c r="AF11" s="101"/>
      <c r="AG11" s="100">
        <v>0</v>
      </c>
      <c r="AH11" s="101"/>
      <c r="AI11" s="100">
        <v>0</v>
      </c>
      <c r="AJ11" s="101"/>
      <c r="AK11" s="100">
        <v>0</v>
      </c>
      <c r="AL11" s="101"/>
      <c r="AM11" s="100">
        <v>0</v>
      </c>
      <c r="AN11" s="101"/>
      <c r="AO11" s="100">
        <v>0</v>
      </c>
      <c r="AP11" s="101"/>
      <c r="AQ11" s="100">
        <v>0</v>
      </c>
      <c r="AR11" s="101"/>
    </row>
    <row r="12" spans="1:44" ht="12.6" thickTop="1" thickBot="1" x14ac:dyDescent="0.25">
      <c r="A12" s="12">
        <v>9</v>
      </c>
      <c r="B12" s="1" t="str">
        <f>IF(A12="","",_xlfn.XLOOKUP($A12,'[3]ANTICIPOS SAN SEBASTIÁN'!$B$1:$B$221,'[3]ANTICIPOS SAN SEBASTIÁN'!$I$1:$I$221))</f>
        <v>ULIGAB</v>
      </c>
      <c r="C12" s="2">
        <f>IF(A12="","",IF(_xlfn.XLOOKUP($A12,'[3]ANTICIPOS SAN SEBASTIÁN'!$B$1:$B$221,'[3]ANTICIPOS SAN SEBASTIÁN'!$K$1:$K$221)="","",_xlfn.XLOOKUP($A12,'[3]ANTICIPOS SAN SEBASTIÁN'!$B$1:$B$221,'[3]ANTICIPOS SAN SEBASTIÁN'!$K$1:$K$221)))</f>
        <v>32</v>
      </c>
      <c r="D12" s="16">
        <f t="shared" si="34"/>
        <v>0</v>
      </c>
      <c r="E12" s="100">
        <v>0</v>
      </c>
      <c r="F12" s="111"/>
      <c r="G12" s="100">
        <v>0</v>
      </c>
      <c r="H12" s="101"/>
      <c r="I12" s="100">
        <v>0</v>
      </c>
      <c r="J12" s="101"/>
      <c r="K12" s="100">
        <v>0</v>
      </c>
      <c r="L12" s="101"/>
      <c r="M12" s="100">
        <v>0</v>
      </c>
      <c r="N12" s="101"/>
      <c r="O12" s="100">
        <v>0</v>
      </c>
      <c r="P12" s="101"/>
      <c r="Q12" s="100">
        <v>0</v>
      </c>
      <c r="R12" s="101"/>
      <c r="S12" s="100">
        <v>0</v>
      </c>
      <c r="T12" s="101"/>
      <c r="U12" s="100">
        <v>0</v>
      </c>
      <c r="V12" s="101"/>
      <c r="W12" s="100">
        <v>0</v>
      </c>
      <c r="X12" s="101"/>
      <c r="Y12" s="100">
        <v>0</v>
      </c>
      <c r="Z12" s="101"/>
      <c r="AA12" s="100">
        <v>0</v>
      </c>
      <c r="AB12" s="101"/>
      <c r="AC12" s="100">
        <v>0</v>
      </c>
      <c r="AD12" s="101"/>
      <c r="AE12" s="100">
        <v>0</v>
      </c>
      <c r="AF12" s="101"/>
      <c r="AG12" s="100">
        <v>0</v>
      </c>
      <c r="AH12" s="101"/>
      <c r="AI12" s="100">
        <v>0</v>
      </c>
      <c r="AJ12" s="101"/>
      <c r="AK12" s="100">
        <v>0</v>
      </c>
      <c r="AL12" s="101"/>
      <c r="AM12" s="100">
        <v>0</v>
      </c>
      <c r="AN12" s="101"/>
      <c r="AO12" s="100">
        <v>0</v>
      </c>
      <c r="AP12" s="101"/>
      <c r="AQ12" s="100">
        <v>0</v>
      </c>
      <c r="AR12" s="101"/>
    </row>
    <row r="13" spans="1:44" ht="12.6" thickTop="1" thickBot="1" x14ac:dyDescent="0.25">
      <c r="A13" s="12">
        <v>10</v>
      </c>
      <c r="B13" s="1" t="str">
        <f>IF(A13="","",_xlfn.XLOOKUP($A13,'[3]ANTICIPOS SAN SEBASTIÁN'!$B$1:$B$221,'[3]ANTICIPOS SAN SEBASTIÁN'!$I$1:$I$221))</f>
        <v>ANGEL ALAMEDA</v>
      </c>
      <c r="C13" s="2">
        <f>IF(A13="","",IF(_xlfn.XLOOKUP($A13,'[3]ANTICIPOS SAN SEBASTIÁN'!$B$1:$B$221,'[3]ANTICIPOS SAN SEBASTIÁN'!$K$1:$K$221)="","",_xlfn.XLOOKUP($A13,'[3]ANTICIPOS SAN SEBASTIÁN'!$B$1:$B$221,'[3]ANTICIPOS SAN SEBASTIÁN'!$K$1:$K$221)))</f>
        <v>33</v>
      </c>
      <c r="D13" s="16">
        <f t="shared" si="34"/>
        <v>483634.39</v>
      </c>
      <c r="E13" s="100">
        <v>119035.08</v>
      </c>
      <c r="F13" s="111"/>
      <c r="G13" s="100">
        <v>0</v>
      </c>
      <c r="H13" s="101"/>
      <c r="I13" s="100">
        <v>0</v>
      </c>
      <c r="J13" s="101"/>
      <c r="K13" s="100">
        <v>0</v>
      </c>
      <c r="L13" s="101"/>
      <c r="M13" s="100">
        <v>0</v>
      </c>
      <c r="N13" s="101"/>
      <c r="O13" s="100">
        <v>42433.96</v>
      </c>
      <c r="P13" s="101"/>
      <c r="Q13" s="100">
        <v>0</v>
      </c>
      <c r="R13" s="101"/>
      <c r="S13" s="100">
        <v>197533.21</v>
      </c>
      <c r="T13" s="101"/>
      <c r="U13" s="100">
        <v>0</v>
      </c>
      <c r="V13" s="101"/>
      <c r="W13" s="100">
        <f>13254.74+42433.96</f>
        <v>55688.7</v>
      </c>
      <c r="X13" s="101"/>
      <c r="Y13" s="100">
        <f>15924.48+53018.96</f>
        <v>68943.44</v>
      </c>
      <c r="Z13" s="101"/>
      <c r="AA13" s="100">
        <v>0</v>
      </c>
      <c r="AB13" s="101"/>
      <c r="AC13" s="100">
        <v>0</v>
      </c>
      <c r="AD13" s="101"/>
      <c r="AE13" s="100">
        <v>0</v>
      </c>
      <c r="AF13" s="101"/>
      <c r="AG13" s="100">
        <v>0</v>
      </c>
      <c r="AH13" s="101"/>
      <c r="AI13" s="100">
        <v>0</v>
      </c>
      <c r="AJ13" s="101"/>
      <c r="AK13" s="100">
        <v>0</v>
      </c>
      <c r="AL13" s="101"/>
      <c r="AM13" s="100">
        <v>0</v>
      </c>
      <c r="AN13" s="101"/>
      <c r="AO13" s="100">
        <v>0</v>
      </c>
      <c r="AP13" s="101"/>
      <c r="AQ13" s="100">
        <v>0</v>
      </c>
      <c r="AR13" s="101"/>
    </row>
    <row r="14" spans="1:44" ht="12.6" thickTop="1" thickBot="1" x14ac:dyDescent="0.25">
      <c r="A14" s="12">
        <v>11</v>
      </c>
      <c r="B14" s="1" t="str">
        <f>IF(A14="","",_xlfn.XLOOKUP($A14,'[3]ANTICIPOS SAN SEBASTIÁN'!$B$1:$B$221,'[3]ANTICIPOS SAN SEBASTIÁN'!$I$1:$I$221))</f>
        <v>POWER</v>
      </c>
      <c r="C14" s="2">
        <f>IF(A14="","",IF(_xlfn.XLOOKUP($A14,'[3]ANTICIPOS SAN SEBASTIÁN'!$B$1:$B$221,'[3]ANTICIPOS SAN SEBASTIÁN'!$K$1:$K$221)="","",_xlfn.XLOOKUP($A14,'[3]ANTICIPOS SAN SEBASTIÁN'!$B$1:$B$221,'[3]ANTICIPOS SAN SEBASTIÁN'!$K$1:$K$221)))</f>
        <v>33</v>
      </c>
      <c r="D14" s="16">
        <f t="shared" si="34"/>
        <v>216075.75</v>
      </c>
      <c r="E14" s="100">
        <v>143174.68</v>
      </c>
      <c r="F14" s="111"/>
      <c r="G14" s="100">
        <v>0</v>
      </c>
      <c r="H14" s="101"/>
      <c r="I14" s="100">
        <v>0</v>
      </c>
      <c r="J14" s="101"/>
      <c r="K14" s="100">
        <v>0</v>
      </c>
      <c r="L14" s="101"/>
      <c r="M14" s="100">
        <v>0</v>
      </c>
      <c r="N14" s="101"/>
      <c r="O14" s="100">
        <v>13254.74</v>
      </c>
      <c r="P14" s="101"/>
      <c r="Q14" s="100">
        <v>0</v>
      </c>
      <c r="R14" s="101"/>
      <c r="S14" s="100">
        <v>26509.48</v>
      </c>
      <c r="T14" s="101"/>
      <c r="U14" s="100">
        <v>0</v>
      </c>
      <c r="V14" s="101"/>
      <c r="W14" s="100">
        <v>0</v>
      </c>
      <c r="X14" s="101"/>
      <c r="Y14" s="100">
        <v>13254.74</v>
      </c>
      <c r="Z14" s="101"/>
      <c r="AA14" s="100">
        <v>19882.11</v>
      </c>
      <c r="AB14" s="101"/>
      <c r="AC14" s="100">
        <v>0</v>
      </c>
      <c r="AD14" s="101"/>
      <c r="AE14" s="100">
        <v>0</v>
      </c>
      <c r="AF14" s="101"/>
      <c r="AG14" s="100">
        <v>0</v>
      </c>
      <c r="AH14" s="101"/>
      <c r="AI14" s="100">
        <v>0</v>
      </c>
      <c r="AJ14" s="101"/>
      <c r="AK14" s="100">
        <v>0</v>
      </c>
      <c r="AL14" s="101"/>
      <c r="AM14" s="100">
        <v>0</v>
      </c>
      <c r="AN14" s="101"/>
      <c r="AO14" s="100">
        <v>0</v>
      </c>
      <c r="AP14" s="101"/>
      <c r="AQ14" s="100">
        <v>0</v>
      </c>
      <c r="AR14" s="101"/>
    </row>
    <row r="15" spans="1:44" ht="12.6" thickTop="1" thickBot="1" x14ac:dyDescent="0.25">
      <c r="A15" s="12">
        <v>12</v>
      </c>
      <c r="B15" s="1" t="str">
        <f>IF(A15="","",_xlfn.XLOOKUP($A15,'[3]ANTICIPOS SAN SEBASTIÁN'!$B$1:$B$221,'[3]ANTICIPOS SAN SEBASTIÁN'!$I$1:$I$221))</f>
        <v>CONSORCIO RM</v>
      </c>
      <c r="C15" s="2">
        <f>IF(A15="","",IF(_xlfn.XLOOKUP($A15,'[3]ANTICIPOS SAN SEBASTIÁN'!$B$1:$B$221,'[3]ANTICIPOS SAN SEBASTIÁN'!$K$1:$K$221)="","",_xlfn.XLOOKUP($A15,'[3]ANTICIPOS SAN SEBASTIÁN'!$B$1:$B$221,'[3]ANTICIPOS SAN SEBASTIÁN'!$K$1:$K$221)))</f>
        <v>34</v>
      </c>
      <c r="D15" s="16">
        <f t="shared" si="34"/>
        <v>470543.28</v>
      </c>
      <c r="E15" s="100">
        <f>19882.11+70250.13+17231.16</f>
        <v>107363.40000000001</v>
      </c>
      <c r="F15" s="111"/>
      <c r="G15" s="100">
        <v>0</v>
      </c>
      <c r="H15" s="101"/>
      <c r="I15" s="100">
        <v>0</v>
      </c>
      <c r="J15" s="101"/>
      <c r="K15" s="100">
        <v>0</v>
      </c>
      <c r="L15" s="101"/>
      <c r="M15" s="100">
        <v>0</v>
      </c>
      <c r="N15" s="101"/>
      <c r="O15" s="100">
        <v>64948.23</v>
      </c>
      <c r="P15" s="101"/>
      <c r="Q15" s="100">
        <v>0</v>
      </c>
      <c r="R15" s="101"/>
      <c r="S15" s="100">
        <f>18556.64+47717.06</f>
        <v>66273.7</v>
      </c>
      <c r="T15" s="101"/>
      <c r="U15" s="100">
        <v>0</v>
      </c>
      <c r="V15" s="101"/>
      <c r="W15" s="100">
        <v>0</v>
      </c>
      <c r="X15" s="101"/>
      <c r="Y15" s="100">
        <v>39764.22</v>
      </c>
      <c r="Z15" s="101"/>
      <c r="AA15" s="100">
        <v>0</v>
      </c>
      <c r="AB15" s="101"/>
      <c r="AC15" s="100">
        <v>13254.74</v>
      </c>
      <c r="AD15" s="101"/>
      <c r="AE15" s="100">
        <f>53018.96+55669.9+70250.13</f>
        <v>178938.99</v>
      </c>
      <c r="AF15" s="101"/>
      <c r="AG15" s="100">
        <v>0</v>
      </c>
      <c r="AH15" s="101"/>
      <c r="AI15" s="100">
        <v>0</v>
      </c>
      <c r="AJ15" s="101"/>
      <c r="AK15" s="100">
        <v>0</v>
      </c>
      <c r="AL15" s="101"/>
      <c r="AM15" s="100">
        <v>0</v>
      </c>
      <c r="AN15" s="101"/>
      <c r="AO15" s="100">
        <v>0</v>
      </c>
      <c r="AP15" s="101"/>
      <c r="AQ15" s="100">
        <v>0</v>
      </c>
      <c r="AR15" s="101"/>
    </row>
    <row r="16" spans="1:44" ht="12.6" thickTop="1" thickBot="1" x14ac:dyDescent="0.25">
      <c r="A16" s="12">
        <v>13</v>
      </c>
      <c r="B16" s="1" t="str">
        <f>IF(A16="","",_xlfn.XLOOKUP($A16,'[3]ANTICIPOS SAN SEBASTIÁN'!$B$1:$B$221,'[3]ANTICIPOS SAN SEBASTIÁN'!$I$1:$I$221))</f>
        <v>CONSORCIO RM</v>
      </c>
      <c r="C16" s="2">
        <f>IF(A16="","",IF(_xlfn.XLOOKUP($A16,'[3]ANTICIPOS SAN SEBASTIÁN'!$B$1:$B$221,'[3]ANTICIPOS SAN SEBASTIÁN'!$K$1:$K$221)="","",_xlfn.XLOOKUP($A16,'[3]ANTICIPOS SAN SEBASTIÁN'!$B$1:$B$221,'[3]ANTICIPOS SAN SEBASTIÁN'!$K$1:$K$221)))</f>
        <v>34</v>
      </c>
      <c r="D16" s="16">
        <f t="shared" si="34"/>
        <v>30485.899999999998</v>
      </c>
      <c r="E16" s="100">
        <v>0</v>
      </c>
      <c r="F16" s="111"/>
      <c r="G16" s="100">
        <v>0</v>
      </c>
      <c r="H16" s="101"/>
      <c r="I16" s="100">
        <v>0</v>
      </c>
      <c r="J16" s="101"/>
      <c r="K16" s="100">
        <v>0</v>
      </c>
      <c r="L16" s="101"/>
      <c r="M16" s="100">
        <v>0</v>
      </c>
      <c r="N16" s="101"/>
      <c r="O16" s="100">
        <v>0</v>
      </c>
      <c r="P16" s="101"/>
      <c r="Q16" s="100">
        <v>0</v>
      </c>
      <c r="R16" s="101"/>
      <c r="S16" s="100">
        <v>0</v>
      </c>
      <c r="T16" s="101"/>
      <c r="U16" s="100">
        <v>0</v>
      </c>
      <c r="V16" s="101"/>
      <c r="W16" s="100">
        <v>0</v>
      </c>
      <c r="X16" s="101"/>
      <c r="Y16" s="100">
        <v>0</v>
      </c>
      <c r="Z16" s="101"/>
      <c r="AA16" s="100">
        <v>0</v>
      </c>
      <c r="AB16" s="101"/>
      <c r="AC16" s="100">
        <v>0</v>
      </c>
      <c r="AD16" s="101"/>
      <c r="AE16" s="100">
        <v>0</v>
      </c>
      <c r="AF16" s="101"/>
      <c r="AG16" s="100">
        <f>13254.74+9278.32+7952.84</f>
        <v>30485.899999999998</v>
      </c>
      <c r="AH16" s="101"/>
      <c r="AI16" s="100">
        <v>0</v>
      </c>
      <c r="AJ16" s="101"/>
      <c r="AK16" s="100">
        <v>0</v>
      </c>
      <c r="AL16" s="101"/>
      <c r="AM16" s="100">
        <v>0</v>
      </c>
      <c r="AN16" s="101"/>
      <c r="AO16" s="100">
        <v>0</v>
      </c>
      <c r="AP16" s="101"/>
      <c r="AQ16" s="100">
        <v>0</v>
      </c>
      <c r="AR16" s="101"/>
    </row>
    <row r="17" spans="1:44" ht="12.6" thickTop="1" thickBot="1" x14ac:dyDescent="0.25">
      <c r="A17" s="12">
        <v>14</v>
      </c>
      <c r="B17" s="1" t="str">
        <f>IF(A17="","",_xlfn.XLOOKUP($A17,'[3]ANTICIPOS SAN SEBASTIÁN'!$B$1:$B$221,'[3]ANTICIPOS SAN SEBASTIÁN'!$I$1:$I$221))</f>
        <v>COBYPSA</v>
      </c>
      <c r="C17" s="2">
        <f>IF(A17="","",IF(_xlfn.XLOOKUP($A17,'[3]ANTICIPOS SAN SEBASTIÁN'!$B$1:$B$221,'[3]ANTICIPOS SAN SEBASTIÁN'!$K$1:$K$221)="","",_xlfn.XLOOKUP($A17,'[3]ANTICIPOS SAN SEBASTIÁN'!$B$1:$B$221,'[3]ANTICIPOS SAN SEBASTIÁN'!$K$1:$K$221)))</f>
        <v>35</v>
      </c>
      <c r="D17" s="16">
        <f t="shared" si="34"/>
        <v>165693.64000000001</v>
      </c>
      <c r="E17" s="100">
        <v>0</v>
      </c>
      <c r="F17" s="111"/>
      <c r="G17" s="100"/>
      <c r="H17" s="101"/>
      <c r="I17" s="100">
        <v>0</v>
      </c>
      <c r="J17" s="101"/>
      <c r="K17" s="100">
        <v>0</v>
      </c>
      <c r="L17" s="101"/>
      <c r="M17" s="100">
        <v>0</v>
      </c>
      <c r="N17" s="101"/>
      <c r="O17" s="100">
        <v>88816.15</v>
      </c>
      <c r="P17" s="101"/>
      <c r="Q17" s="100">
        <v>0</v>
      </c>
      <c r="R17" s="101"/>
      <c r="S17" s="100">
        <v>76877.490000000005</v>
      </c>
      <c r="T17" s="101"/>
      <c r="U17" s="100">
        <v>0</v>
      </c>
      <c r="V17" s="101"/>
      <c r="W17" s="100">
        <v>0</v>
      </c>
      <c r="X17" s="101"/>
      <c r="Y17" s="100">
        <v>0</v>
      </c>
      <c r="Z17" s="101"/>
      <c r="AA17" s="100">
        <v>0</v>
      </c>
      <c r="AB17" s="101"/>
      <c r="AC17" s="100">
        <v>0</v>
      </c>
      <c r="AD17" s="101"/>
      <c r="AE17" s="100">
        <v>0</v>
      </c>
      <c r="AF17" s="101"/>
      <c r="AG17" s="100">
        <v>0</v>
      </c>
      <c r="AH17" s="101"/>
      <c r="AI17" s="100">
        <v>0</v>
      </c>
      <c r="AJ17" s="101"/>
      <c r="AK17" s="100">
        <v>0</v>
      </c>
      <c r="AL17" s="101"/>
      <c r="AM17" s="100">
        <v>0</v>
      </c>
      <c r="AN17" s="101"/>
      <c r="AO17" s="100">
        <v>0</v>
      </c>
      <c r="AP17" s="101"/>
      <c r="AQ17" s="100">
        <v>0</v>
      </c>
      <c r="AR17" s="101"/>
    </row>
    <row r="18" spans="1:44" ht="12.6" thickTop="1" thickBot="1" x14ac:dyDescent="0.25">
      <c r="A18" s="13">
        <v>15</v>
      </c>
      <c r="B18" s="14" t="str">
        <f>IF(A18="","",_xlfn.XLOOKUP($A18,'[3]ANTICIPOS SAN SEBASTIÁN'!$B$1:$B$221,'[3]ANTICIPOS SAN SEBASTIÁN'!$I$1:$I$221))</f>
        <v>ANGEL ALAMEDA</v>
      </c>
      <c r="C18" s="15">
        <f>IF(A18="","",IF(_xlfn.XLOOKUP($A18,'[3]ANTICIPOS SAN SEBASTIÁN'!$B$1:$B$221,'[3]ANTICIPOS SAN SEBASTIÁN'!$K$1:$K$221)="","",_xlfn.XLOOKUP($A18,'[3]ANTICIPOS SAN SEBASTIÁN'!$B$1:$B$221,'[3]ANTICIPOS SAN SEBASTIÁN'!$K$1:$K$221)))</f>
        <v>36</v>
      </c>
      <c r="D18" s="16">
        <f>SUM(E18:ZZ18)</f>
        <v>243648.42</v>
      </c>
      <c r="E18" s="102">
        <v>92525.6</v>
      </c>
      <c r="F18" s="112"/>
      <c r="G18" s="102">
        <v>0</v>
      </c>
      <c r="H18" s="103"/>
      <c r="I18" s="102">
        <v>0</v>
      </c>
      <c r="J18" s="103"/>
      <c r="K18" s="102">
        <v>0</v>
      </c>
      <c r="L18" s="103"/>
      <c r="M18" s="102">
        <v>0</v>
      </c>
      <c r="N18" s="103"/>
      <c r="O18" s="102">
        <v>0</v>
      </c>
      <c r="P18" s="103"/>
      <c r="Q18" s="102">
        <v>0</v>
      </c>
      <c r="R18" s="103"/>
      <c r="S18" s="102">
        <v>0</v>
      </c>
      <c r="T18" s="103"/>
      <c r="U18" s="102">
        <v>0</v>
      </c>
      <c r="V18" s="103"/>
      <c r="W18" s="102">
        <v>0</v>
      </c>
      <c r="X18" s="103"/>
      <c r="Y18" s="102">
        <v>0</v>
      </c>
      <c r="Z18" s="103"/>
      <c r="AA18" s="102">
        <v>63641.54</v>
      </c>
      <c r="AB18" s="103"/>
      <c r="AC18" s="102">
        <v>0</v>
      </c>
      <c r="AD18" s="103"/>
      <c r="AE18" s="102">
        <f>6627.37+27834.95+53018.96</f>
        <v>87481.279999999999</v>
      </c>
      <c r="AF18" s="103"/>
      <c r="AG18" s="102">
        <v>0</v>
      </c>
      <c r="AH18" s="103"/>
      <c r="AI18" s="102">
        <v>0</v>
      </c>
      <c r="AJ18" s="103"/>
      <c r="AK18" s="102">
        <v>0</v>
      </c>
      <c r="AL18" s="103"/>
      <c r="AM18" s="102">
        <v>0</v>
      </c>
      <c r="AN18" s="103"/>
      <c r="AO18" s="102">
        <v>0</v>
      </c>
      <c r="AP18" s="103"/>
      <c r="AQ18" s="102">
        <v>0</v>
      </c>
      <c r="AR18" s="103"/>
    </row>
  </sheetData>
  <autoFilter ref="A5:AJ18" xr:uid="{3DEB809F-A013-4A34-A1C7-9B9F83CE4C2A}"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</autoFilter>
  <mergeCells count="339">
    <mergeCell ref="AQ2:AR2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K2:L2"/>
    <mergeCell ref="M2:N2"/>
    <mergeCell ref="K3:L3"/>
    <mergeCell ref="M3:N3"/>
    <mergeCell ref="O2:P2"/>
    <mergeCell ref="Q2:R2"/>
    <mergeCell ref="S2:T2"/>
    <mergeCell ref="U2:V2"/>
    <mergeCell ref="W2:X2"/>
    <mergeCell ref="AI14:AJ14"/>
    <mergeCell ref="AI15:AJ15"/>
    <mergeCell ref="AI16:AJ16"/>
    <mergeCell ref="AI17:AJ17"/>
    <mergeCell ref="AI18:AJ18"/>
    <mergeCell ref="AI9:AJ9"/>
    <mergeCell ref="AI10:AJ10"/>
    <mergeCell ref="AI11:AJ11"/>
    <mergeCell ref="AI12:AJ12"/>
    <mergeCell ref="AI13:AJ13"/>
    <mergeCell ref="AG4:AH4"/>
    <mergeCell ref="AG5:AH5"/>
    <mergeCell ref="AG6:AH6"/>
    <mergeCell ref="AG7:AH7"/>
    <mergeCell ref="AG8:AH8"/>
    <mergeCell ref="AI4:AJ4"/>
    <mergeCell ref="AI5:AJ5"/>
    <mergeCell ref="AI6:AJ6"/>
    <mergeCell ref="AI7:AJ7"/>
    <mergeCell ref="AI8:AJ8"/>
    <mergeCell ref="AE18:AF18"/>
    <mergeCell ref="AE9:AF9"/>
    <mergeCell ref="AE10:AF10"/>
    <mergeCell ref="AE11:AF11"/>
    <mergeCell ref="AE12:AF12"/>
    <mergeCell ref="AE13:AF13"/>
    <mergeCell ref="AG18:AH18"/>
    <mergeCell ref="AG9:AH9"/>
    <mergeCell ref="AG10:AH10"/>
    <mergeCell ref="AG11:AH11"/>
    <mergeCell ref="AG12:AH12"/>
    <mergeCell ref="AG13:AH13"/>
    <mergeCell ref="AG14:AH14"/>
    <mergeCell ref="AG15:AH15"/>
    <mergeCell ref="AG16:AH16"/>
    <mergeCell ref="AG17:AH17"/>
    <mergeCell ref="AE4:AF4"/>
    <mergeCell ref="AE5:AF5"/>
    <mergeCell ref="AE6:AF6"/>
    <mergeCell ref="AE7:AF7"/>
    <mergeCell ref="AE8:AF8"/>
    <mergeCell ref="AC14:AD14"/>
    <mergeCell ref="AC15:AD15"/>
    <mergeCell ref="AC16:AD16"/>
    <mergeCell ref="AC17:AD17"/>
    <mergeCell ref="AE14:AF14"/>
    <mergeCell ref="AE15:AF15"/>
    <mergeCell ref="AE16:AF16"/>
    <mergeCell ref="AE17:AF17"/>
    <mergeCell ref="AC18:AD18"/>
    <mergeCell ref="AC9:AD9"/>
    <mergeCell ref="AC10:AD10"/>
    <mergeCell ref="AC11:AD11"/>
    <mergeCell ref="AC12:AD12"/>
    <mergeCell ref="AC13:AD13"/>
    <mergeCell ref="AC4:AD4"/>
    <mergeCell ref="AC5:AD5"/>
    <mergeCell ref="AC6:AD6"/>
    <mergeCell ref="AC7:AD7"/>
    <mergeCell ref="AC8:AD8"/>
    <mergeCell ref="AA14:AB14"/>
    <mergeCell ref="AA15:AB15"/>
    <mergeCell ref="AA16:AB16"/>
    <mergeCell ref="AA17:AB17"/>
    <mergeCell ref="AA18:AB18"/>
    <mergeCell ref="AA9:AB9"/>
    <mergeCell ref="AA10:AB10"/>
    <mergeCell ref="AA11:AB11"/>
    <mergeCell ref="AA12:AB12"/>
    <mergeCell ref="AA13:AB13"/>
    <mergeCell ref="Y4:Z4"/>
    <mergeCell ref="Y5:Z5"/>
    <mergeCell ref="Y6:Z6"/>
    <mergeCell ref="Y7:Z7"/>
    <mergeCell ref="Y8:Z8"/>
    <mergeCell ref="AA4:AB4"/>
    <mergeCell ref="AA5:AB5"/>
    <mergeCell ref="AA6:AB6"/>
    <mergeCell ref="AA7:AB7"/>
    <mergeCell ref="AA8:AB8"/>
    <mergeCell ref="U18:V18"/>
    <mergeCell ref="U9:V9"/>
    <mergeCell ref="U10:V10"/>
    <mergeCell ref="U11:V11"/>
    <mergeCell ref="U12:V12"/>
    <mergeCell ref="U13:V13"/>
    <mergeCell ref="Y18:Z18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W13:X13"/>
    <mergeCell ref="W14:X14"/>
    <mergeCell ref="W15:X15"/>
    <mergeCell ref="W16:X16"/>
    <mergeCell ref="W17:X17"/>
    <mergeCell ref="W18:X18"/>
    <mergeCell ref="U4:V4"/>
    <mergeCell ref="U5:V5"/>
    <mergeCell ref="U6:V6"/>
    <mergeCell ref="U7:V7"/>
    <mergeCell ref="U8:V8"/>
    <mergeCell ref="S14:T14"/>
    <mergeCell ref="S15:T15"/>
    <mergeCell ref="S16:T16"/>
    <mergeCell ref="S17:T17"/>
    <mergeCell ref="U14:V14"/>
    <mergeCell ref="U15:V15"/>
    <mergeCell ref="U16:V16"/>
    <mergeCell ref="U17:V17"/>
    <mergeCell ref="S18:T18"/>
    <mergeCell ref="S9:T9"/>
    <mergeCell ref="S10:T10"/>
    <mergeCell ref="S11:T11"/>
    <mergeCell ref="S12:T12"/>
    <mergeCell ref="S13:T13"/>
    <mergeCell ref="S4:T4"/>
    <mergeCell ref="S5:T5"/>
    <mergeCell ref="S6:T6"/>
    <mergeCell ref="S7:T7"/>
    <mergeCell ref="S8:T8"/>
    <mergeCell ref="Q14:R14"/>
    <mergeCell ref="Q15:R15"/>
    <mergeCell ref="Q16:R16"/>
    <mergeCell ref="Q17:R17"/>
    <mergeCell ref="Q18:R18"/>
    <mergeCell ref="Q9:R9"/>
    <mergeCell ref="Q10:R10"/>
    <mergeCell ref="Q11:R11"/>
    <mergeCell ref="Q12:R12"/>
    <mergeCell ref="Q13:R13"/>
    <mergeCell ref="O4:P4"/>
    <mergeCell ref="O5:P5"/>
    <mergeCell ref="O6:P6"/>
    <mergeCell ref="O7:P7"/>
    <mergeCell ref="O8:P8"/>
    <mergeCell ref="Q4:R4"/>
    <mergeCell ref="Q5:R5"/>
    <mergeCell ref="Q6:R6"/>
    <mergeCell ref="Q7:R7"/>
    <mergeCell ref="Q8:R8"/>
    <mergeCell ref="M18:N18"/>
    <mergeCell ref="M9:N9"/>
    <mergeCell ref="M10:N10"/>
    <mergeCell ref="M11:N11"/>
    <mergeCell ref="M12:N12"/>
    <mergeCell ref="M13:N13"/>
    <mergeCell ref="O18:P1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M4:N4"/>
    <mergeCell ref="M5:N5"/>
    <mergeCell ref="M6:N6"/>
    <mergeCell ref="M7:N7"/>
    <mergeCell ref="M8:N8"/>
    <mergeCell ref="K14:L14"/>
    <mergeCell ref="K15:L15"/>
    <mergeCell ref="K16:L16"/>
    <mergeCell ref="K17:L17"/>
    <mergeCell ref="M14:N14"/>
    <mergeCell ref="M15:N15"/>
    <mergeCell ref="M16:N16"/>
    <mergeCell ref="M17:N17"/>
    <mergeCell ref="K18:L18"/>
    <mergeCell ref="K9:L9"/>
    <mergeCell ref="K10:L10"/>
    <mergeCell ref="K11:L11"/>
    <mergeCell ref="K12:L12"/>
    <mergeCell ref="K13:L13"/>
    <mergeCell ref="K4:L4"/>
    <mergeCell ref="K5:L5"/>
    <mergeCell ref="K6:L6"/>
    <mergeCell ref="K7:L7"/>
    <mergeCell ref="K8:L8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I4:J4"/>
    <mergeCell ref="I5:J5"/>
    <mergeCell ref="I6:J6"/>
    <mergeCell ref="I7:J7"/>
    <mergeCell ref="I8:J8"/>
    <mergeCell ref="E7:F7"/>
    <mergeCell ref="G7:H7"/>
    <mergeCell ref="A1:D1"/>
    <mergeCell ref="A2:A5"/>
    <mergeCell ref="B2:B5"/>
    <mergeCell ref="C2:C5"/>
    <mergeCell ref="E4:F4"/>
    <mergeCell ref="G4:H4"/>
    <mergeCell ref="E5:F5"/>
    <mergeCell ref="G5:H5"/>
    <mergeCell ref="E6:F6"/>
    <mergeCell ref="G6:H6"/>
    <mergeCell ref="E18:F18"/>
    <mergeCell ref="G18:H18"/>
    <mergeCell ref="D2:D5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E8:F8"/>
    <mergeCell ref="G8:H8"/>
    <mergeCell ref="E9:F9"/>
    <mergeCell ref="G9:H9"/>
    <mergeCell ref="E10:F10"/>
    <mergeCell ref="G10:H10"/>
    <mergeCell ref="E17:F17"/>
    <mergeCell ref="G17:H17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AK4:AL4"/>
    <mergeCell ref="AM4:AN4"/>
    <mergeCell ref="AO4:AP4"/>
    <mergeCell ref="AQ4:AR4"/>
    <mergeCell ref="AK5:AL5"/>
    <mergeCell ref="AM5:AN5"/>
    <mergeCell ref="AO5:AP5"/>
    <mergeCell ref="AQ5:AR5"/>
    <mergeCell ref="AK6:AL6"/>
    <mergeCell ref="AM6:AN6"/>
    <mergeCell ref="AO6:AP6"/>
    <mergeCell ref="AQ6:AR6"/>
    <mergeCell ref="AK7:AL7"/>
    <mergeCell ref="AM7:AN7"/>
    <mergeCell ref="AO7:AP7"/>
    <mergeCell ref="AQ7:AR7"/>
    <mergeCell ref="AK8:AL8"/>
    <mergeCell ref="AM8:AN8"/>
    <mergeCell ref="AO8:AP8"/>
    <mergeCell ref="AQ8:AR8"/>
    <mergeCell ref="AK9:AL9"/>
    <mergeCell ref="AM9:AN9"/>
    <mergeCell ref="AO9:AP9"/>
    <mergeCell ref="AQ9:AR9"/>
    <mergeCell ref="AK10:AL10"/>
    <mergeCell ref="AM10:AN10"/>
    <mergeCell ref="AO10:AP10"/>
    <mergeCell ref="AQ10:AR10"/>
    <mergeCell ref="AK11:AL11"/>
    <mergeCell ref="AM11:AN11"/>
    <mergeCell ref="AO11:AP11"/>
    <mergeCell ref="AQ11:AR11"/>
    <mergeCell ref="AK12:AL12"/>
    <mergeCell ref="AM12:AN12"/>
    <mergeCell ref="AO12:AP12"/>
    <mergeCell ref="AQ12:AR12"/>
    <mergeCell ref="AK13:AL13"/>
    <mergeCell ref="AM13:AN13"/>
    <mergeCell ref="AO13:AP13"/>
    <mergeCell ref="AQ13:AR13"/>
    <mergeCell ref="AK14:AL14"/>
    <mergeCell ref="AM14:AN14"/>
    <mergeCell ref="AO14:AP14"/>
    <mergeCell ref="AQ14:AR14"/>
    <mergeCell ref="AK15:AL15"/>
    <mergeCell ref="AM15:AN15"/>
    <mergeCell ref="AO15:AP15"/>
    <mergeCell ref="AQ15:AR15"/>
    <mergeCell ref="AK16:AL16"/>
    <mergeCell ref="AM16:AN16"/>
    <mergeCell ref="AO16:AP16"/>
    <mergeCell ref="AQ16:AR16"/>
    <mergeCell ref="AK17:AL17"/>
    <mergeCell ref="AM17:AN17"/>
    <mergeCell ref="AO17:AP17"/>
    <mergeCell ref="AQ17:AR17"/>
    <mergeCell ref="AK18:AL18"/>
    <mergeCell ref="AM18:AN18"/>
    <mergeCell ref="AO18:AP18"/>
    <mergeCell ref="AQ18:AR1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B405-254E-40C4-9EB8-6E6D130456A6}">
  <dimension ref="A1:H18"/>
  <sheetViews>
    <sheetView showGridLines="0" tabSelected="1" workbookViewId="0">
      <pane xSplit="4" ySplit="5" topLeftCell="E6" activePane="bottomRight" state="frozen"/>
      <selection activeCell="J9" sqref="J9"/>
      <selection pane="topRight" activeCell="J9" sqref="J9"/>
      <selection pane="bottomLeft" activeCell="J9" sqref="J9"/>
      <selection pane="bottomRight" activeCell="H26" sqref="H26"/>
    </sheetView>
  </sheetViews>
  <sheetFormatPr baseColWidth="10" defaultColWidth="11.375" defaultRowHeight="11.4" x14ac:dyDescent="0.2"/>
  <cols>
    <col min="1" max="1" width="11.25" style="3" bestFit="1" customWidth="1"/>
    <col min="2" max="2" width="15.875" style="3" bestFit="1" customWidth="1"/>
    <col min="3" max="3" width="10.125" style="3" bestFit="1" customWidth="1"/>
    <col min="4" max="4" width="14.375" style="3" bestFit="1" customWidth="1"/>
    <col min="5" max="8" width="10.125" style="6" bestFit="1" customWidth="1"/>
    <col min="9" max="16384" width="11.375" style="3"/>
  </cols>
  <sheetData>
    <row r="1" spans="1:8" ht="21" thickBot="1" x14ac:dyDescent="0.25">
      <c r="A1" s="115" t="s">
        <v>6</v>
      </c>
      <c r="B1" s="115"/>
      <c r="C1" s="115"/>
      <c r="D1" s="115"/>
    </row>
    <row r="2" spans="1:8" s="7" customFormat="1" ht="13.5" customHeight="1" thickBot="1" x14ac:dyDescent="0.25">
      <c r="A2" s="116" t="s">
        <v>0</v>
      </c>
      <c r="B2" s="119" t="s">
        <v>1</v>
      </c>
      <c r="C2" s="119" t="s">
        <v>2</v>
      </c>
      <c r="D2" s="119" t="s">
        <v>5</v>
      </c>
      <c r="E2" s="9" t="s">
        <v>3</v>
      </c>
      <c r="F2" s="9" t="s">
        <v>4</v>
      </c>
      <c r="G2" s="9" t="s">
        <v>3</v>
      </c>
      <c r="H2" s="10" t="s">
        <v>4</v>
      </c>
    </row>
    <row r="3" spans="1:8" s="6" customFormat="1" ht="13.5" customHeight="1" thickTop="1" thickBot="1" x14ac:dyDescent="0.25">
      <c r="A3" s="117"/>
      <c r="B3" s="120"/>
      <c r="C3" s="120"/>
      <c r="D3" s="120"/>
      <c r="E3" s="5"/>
      <c r="F3" s="5">
        <f>E3+5</f>
        <v>5</v>
      </c>
      <c r="G3" s="5">
        <f>E3+7</f>
        <v>7</v>
      </c>
      <c r="H3" s="11">
        <f>G3+5</f>
        <v>12</v>
      </c>
    </row>
    <row r="4" spans="1:8" s="8" customFormat="1" ht="13.5" customHeight="1" thickTop="1" thickBot="1" x14ac:dyDescent="0.25">
      <c r="A4" s="117"/>
      <c r="B4" s="120"/>
      <c r="C4" s="120"/>
      <c r="D4" s="120"/>
      <c r="E4" s="109">
        <v>1</v>
      </c>
      <c r="F4" s="127"/>
      <c r="G4" s="109">
        <f>E4+1</f>
        <v>2</v>
      </c>
      <c r="H4" s="110"/>
    </row>
    <row r="5" spans="1:8" s="8" customFormat="1" ht="12.75" customHeight="1" thickTop="1" thickBot="1" x14ac:dyDescent="0.25">
      <c r="A5" s="118"/>
      <c r="B5" s="121"/>
      <c r="C5" s="121"/>
      <c r="D5" s="121"/>
      <c r="E5" s="106">
        <f>SUM(E6:F18)</f>
        <v>0</v>
      </c>
      <c r="F5" s="122"/>
      <c r="G5" s="106">
        <f>SUM(G6:H18)</f>
        <v>0</v>
      </c>
      <c r="H5" s="107"/>
    </row>
    <row r="6" spans="1:8" ht="12.6" thickTop="1" thickBot="1" x14ac:dyDescent="0.25">
      <c r="A6" s="12">
        <v>3</v>
      </c>
      <c r="B6" s="1" t="str">
        <f>IF(A6="","",_xlfn.XLOOKUP($A6,'[3]ANTICIPOS SAN SEBASTIÁN'!$B$1:$B$221,'[3]ANTICIPOS SAN SEBASTIÁN'!$I$1:$I$221))</f>
        <v>COINVI</v>
      </c>
      <c r="C6" s="2">
        <f>IF(A6="","",IF(_xlfn.XLOOKUP($A6,'[3]ANTICIPOS SAN SEBASTIÁN'!$B$1:$B$221,'[3]ANTICIPOS SAN SEBASTIÁN'!$K$1:$K$221)="","",_xlfn.XLOOKUP($A6,'[3]ANTICIPOS SAN SEBASTIÁN'!$B$1:$B$221,'[3]ANTICIPOS SAN SEBASTIÁN'!$K$1:$K$221)))</f>
        <v>27</v>
      </c>
      <c r="D6" s="16">
        <f t="shared" ref="D6:D17" ca="1" si="0">SUM(D6:ZZ6)</f>
        <v>0</v>
      </c>
      <c r="E6" s="100">
        <v>0</v>
      </c>
      <c r="F6" s="111"/>
      <c r="G6" s="100">
        <v>0</v>
      </c>
      <c r="H6" s="101"/>
    </row>
    <row r="7" spans="1:8" ht="12.6" thickTop="1" thickBot="1" x14ac:dyDescent="0.25">
      <c r="A7" s="12">
        <v>4</v>
      </c>
      <c r="B7" s="1" t="str">
        <f>IF(A7="","",_xlfn.XLOOKUP($A7,'[3]ANTICIPOS SAN SEBASTIÁN'!$B$1:$B$221,'[3]ANTICIPOS SAN SEBASTIÁN'!$I$1:$I$221))</f>
        <v>OBREGÓN</v>
      </c>
      <c r="C7" s="2">
        <f>IF(A7="","",IF(_xlfn.XLOOKUP($A7,'[3]ANTICIPOS SAN SEBASTIÁN'!$B$1:$B$221,'[3]ANTICIPOS SAN SEBASTIÁN'!$K$1:$K$221)="","",_xlfn.XLOOKUP($A7,'[3]ANTICIPOS SAN SEBASTIÁN'!$B$1:$B$221,'[3]ANTICIPOS SAN SEBASTIÁN'!$K$1:$K$221)))</f>
        <v>27</v>
      </c>
      <c r="D7" s="16">
        <f t="shared" ca="1" si="0"/>
        <v>0</v>
      </c>
      <c r="E7" s="100">
        <v>0</v>
      </c>
      <c r="F7" s="111"/>
      <c r="G7" s="100">
        <v>0</v>
      </c>
      <c r="H7" s="101"/>
    </row>
    <row r="8" spans="1:8" ht="12.6" thickTop="1" thickBot="1" x14ac:dyDescent="0.25">
      <c r="A8" s="12">
        <v>5</v>
      </c>
      <c r="B8" s="1" t="str">
        <f>IF(A8="","",_xlfn.XLOOKUP($A8,'[3]ANTICIPOS SAN SEBASTIÁN'!$B$1:$B$221,'[3]ANTICIPOS SAN SEBASTIÁN'!$I$1:$I$221))</f>
        <v>POWER</v>
      </c>
      <c r="C8" s="2">
        <f>IF(A8="","",IF(_xlfn.XLOOKUP($A8,'[3]ANTICIPOS SAN SEBASTIÁN'!$B$1:$B$221,'[3]ANTICIPOS SAN SEBASTIÁN'!$K$1:$K$221)="","",_xlfn.XLOOKUP($A8,'[3]ANTICIPOS SAN SEBASTIÁN'!$B$1:$B$221,'[3]ANTICIPOS SAN SEBASTIÁN'!$K$1:$K$221)))</f>
        <v>28</v>
      </c>
      <c r="D8" s="16">
        <f t="shared" ca="1" si="0"/>
        <v>0</v>
      </c>
      <c r="E8" s="100">
        <v>0</v>
      </c>
      <c r="F8" s="111"/>
      <c r="G8" s="100">
        <v>0</v>
      </c>
      <c r="H8" s="101"/>
    </row>
    <row r="9" spans="1:8" ht="12.6" thickTop="1" thickBot="1" x14ac:dyDescent="0.25">
      <c r="A9" s="12">
        <v>6</v>
      </c>
      <c r="B9" s="1" t="str">
        <f>IF(A9="","",_xlfn.XLOOKUP($A9,'[3]ANTICIPOS SAN SEBASTIÁN'!$B$1:$B$221,'[3]ANTICIPOS SAN SEBASTIÁN'!$I$1:$I$221))</f>
        <v>FASAR</v>
      </c>
      <c r="C9" s="2" t="str">
        <f>IF(A9="","",IF(_xlfn.XLOOKUP($A9,'[3]ANTICIPOS SAN SEBASTIÁN'!$B$1:$B$221,'[3]ANTICIPOS SAN SEBASTIÁN'!$K$1:$K$221)="","",_xlfn.XLOOKUP($A9,'[3]ANTICIPOS SAN SEBASTIÁN'!$B$1:$B$221,'[3]ANTICIPOS SAN SEBASTIÁN'!$K$1:$K$221)))</f>
        <v>29 Y 30</v>
      </c>
      <c r="D9" s="16">
        <f t="shared" ca="1" si="0"/>
        <v>0</v>
      </c>
      <c r="E9" s="100">
        <v>0</v>
      </c>
      <c r="F9" s="111"/>
      <c r="G9" s="100">
        <v>0</v>
      </c>
      <c r="H9" s="101"/>
    </row>
    <row r="10" spans="1:8" ht="12.6" thickTop="1" thickBot="1" x14ac:dyDescent="0.25">
      <c r="A10" s="12">
        <v>7</v>
      </c>
      <c r="B10" s="1" t="str">
        <f>IF(A10="","",_xlfn.XLOOKUP($A10,'[3]ANTICIPOS SAN SEBASTIÁN'!$B$1:$B$221,'[3]ANTICIPOS SAN SEBASTIÁN'!$I$1:$I$221))</f>
        <v>ULIGAB</v>
      </c>
      <c r="C10" s="2">
        <f>IF(A10="","",IF(_xlfn.XLOOKUP($A10,'[3]ANTICIPOS SAN SEBASTIÁN'!$B$1:$B$221,'[3]ANTICIPOS SAN SEBASTIÁN'!$K$1:$K$221)="","",_xlfn.XLOOKUP($A10,'[3]ANTICIPOS SAN SEBASTIÁN'!$B$1:$B$221,'[3]ANTICIPOS SAN SEBASTIÁN'!$K$1:$K$221)))</f>
        <v>31</v>
      </c>
      <c r="D10" s="16">
        <f t="shared" ca="1" si="0"/>
        <v>0</v>
      </c>
      <c r="E10" s="100">
        <v>0</v>
      </c>
      <c r="F10" s="111"/>
      <c r="G10" s="100">
        <v>0</v>
      </c>
      <c r="H10" s="101"/>
    </row>
    <row r="11" spans="1:8" ht="12.6" thickTop="1" thickBot="1" x14ac:dyDescent="0.25">
      <c r="A11" s="12">
        <v>8</v>
      </c>
      <c r="B11" s="1" t="str">
        <f>IF(A11="","",_xlfn.XLOOKUP($A11,'[3]ANTICIPOS SAN SEBASTIÁN'!$B$1:$B$221,'[3]ANTICIPOS SAN SEBASTIÁN'!$I$1:$I$221))</f>
        <v>ULIGAB</v>
      </c>
      <c r="C11" s="2">
        <f>IF(A11="","",IF(_xlfn.XLOOKUP($A11,'[3]ANTICIPOS SAN SEBASTIÁN'!$B$1:$B$221,'[3]ANTICIPOS SAN SEBASTIÁN'!$K$1:$K$221)="","",_xlfn.XLOOKUP($A11,'[3]ANTICIPOS SAN SEBASTIÁN'!$B$1:$B$221,'[3]ANTICIPOS SAN SEBASTIÁN'!$K$1:$K$221)))</f>
        <v>31</v>
      </c>
      <c r="D11" s="16">
        <f t="shared" ca="1" si="0"/>
        <v>0</v>
      </c>
      <c r="E11" s="100">
        <v>0</v>
      </c>
      <c r="F11" s="111"/>
      <c r="G11" s="100">
        <v>0</v>
      </c>
      <c r="H11" s="101"/>
    </row>
    <row r="12" spans="1:8" ht="12.6" thickTop="1" thickBot="1" x14ac:dyDescent="0.25">
      <c r="A12" s="12">
        <v>9</v>
      </c>
      <c r="B12" s="1" t="str">
        <f>IF(A12="","",_xlfn.XLOOKUP($A12,'[3]ANTICIPOS SAN SEBASTIÁN'!$B$1:$B$221,'[3]ANTICIPOS SAN SEBASTIÁN'!$I$1:$I$221))</f>
        <v>ULIGAB</v>
      </c>
      <c r="C12" s="2">
        <f>IF(A12="","",IF(_xlfn.XLOOKUP($A12,'[3]ANTICIPOS SAN SEBASTIÁN'!$B$1:$B$221,'[3]ANTICIPOS SAN SEBASTIÁN'!$K$1:$K$221)="","",_xlfn.XLOOKUP($A12,'[3]ANTICIPOS SAN SEBASTIÁN'!$B$1:$B$221,'[3]ANTICIPOS SAN SEBASTIÁN'!$K$1:$K$221)))</f>
        <v>32</v>
      </c>
      <c r="D12" s="16">
        <f t="shared" ca="1" si="0"/>
        <v>0</v>
      </c>
      <c r="E12" s="100">
        <v>0</v>
      </c>
      <c r="F12" s="111"/>
      <c r="G12" s="100">
        <v>0</v>
      </c>
      <c r="H12" s="101"/>
    </row>
    <row r="13" spans="1:8" ht="12.6" thickTop="1" thickBot="1" x14ac:dyDescent="0.25">
      <c r="A13" s="12">
        <v>10</v>
      </c>
      <c r="B13" s="1" t="str">
        <f>IF(A13="","",_xlfn.XLOOKUP($A13,'[3]ANTICIPOS SAN SEBASTIÁN'!$B$1:$B$221,'[3]ANTICIPOS SAN SEBASTIÁN'!$I$1:$I$221))</f>
        <v>ANGEL ALAMEDA</v>
      </c>
      <c r="C13" s="2">
        <f>IF(A13="","",IF(_xlfn.XLOOKUP($A13,'[3]ANTICIPOS SAN SEBASTIÁN'!$B$1:$B$221,'[3]ANTICIPOS SAN SEBASTIÁN'!$K$1:$K$221)="","",_xlfn.XLOOKUP($A13,'[3]ANTICIPOS SAN SEBASTIÁN'!$B$1:$B$221,'[3]ANTICIPOS SAN SEBASTIÁN'!$K$1:$K$221)))</f>
        <v>33</v>
      </c>
      <c r="D13" s="16">
        <f t="shared" ca="1" si="0"/>
        <v>0</v>
      </c>
      <c r="E13" s="100">
        <v>0</v>
      </c>
      <c r="F13" s="111"/>
      <c r="G13" s="100">
        <v>0</v>
      </c>
      <c r="H13" s="101"/>
    </row>
    <row r="14" spans="1:8" ht="12.6" thickTop="1" thickBot="1" x14ac:dyDescent="0.25">
      <c r="A14" s="12">
        <v>11</v>
      </c>
      <c r="B14" s="1" t="str">
        <f>IF(A14="","",_xlfn.XLOOKUP($A14,'[3]ANTICIPOS SAN SEBASTIÁN'!$B$1:$B$221,'[3]ANTICIPOS SAN SEBASTIÁN'!$I$1:$I$221))</f>
        <v>POWER</v>
      </c>
      <c r="C14" s="2">
        <f>IF(A14="","",IF(_xlfn.XLOOKUP($A14,'[3]ANTICIPOS SAN SEBASTIÁN'!$B$1:$B$221,'[3]ANTICIPOS SAN SEBASTIÁN'!$K$1:$K$221)="","",_xlfn.XLOOKUP($A14,'[3]ANTICIPOS SAN SEBASTIÁN'!$B$1:$B$221,'[3]ANTICIPOS SAN SEBASTIÁN'!$K$1:$K$221)))</f>
        <v>33</v>
      </c>
      <c r="D14" s="16">
        <f t="shared" ca="1" si="0"/>
        <v>0</v>
      </c>
      <c r="E14" s="100">
        <v>0</v>
      </c>
      <c r="F14" s="111"/>
      <c r="G14" s="100">
        <v>0</v>
      </c>
      <c r="H14" s="101"/>
    </row>
    <row r="15" spans="1:8" ht="12.6" thickTop="1" thickBot="1" x14ac:dyDescent="0.25">
      <c r="A15" s="12">
        <v>12</v>
      </c>
      <c r="B15" s="1" t="str">
        <f>IF(A15="","",_xlfn.XLOOKUP($A15,'[3]ANTICIPOS SAN SEBASTIÁN'!$B$1:$B$221,'[3]ANTICIPOS SAN SEBASTIÁN'!$I$1:$I$221))</f>
        <v>CONSORCIO RM</v>
      </c>
      <c r="C15" s="2">
        <f>IF(A15="","",IF(_xlfn.XLOOKUP($A15,'[3]ANTICIPOS SAN SEBASTIÁN'!$B$1:$B$221,'[3]ANTICIPOS SAN SEBASTIÁN'!$K$1:$K$221)="","",_xlfn.XLOOKUP($A15,'[3]ANTICIPOS SAN SEBASTIÁN'!$B$1:$B$221,'[3]ANTICIPOS SAN SEBASTIÁN'!$K$1:$K$221)))</f>
        <v>34</v>
      </c>
      <c r="D15" s="16">
        <f t="shared" ca="1" si="0"/>
        <v>0</v>
      </c>
      <c r="E15" s="100">
        <v>0</v>
      </c>
      <c r="F15" s="111"/>
      <c r="G15" s="100">
        <v>0</v>
      </c>
      <c r="H15" s="101"/>
    </row>
    <row r="16" spans="1:8" ht="12.6" thickTop="1" thickBot="1" x14ac:dyDescent="0.25">
      <c r="A16" s="12">
        <v>13</v>
      </c>
      <c r="B16" s="1" t="str">
        <f>IF(A16="","",_xlfn.XLOOKUP($A16,'[3]ANTICIPOS SAN SEBASTIÁN'!$B$1:$B$221,'[3]ANTICIPOS SAN SEBASTIÁN'!$I$1:$I$221))</f>
        <v>CONSORCIO RM</v>
      </c>
      <c r="C16" s="2">
        <f>IF(A16="","",IF(_xlfn.XLOOKUP($A16,'[3]ANTICIPOS SAN SEBASTIÁN'!$B$1:$B$221,'[3]ANTICIPOS SAN SEBASTIÁN'!$K$1:$K$221)="","",_xlfn.XLOOKUP($A16,'[3]ANTICIPOS SAN SEBASTIÁN'!$B$1:$B$221,'[3]ANTICIPOS SAN SEBASTIÁN'!$K$1:$K$221)))</f>
        <v>34</v>
      </c>
      <c r="D16" s="16">
        <f t="shared" ca="1" si="0"/>
        <v>0</v>
      </c>
      <c r="E16" s="100">
        <v>0</v>
      </c>
      <c r="F16" s="111"/>
      <c r="G16" s="100">
        <v>0</v>
      </c>
      <c r="H16" s="101"/>
    </row>
    <row r="17" spans="1:8" ht="12.6" thickTop="1" thickBot="1" x14ac:dyDescent="0.25">
      <c r="A17" s="12">
        <v>14</v>
      </c>
      <c r="B17" s="1" t="str">
        <f>IF(A17="","",_xlfn.XLOOKUP($A17,'[3]ANTICIPOS SAN SEBASTIÁN'!$B$1:$B$221,'[3]ANTICIPOS SAN SEBASTIÁN'!$I$1:$I$221))</f>
        <v>COBYPSA</v>
      </c>
      <c r="C17" s="2">
        <f>IF(A17="","",IF(_xlfn.XLOOKUP($A17,'[3]ANTICIPOS SAN SEBASTIÁN'!$B$1:$B$221,'[3]ANTICIPOS SAN SEBASTIÁN'!$K$1:$K$221)="","",_xlfn.XLOOKUP($A17,'[3]ANTICIPOS SAN SEBASTIÁN'!$B$1:$B$221,'[3]ANTICIPOS SAN SEBASTIÁN'!$K$1:$K$221)))</f>
        <v>35</v>
      </c>
      <c r="D17" s="16">
        <f t="shared" ca="1" si="0"/>
        <v>0</v>
      </c>
      <c r="E17" s="100">
        <v>0</v>
      </c>
      <c r="F17" s="111"/>
      <c r="G17" s="100">
        <v>0</v>
      </c>
      <c r="H17" s="101"/>
    </row>
    <row r="18" spans="1:8" ht="12.6" thickTop="1" thickBot="1" x14ac:dyDescent="0.25">
      <c r="A18" s="13">
        <v>15</v>
      </c>
      <c r="B18" s="14" t="str">
        <f>IF(A18="","",_xlfn.XLOOKUP($A18,'[3]ANTICIPOS SAN SEBASTIÁN'!$B$1:$B$221,'[3]ANTICIPOS SAN SEBASTIÁN'!$I$1:$I$221))</f>
        <v>ANGEL ALAMEDA</v>
      </c>
      <c r="C18" s="15">
        <f>IF(A18="","",IF(_xlfn.XLOOKUP($A18,'[3]ANTICIPOS SAN SEBASTIÁN'!$B$1:$B$221,'[3]ANTICIPOS SAN SEBASTIÁN'!$K$1:$K$221)="","",_xlfn.XLOOKUP($A18,'[3]ANTICIPOS SAN SEBASTIÁN'!$B$1:$B$221,'[3]ANTICIPOS SAN SEBASTIÁN'!$K$1:$K$221)))</f>
        <v>36</v>
      </c>
      <c r="D18" s="16">
        <f ca="1">SUM(D18:ZZ18)</f>
        <v>0</v>
      </c>
      <c r="E18" s="102">
        <v>0</v>
      </c>
      <c r="F18" s="112"/>
      <c r="G18" s="102">
        <v>0</v>
      </c>
      <c r="H18" s="103"/>
    </row>
  </sheetData>
  <mergeCells count="35">
    <mergeCell ref="E7:F7"/>
    <mergeCell ref="G7:H7"/>
    <mergeCell ref="A1:D1"/>
    <mergeCell ref="A2:A5"/>
    <mergeCell ref="B2:B5"/>
    <mergeCell ref="C2:C5"/>
    <mergeCell ref="D2:D5"/>
    <mergeCell ref="E4:F4"/>
    <mergeCell ref="G4:H4"/>
    <mergeCell ref="E5:F5"/>
    <mergeCell ref="G5:H5"/>
    <mergeCell ref="E6:F6"/>
    <mergeCell ref="G6:H6"/>
    <mergeCell ref="E8:F8"/>
    <mergeCell ref="G8:H8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8037-399E-4A62-B4C4-D8A3FED8677C}">
  <sheetPr filterMode="1">
    <pageSetUpPr fitToPage="1"/>
  </sheetPr>
  <dimension ref="A1:AD200"/>
  <sheetViews>
    <sheetView showGridLines="0" view="pageBreakPreview" zoomScaleNormal="100" zoomScaleSheetLayoutView="100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A2" sqref="A2:A4"/>
    </sheetView>
  </sheetViews>
  <sheetFormatPr baseColWidth="10" defaultColWidth="11.375" defaultRowHeight="11.4" x14ac:dyDescent="0.2"/>
  <cols>
    <col min="1" max="1" width="11.25" style="21" bestFit="1" customWidth="1"/>
    <col min="2" max="2" width="16.625" style="21" bestFit="1" customWidth="1"/>
    <col min="3" max="3" width="10.125" style="21" bestFit="1" customWidth="1"/>
    <col min="4" max="5" width="7.125" style="21" customWidth="1"/>
    <col min="6" max="6" width="18.75" style="54" customWidth="1"/>
    <col min="7" max="7" width="22.375" style="54" customWidth="1"/>
    <col min="8" max="8" width="18.75" style="54" customWidth="1"/>
    <col min="9" max="9" width="19.375" style="21" bestFit="1" customWidth="1"/>
    <col min="10" max="10" width="18.375" style="42" bestFit="1" customWidth="1"/>
    <col min="11" max="11" width="22.5" style="21" customWidth="1"/>
    <col min="12" max="12" width="18.375" style="43" bestFit="1" customWidth="1"/>
    <col min="13" max="13" width="25.75" style="21" customWidth="1"/>
    <col min="14" max="14" width="18.375" style="43" bestFit="1" customWidth="1"/>
    <col min="15" max="15" width="24.125" style="21" customWidth="1"/>
    <col min="16" max="16" width="18.375" style="43" bestFit="1" customWidth="1"/>
    <col min="17" max="17" width="24.25" style="21" customWidth="1"/>
    <col min="18" max="18" width="18.375" style="43" bestFit="1" customWidth="1"/>
    <col min="19" max="19" width="11.375" style="21" customWidth="1"/>
    <col min="20" max="20" width="16" style="21" customWidth="1"/>
    <col min="21" max="21" width="16.75" style="21" bestFit="1" customWidth="1"/>
    <col min="22" max="16384" width="11.375" style="21"/>
  </cols>
  <sheetData>
    <row r="1" spans="1:30" ht="18" thickBot="1" x14ac:dyDescent="0.25">
      <c r="A1" s="95" t="s">
        <v>33</v>
      </c>
      <c r="B1" s="96"/>
      <c r="C1" s="96"/>
      <c r="D1" s="96"/>
      <c r="E1" s="96"/>
      <c r="F1" s="44"/>
      <c r="G1" s="44"/>
      <c r="H1" s="44"/>
      <c r="I1" s="18"/>
      <c r="J1" s="18"/>
      <c r="K1" s="18"/>
      <c r="L1" s="19"/>
      <c r="M1" s="18"/>
      <c r="N1" s="19"/>
      <c r="O1" s="18"/>
      <c r="P1" s="19"/>
      <c r="Q1" s="18"/>
      <c r="R1" s="19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</row>
    <row r="2" spans="1:30" s="23" customFormat="1" ht="15.75" customHeight="1" thickBot="1" x14ac:dyDescent="0.25">
      <c r="A2" s="97" t="s">
        <v>0</v>
      </c>
      <c r="B2" s="97" t="s">
        <v>1</v>
      </c>
      <c r="C2" s="97" t="s">
        <v>2</v>
      </c>
      <c r="D2" s="97" t="s">
        <v>25</v>
      </c>
      <c r="E2" s="97" t="s">
        <v>26</v>
      </c>
      <c r="F2" s="89" t="s">
        <v>37</v>
      </c>
      <c r="G2" s="91" t="s">
        <v>38</v>
      </c>
      <c r="H2" s="93" t="s">
        <v>39</v>
      </c>
      <c r="I2" s="87" t="s">
        <v>27</v>
      </c>
      <c r="J2" s="88"/>
      <c r="K2" s="87" t="s">
        <v>28</v>
      </c>
      <c r="L2" s="88"/>
      <c r="M2" s="87" t="s">
        <v>29</v>
      </c>
      <c r="N2" s="88"/>
      <c r="O2" s="87" t="s">
        <v>30</v>
      </c>
      <c r="P2" s="88"/>
      <c r="Q2" s="87" t="s">
        <v>31</v>
      </c>
      <c r="R2" s="88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 spans="1:30" s="27" customFormat="1" ht="16.8" thickTop="1" thickBot="1" x14ac:dyDescent="0.25">
      <c r="A3" s="98"/>
      <c r="B3" s="98"/>
      <c r="C3" s="98"/>
      <c r="D3" s="98"/>
      <c r="E3" s="98"/>
      <c r="F3" s="90"/>
      <c r="G3" s="92"/>
      <c r="H3" s="94"/>
      <c r="I3" s="24" t="s">
        <v>32</v>
      </c>
      <c r="J3" s="25" t="s">
        <v>5</v>
      </c>
      <c r="K3" s="24" t="s">
        <v>32</v>
      </c>
      <c r="L3" s="25" t="s">
        <v>5</v>
      </c>
      <c r="M3" s="24" t="s">
        <v>32</v>
      </c>
      <c r="N3" s="25" t="s">
        <v>5</v>
      </c>
      <c r="O3" s="24" t="s">
        <v>32</v>
      </c>
      <c r="P3" s="25" t="s">
        <v>5</v>
      </c>
      <c r="Q3" s="24" t="s">
        <v>32</v>
      </c>
      <c r="R3" s="25" t="s">
        <v>5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 s="27" customFormat="1" ht="16.8" thickTop="1" thickBot="1" x14ac:dyDescent="0.25">
      <c r="A4" s="99"/>
      <c r="B4" s="99"/>
      <c r="C4" s="99"/>
      <c r="D4" s="99"/>
      <c r="E4" s="99"/>
      <c r="F4" s="45">
        <f ca="1">SUBTOTAL(9,F5:F24)</f>
        <v>37516674.946860418</v>
      </c>
      <c r="G4" s="45">
        <f ca="1">SUBTOTAL(9,G5:G24)</f>
        <v>37434149.870000005</v>
      </c>
      <c r="H4" s="45">
        <f ca="1">SUBTOTAL(9,H5:H24)</f>
        <v>82525.076860413421</v>
      </c>
      <c r="I4" s="24">
        <f>SUBTOTAL(9,I5:I17)</f>
        <v>14839242.935208851</v>
      </c>
      <c r="J4" s="24">
        <f t="shared" ref="J4:R4" si="0">SUBTOTAL(9,J5:J17)</f>
        <v>13799147.82</v>
      </c>
      <c r="K4" s="24">
        <f t="shared" si="0"/>
        <v>5670094.2215999989</v>
      </c>
      <c r="L4" s="24">
        <f t="shared" si="0"/>
        <v>5332661.209999999</v>
      </c>
      <c r="M4" s="24">
        <f t="shared" si="0"/>
        <v>10259866.34804</v>
      </c>
      <c r="N4" s="24">
        <f>SUBTOTAL(9,N5:N17)</f>
        <v>10662930.260000002</v>
      </c>
      <c r="O4" s="24">
        <f t="shared" si="0"/>
        <v>1288376.5920115632</v>
      </c>
      <c r="P4" s="24">
        <f t="shared" si="0"/>
        <v>2657805.54</v>
      </c>
      <c r="Q4" s="24">
        <f t="shared" si="0"/>
        <v>5459094.8499999996</v>
      </c>
      <c r="R4" s="24">
        <f t="shared" si="0"/>
        <v>4981605.04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</row>
    <row r="5" spans="1:30" ht="16.2" customHeight="1" thickTop="1" thickBot="1" x14ac:dyDescent="0.25">
      <c r="A5" s="28">
        <v>3</v>
      </c>
      <c r="B5" s="29" t="s">
        <v>16</v>
      </c>
      <c r="C5" s="30">
        <v>27</v>
      </c>
      <c r="D5" s="31">
        <v>1</v>
      </c>
      <c r="E5" s="31">
        <v>12</v>
      </c>
      <c r="F5" s="46">
        <f t="shared" ref="F5:F17" ca="1" si="1">SUMIF($I$3:$W$3,"ASIGNADO",I5:V5)</f>
        <v>2055538.1993089626</v>
      </c>
      <c r="G5" s="47">
        <f t="shared" ref="G5:G14" ca="1" si="2">SUMIF($I$3:$W$3,"ACUMULADO",I5:V5)</f>
        <v>2118953.92</v>
      </c>
      <c r="H5" s="48">
        <f ca="1">F5-G5</f>
        <v>-63415.720691037364</v>
      </c>
      <c r="I5" s="32">
        <v>837842.24499228236</v>
      </c>
      <c r="J5" s="33">
        <f>MEXLAM!D6+DAC!D6</f>
        <v>851567.62000000011</v>
      </c>
      <c r="K5" s="32">
        <v>314395.31040000002</v>
      </c>
      <c r="L5" s="33">
        <f>IBM!D6+'PREPA (BLOCK)'!D6</f>
        <v>363253.69999999995</v>
      </c>
      <c r="M5" s="32">
        <v>551482.00319999992</v>
      </c>
      <c r="N5" s="33">
        <f>COMARCA!D6+VALMAR!D6+COMBAG!D6</f>
        <v>503361.7</v>
      </c>
      <c r="O5" s="32">
        <v>71660.475116680318</v>
      </c>
      <c r="P5" s="33">
        <f>GRAFFITI!D6</f>
        <v>134420.90000000002</v>
      </c>
      <c r="Q5" s="32">
        <v>280158.16559999995</v>
      </c>
      <c r="R5" s="33">
        <f>'PREPA (V Y B)'!D6</f>
        <v>266350</v>
      </c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0" ht="18.600000000000001" customHeight="1" thickTop="1" thickBot="1" x14ac:dyDescent="0.25">
      <c r="A6" s="28">
        <v>4</v>
      </c>
      <c r="B6" s="29" t="s">
        <v>17</v>
      </c>
      <c r="C6" s="30">
        <v>27</v>
      </c>
      <c r="D6" s="31">
        <v>13</v>
      </c>
      <c r="E6" s="31">
        <v>24</v>
      </c>
      <c r="F6" s="49">
        <f t="shared" ca="1" si="1"/>
        <v>2758774.5963265551</v>
      </c>
      <c r="G6" s="50">
        <f t="shared" ca="1" si="2"/>
        <v>3397189.21</v>
      </c>
      <c r="H6" s="51">
        <f t="shared" ref="H6:H17" ca="1" si="3">F6-G6</f>
        <v>-638414.61367344484</v>
      </c>
      <c r="I6" s="32">
        <v>1041704.6531823672</v>
      </c>
      <c r="J6" s="33">
        <f>MEXLAM!D7+DAC!D7</f>
        <v>1831408.46</v>
      </c>
      <c r="K6" s="32">
        <v>415590.50880000001</v>
      </c>
      <c r="L6" s="33">
        <f>IBM!D7+'PREPA (BLOCK)'!D7</f>
        <v>430855.37000000005</v>
      </c>
      <c r="M6" s="32">
        <v>785509.60199999996</v>
      </c>
      <c r="N6" s="33">
        <f>COMARCA!D7+VALMAR!D7+COMBAG!D7</f>
        <v>751059.52</v>
      </c>
      <c r="O6" s="32">
        <v>91994.681144187518</v>
      </c>
      <c r="P6" s="33">
        <f>GRAFFITI!D7</f>
        <v>0</v>
      </c>
      <c r="Q6" s="32">
        <v>423975.15120000002</v>
      </c>
      <c r="R6" s="33">
        <f>'PREPA (V Y B)'!D7</f>
        <v>383865.86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0" ht="18.600000000000001" customHeight="1" thickTop="1" thickBot="1" x14ac:dyDescent="0.25">
      <c r="A7" s="28">
        <v>5</v>
      </c>
      <c r="B7" s="29" t="s">
        <v>18</v>
      </c>
      <c r="C7" s="30">
        <v>28</v>
      </c>
      <c r="D7" s="31">
        <v>1</v>
      </c>
      <c r="E7" s="31">
        <v>19</v>
      </c>
      <c r="F7" s="49">
        <f t="shared" ca="1" si="1"/>
        <v>3144291.6737872199</v>
      </c>
      <c r="G7" s="50">
        <f ca="1">SUMIF($I$3:$W$3,"ACUMULADO",I7:V7)</f>
        <v>4106136.7099999995</v>
      </c>
      <c r="H7" s="51">
        <f t="shared" ca="1" si="3"/>
        <v>-961845.03621277958</v>
      </c>
      <c r="I7" s="32">
        <v>1262076.7679130887</v>
      </c>
      <c r="J7" s="33">
        <f>MEXLAM!D8+DAC!D8</f>
        <v>1596310.8</v>
      </c>
      <c r="K7" s="32">
        <v>481096.93839999998</v>
      </c>
      <c r="L7" s="33">
        <f>IBM!D8+'PREPA (BLOCK)'!D8</f>
        <v>631840.49</v>
      </c>
      <c r="M7" s="32">
        <v>827462.51812000002</v>
      </c>
      <c r="N7" s="33">
        <f>COMARCA!D8+VALMAR!D8+COMBAG!D8</f>
        <v>987840.34000000008</v>
      </c>
      <c r="O7" s="32">
        <v>107568.70215413097</v>
      </c>
      <c r="P7" s="33">
        <f>GRAFFITI!D8</f>
        <v>405642.02999999997</v>
      </c>
      <c r="Q7" s="32">
        <v>466086.74719999998</v>
      </c>
      <c r="R7" s="33">
        <f>'PREPA (V Y B)'!D8</f>
        <v>484503.04999999993</v>
      </c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</row>
    <row r="8" spans="1:30" ht="12.6" thickTop="1" thickBot="1" x14ac:dyDescent="0.25">
      <c r="A8" s="28">
        <v>6</v>
      </c>
      <c r="B8" s="29" t="s">
        <v>19</v>
      </c>
      <c r="C8" s="30" t="s">
        <v>20</v>
      </c>
      <c r="D8" s="31" t="s">
        <v>34</v>
      </c>
      <c r="E8" s="31" t="s">
        <v>35</v>
      </c>
      <c r="F8" s="49">
        <f t="shared" ca="1" si="1"/>
        <v>3030739.2746434934</v>
      </c>
      <c r="G8" s="50">
        <f t="shared" ca="1" si="2"/>
        <v>2501361</v>
      </c>
      <c r="H8" s="51">
        <f t="shared" ca="1" si="3"/>
        <v>529378.27464349335</v>
      </c>
      <c r="I8" s="32">
        <v>1202059.7141324361</v>
      </c>
      <c r="J8" s="33">
        <f>MEXLAM!D9+DAC!D9</f>
        <v>543549.9</v>
      </c>
      <c r="K8" s="32">
        <v>453300.35719999997</v>
      </c>
      <c r="L8" s="33">
        <f>IBM!D9+'PREPA (BLOCK)'!D9</f>
        <v>343156.88</v>
      </c>
      <c r="M8" s="32">
        <v>841698.30259999994</v>
      </c>
      <c r="N8" s="33">
        <f>COMARCA!D9+VALMAR!D9+COMBAG!D9</f>
        <v>979593.9</v>
      </c>
      <c r="O8" s="32">
        <v>105433.74791105761</v>
      </c>
      <c r="P8" s="33">
        <f>GRAFFITI!D9</f>
        <v>300882.59999999998</v>
      </c>
      <c r="Q8" s="32">
        <v>428247.15279999992</v>
      </c>
      <c r="R8" s="33">
        <f>'PREPA (V Y B)'!D9</f>
        <v>334177.71999999997</v>
      </c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</row>
    <row r="9" spans="1:30" ht="12.6" thickTop="1" thickBot="1" x14ac:dyDescent="0.25">
      <c r="A9" s="28">
        <v>7</v>
      </c>
      <c r="B9" s="29" t="s">
        <v>21</v>
      </c>
      <c r="C9" s="30">
        <v>31</v>
      </c>
      <c r="D9" s="31">
        <v>1</v>
      </c>
      <c r="E9" s="31">
        <v>12</v>
      </c>
      <c r="F9" s="49">
        <f t="shared" ca="1" si="1"/>
        <v>2011753.2097255425</v>
      </c>
      <c r="G9" s="50">
        <f t="shared" ca="1" si="2"/>
        <v>2286284.6999999997</v>
      </c>
      <c r="H9" s="51">
        <f t="shared" ca="1" si="3"/>
        <v>-274531.49027445726</v>
      </c>
      <c r="I9" s="32">
        <v>782613.16822633799</v>
      </c>
      <c r="J9" s="33">
        <f>MEXLAM!D10+DAC!D10</f>
        <v>1247328.74</v>
      </c>
      <c r="K9" s="32">
        <v>298329.80920000002</v>
      </c>
      <c r="L9" s="33">
        <f>IBM!D10+'PREPA (BLOCK)'!D10</f>
        <v>139829.18</v>
      </c>
      <c r="M9" s="32">
        <v>551398.47739999997</v>
      </c>
      <c r="N9" s="33">
        <f>COMARCA!D10+VALMAR!D10+COMBAG!D10</f>
        <v>706928.36</v>
      </c>
      <c r="O9" s="32">
        <v>68944.680099204576</v>
      </c>
      <c r="P9" s="33">
        <f>GRAFFITI!D10</f>
        <v>192198.41999999998</v>
      </c>
      <c r="Q9" s="32">
        <v>310467.07479999994</v>
      </c>
      <c r="R9" s="33">
        <f>'PREPA (V Y B)'!D10</f>
        <v>0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30" ht="12.6" thickTop="1" thickBot="1" x14ac:dyDescent="0.25">
      <c r="A10" s="28">
        <v>8</v>
      </c>
      <c r="B10" s="29" t="s">
        <v>21</v>
      </c>
      <c r="C10" s="30">
        <v>31</v>
      </c>
      <c r="D10" s="31">
        <v>13</v>
      </c>
      <c r="E10" s="31">
        <v>25</v>
      </c>
      <c r="F10" s="49">
        <f t="shared" ca="1" si="1"/>
        <v>1971772.9886721058</v>
      </c>
      <c r="G10" s="50">
        <f t="shared" ca="1" si="2"/>
        <v>1704224.46</v>
      </c>
      <c r="H10" s="51">
        <f t="shared" ca="1" si="3"/>
        <v>267548.52867210587</v>
      </c>
      <c r="I10" s="32">
        <v>795046.73971299839</v>
      </c>
      <c r="J10" s="33">
        <f>MEXLAM!D11+DAC!D11</f>
        <v>548158</v>
      </c>
      <c r="K10" s="32">
        <v>295962.63199999998</v>
      </c>
      <c r="L10" s="33">
        <f>IBM!D11+'PREPA (BLOCK)'!D11</f>
        <v>297044.10000000003</v>
      </c>
      <c r="M10" s="32">
        <v>522861.52503999998</v>
      </c>
      <c r="N10" s="33">
        <f>COMARCA!D11+VALMAR!D11+COMBAG!D11</f>
        <v>506215.30000000005</v>
      </c>
      <c r="O10" s="32">
        <v>68710.983119107244</v>
      </c>
      <c r="P10" s="33">
        <f>GRAFFITI!D11</f>
        <v>14580.21</v>
      </c>
      <c r="Q10" s="32">
        <v>289191.10879999999</v>
      </c>
      <c r="R10" s="33">
        <f>'PREPA (V Y B)'!D11</f>
        <v>338226.85</v>
      </c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</row>
    <row r="11" spans="1:30" ht="12.6" thickTop="1" thickBot="1" x14ac:dyDescent="0.25">
      <c r="A11" s="28">
        <v>9</v>
      </c>
      <c r="B11" s="29" t="s">
        <v>21</v>
      </c>
      <c r="C11" s="30">
        <v>32</v>
      </c>
      <c r="D11" s="31">
        <v>1</v>
      </c>
      <c r="E11" s="31">
        <v>17</v>
      </c>
      <c r="F11" s="49">
        <f t="shared" ca="1" si="1"/>
        <v>2740717.5990786166</v>
      </c>
      <c r="G11" s="50">
        <f t="shared" ca="1" si="2"/>
        <v>2097266.75</v>
      </c>
      <c r="H11" s="51">
        <f t="shared" ca="1" si="3"/>
        <v>643450.84907861659</v>
      </c>
      <c r="I11" s="32">
        <v>1117122.993323043</v>
      </c>
      <c r="J11" s="33">
        <f>MEXLAM!D12+DAC!D12</f>
        <v>567524.19999999995</v>
      </c>
      <c r="K11" s="32">
        <v>419193.74719999998</v>
      </c>
      <c r="L11" s="33">
        <f>IBM!D12+'PREPA (BLOCK)'!D12</f>
        <v>364273.6</v>
      </c>
      <c r="M11" s="32">
        <v>735309.33759999997</v>
      </c>
      <c r="N11" s="33">
        <f>COMARCA!D12+VALMAR!D12+COMBAG!D12</f>
        <v>613293.16</v>
      </c>
      <c r="O11" s="32">
        <v>95547.300155573757</v>
      </c>
      <c r="P11" s="33">
        <f>GRAFFITI!D12</f>
        <v>0</v>
      </c>
      <c r="Q11" s="32">
        <v>373544.22079999995</v>
      </c>
      <c r="R11" s="33">
        <f>'PREPA (V Y B)'!D12</f>
        <v>552175.79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</row>
    <row r="12" spans="1:30" ht="13.2" customHeight="1" thickTop="1" thickBot="1" x14ac:dyDescent="0.25">
      <c r="A12" s="28">
        <v>10</v>
      </c>
      <c r="B12" s="29" t="s">
        <v>22</v>
      </c>
      <c r="C12" s="30">
        <v>33</v>
      </c>
      <c r="D12" s="31">
        <v>1</v>
      </c>
      <c r="E12" s="31">
        <v>14</v>
      </c>
      <c r="F12" s="49">
        <f t="shared" ca="1" si="1"/>
        <v>2351853.7765070959</v>
      </c>
      <c r="G12" s="50">
        <f t="shared" ca="1" si="2"/>
        <v>2634244.37</v>
      </c>
      <c r="H12" s="51">
        <f t="shared" ca="1" si="3"/>
        <v>-282390.59349290421</v>
      </c>
      <c r="I12" s="32">
        <v>956347.57822299912</v>
      </c>
      <c r="J12" s="33">
        <f>MEXLAM!D13+DAC!D13</f>
        <v>829492.8</v>
      </c>
      <c r="K12" s="32">
        <v>356464.63600000006</v>
      </c>
      <c r="L12" s="33">
        <f>IBM!D13+'PREPA (BLOCK)'!D13</f>
        <v>329261.65999999997</v>
      </c>
      <c r="M12" s="32">
        <v>636364.84311999998</v>
      </c>
      <c r="N12" s="33">
        <f>COMARCA!D13+VALMAR!D13+COMBAG!D13</f>
        <v>688900.79999999993</v>
      </c>
      <c r="O12" s="32">
        <v>82458.556764096953</v>
      </c>
      <c r="P12" s="33">
        <f>GRAFFITI!D13</f>
        <v>483634.39</v>
      </c>
      <c r="Q12" s="32">
        <v>320218.16239999997</v>
      </c>
      <c r="R12" s="33">
        <f>'PREPA (V Y B)'!D13</f>
        <v>302954.72000000003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1:30" ht="18.600000000000001" customHeight="1" thickTop="1" thickBot="1" x14ac:dyDescent="0.25">
      <c r="A13" s="28">
        <v>11</v>
      </c>
      <c r="B13" s="29" t="s">
        <v>18</v>
      </c>
      <c r="C13" s="30">
        <v>33</v>
      </c>
      <c r="D13" s="31">
        <v>15</v>
      </c>
      <c r="E13" s="31">
        <v>30</v>
      </c>
      <c r="F13" s="49">
        <f t="shared" ca="1" si="1"/>
        <v>3305131.6280361284</v>
      </c>
      <c r="G13" s="50">
        <f t="shared" ca="1" si="2"/>
        <v>1999256.51</v>
      </c>
      <c r="H13" s="51">
        <f t="shared" ca="1" si="3"/>
        <v>1305875.1180361283</v>
      </c>
      <c r="I13" s="32">
        <v>1257580.2787091373</v>
      </c>
      <c r="J13" s="33">
        <f>MEXLAM!D14+DAC!D14</f>
        <v>0</v>
      </c>
      <c r="K13" s="32">
        <v>489399.2672</v>
      </c>
      <c r="L13" s="33">
        <f>IBM!D14+'PREPA (BLOCK)'!D14</f>
        <v>347203.14999999997</v>
      </c>
      <c r="M13" s="32">
        <v>948244.45455999998</v>
      </c>
      <c r="N13" s="33">
        <f>COMARCA!D14+VALMAR!D14+COMBAG!D14</f>
        <v>1041788.8700000001</v>
      </c>
      <c r="O13" s="32">
        <v>112445.51356699067</v>
      </c>
      <c r="P13" s="33">
        <f>GRAFFITI!D14</f>
        <v>216075.75</v>
      </c>
      <c r="Q13" s="32">
        <v>497462.11399999994</v>
      </c>
      <c r="R13" s="33">
        <f>'PREPA (V Y B)'!D14</f>
        <v>394188.74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spans="1:30" ht="22.2" customHeight="1" thickTop="1" thickBot="1" x14ac:dyDescent="0.25">
      <c r="A14" s="28">
        <v>12</v>
      </c>
      <c r="B14" s="29" t="s">
        <v>23</v>
      </c>
      <c r="C14" s="30">
        <v>34</v>
      </c>
      <c r="D14" s="31">
        <v>1</v>
      </c>
      <c r="E14" s="31">
        <v>22</v>
      </c>
      <c r="F14" s="49">
        <f t="shared" ca="1" si="1"/>
        <v>3931966.8875893904</v>
      </c>
      <c r="G14" s="50">
        <f t="shared" ca="1" si="2"/>
        <v>3280741.8200000003</v>
      </c>
      <c r="H14" s="51">
        <f t="shared" ca="1" si="3"/>
        <v>651225.06758939009</v>
      </c>
      <c r="I14" s="32">
        <v>1591156.2247855286</v>
      </c>
      <c r="J14" s="33">
        <f>MEXLAM!D15+DAC!D15</f>
        <v>345100</v>
      </c>
      <c r="K14" s="32">
        <v>603587.16159999999</v>
      </c>
      <c r="L14" s="33">
        <f>IBM!D15+'PREPA (BLOCK)'!D15</f>
        <v>589203.97</v>
      </c>
      <c r="M14" s="32">
        <v>1057085.7662800001</v>
      </c>
      <c r="N14" s="33">
        <f>COMARCA!D15+VALMAR!D15+COMBAG!D15</f>
        <v>1195348.1000000001</v>
      </c>
      <c r="O14" s="32">
        <v>135911.9029238619</v>
      </c>
      <c r="P14" s="33">
        <f>GRAFFITI!D15</f>
        <v>470543.28</v>
      </c>
      <c r="Q14" s="32">
        <v>544225.83199999994</v>
      </c>
      <c r="R14" s="33">
        <f>'PREPA (V Y B)'!D15</f>
        <v>680546.47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ht="13.8" customHeight="1" thickTop="1" thickBot="1" x14ac:dyDescent="0.25">
      <c r="A15" s="28">
        <v>13</v>
      </c>
      <c r="B15" s="29" t="s">
        <v>23</v>
      </c>
      <c r="C15" s="30">
        <v>34</v>
      </c>
      <c r="D15" s="31">
        <v>23</v>
      </c>
      <c r="E15" s="31">
        <v>41</v>
      </c>
      <c r="F15" s="49">
        <f t="shared" ca="1" si="1"/>
        <v>3959359.3053763136</v>
      </c>
      <c r="G15" s="50">
        <f ca="1">SUMIF($I$3:$W$3,"ACUMULADO",I15:V15)</f>
        <v>3896158.4000000004</v>
      </c>
      <c r="H15" s="51">
        <f t="shared" ca="1" si="3"/>
        <v>63200.905376313254</v>
      </c>
      <c r="I15" s="32">
        <v>1511585.4284562203</v>
      </c>
      <c r="J15" s="33">
        <f>MEXLAM!D16+DAC!D16</f>
        <v>2022054</v>
      </c>
      <c r="K15" s="32">
        <v>590028.90760000004</v>
      </c>
      <c r="L15" s="33">
        <f>IBM!D16+'PREPA (BLOCK)'!D16</f>
        <v>517645.1</v>
      </c>
      <c r="M15" s="32">
        <v>1128634.9687999999</v>
      </c>
      <c r="N15" s="33">
        <f>COMARCA!D16+VALMAR!D16+COMBAG!D16</f>
        <v>930313.39</v>
      </c>
      <c r="O15" s="32">
        <v>134322.33212009366</v>
      </c>
      <c r="P15" s="33">
        <f>GRAFFITI!D16</f>
        <v>30485.899999999998</v>
      </c>
      <c r="Q15" s="32">
        <v>594787.66839999997</v>
      </c>
      <c r="R15" s="33">
        <f>'PREPA (V Y B)'!D16</f>
        <v>395660.01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0" ht="12.6" thickTop="1" thickBot="1" x14ac:dyDescent="0.25">
      <c r="A16" s="28">
        <v>14</v>
      </c>
      <c r="B16" s="29" t="s">
        <v>24</v>
      </c>
      <c r="C16" s="30">
        <v>35</v>
      </c>
      <c r="D16" s="31">
        <v>1</v>
      </c>
      <c r="E16" s="31">
        <v>20</v>
      </c>
      <c r="F16" s="49">
        <f t="shared" ca="1" si="1"/>
        <v>3233954.2206657841</v>
      </c>
      <c r="G16" s="50">
        <f ca="1">SUMIF($I$3:$W$3,"ACUMULADO",I16:V16)</f>
        <v>3670679.43</v>
      </c>
      <c r="H16" s="51">
        <f t="shared" ca="1" si="3"/>
        <v>-436725.20933421608</v>
      </c>
      <c r="I16" s="32">
        <v>1281921.9982725012</v>
      </c>
      <c r="J16" s="33">
        <f>MEXLAM!D17+DAC!D17</f>
        <v>1635444.56</v>
      </c>
      <c r="K16" s="32">
        <v>486892.02</v>
      </c>
      <c r="L16" s="33">
        <f>IBM!D17+'PREPA (BLOCK)'!D17</f>
        <v>578060.54999999993</v>
      </c>
      <c r="M16" s="32">
        <v>876611.72623999999</v>
      </c>
      <c r="N16" s="33">
        <f>COMARCA!D17+VALMAR!D17+COMBAG!D17</f>
        <v>854129.46</v>
      </c>
      <c r="O16" s="32">
        <v>111319.28935328314</v>
      </c>
      <c r="P16" s="33">
        <f>GRAFFITI!D17</f>
        <v>165693.64000000001</v>
      </c>
      <c r="Q16" s="32">
        <v>477209.18679999997</v>
      </c>
      <c r="R16" s="33">
        <f>'PREPA (V Y B)'!D17</f>
        <v>437351.22000000003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0" ht="53.4" customHeight="1" thickTop="1" thickBot="1" x14ac:dyDescent="0.25">
      <c r="A17" s="28">
        <v>15</v>
      </c>
      <c r="B17" s="29" t="s">
        <v>22</v>
      </c>
      <c r="C17" s="30">
        <v>36</v>
      </c>
      <c r="D17" s="31">
        <v>1</v>
      </c>
      <c r="E17" s="31">
        <v>17</v>
      </c>
      <c r="F17" s="49">
        <f t="shared" ca="1" si="1"/>
        <v>3020821.5871432051</v>
      </c>
      <c r="G17" s="50">
        <f ca="1">SUMIF($I$3:$W$3,"ACUMULADO",I17:V17)</f>
        <v>3741652.59</v>
      </c>
      <c r="H17" s="51">
        <f t="shared" ca="1" si="3"/>
        <v>-720831.00285679474</v>
      </c>
      <c r="I17" s="32">
        <v>1202185.1452799099</v>
      </c>
      <c r="J17" s="33">
        <f>MEXLAM!D18+DAC!D18</f>
        <v>1781208.74</v>
      </c>
      <c r="K17" s="32">
        <v>465852.92599999998</v>
      </c>
      <c r="L17" s="33">
        <f>IBM!D18+'PREPA (BLOCK)'!D18</f>
        <v>401033.45999999996</v>
      </c>
      <c r="M17" s="32">
        <v>797202.82308</v>
      </c>
      <c r="N17" s="33">
        <f>COMARCA!D18+VALMAR!D18+COMBAG!D18</f>
        <v>904157.35999999987</v>
      </c>
      <c r="O17" s="32">
        <v>102058.42758329499</v>
      </c>
      <c r="P17" s="33">
        <f>GRAFFITI!D18</f>
        <v>243648.42</v>
      </c>
      <c r="Q17" s="32">
        <v>453522.26520000002</v>
      </c>
      <c r="R17" s="33">
        <f>'PREPA (V Y B)'!D18</f>
        <v>411604.61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1:30" ht="12" hidden="1" thickTop="1" x14ac:dyDescent="0.2">
      <c r="A18" s="34"/>
      <c r="B18" s="35" t="str">
        <f>IF(A18="","",_xlfn.XLOOKUP($A18,'[2]ANTICIPOS SAN FERMÍN'!$B$1:$B$1000,'[2]ANTICIPOS SAN FERMÍN'!$I$1:$I$1000))</f>
        <v/>
      </c>
      <c r="C18" s="36" t="str">
        <f>IF(A18="","",IF(_xlfn.XLOOKUP($A18,'[2]ANTICIPOS SAN FERMÍN'!$B$1:$B$1000,'[2]ANTICIPOS SAN FERMÍN'!$K$1:$K$1000)="","",_xlfn.XLOOKUP($A18,'[2]ANTICIPOS SAN FERMÍN'!$B$1:$B$1000,'[2]ANTICIPOS SAN FERMÍN'!$K$1:$K$1000)))</f>
        <v/>
      </c>
      <c r="D18" s="37" t="str">
        <f>IF(A18="","",_xlfn.XLOOKUP($A18,'[2]ANTICIPOS SAN FERMÍN'!$B$1:$B$1000,'[2]ANTICIPOS SAN FERMÍN'!$M$1:$M$1000))</f>
        <v/>
      </c>
      <c r="E18" s="37" t="str">
        <f>IF(A18="","",_xlfn.XLOOKUP($A18,'[2]ANTICIPOS SAN FERMÍN'!$B$1:$B$1000,'[2]ANTICIPOS SAN FERMÍN'!$O$1:$O$1000))</f>
        <v/>
      </c>
      <c r="F18" s="52"/>
      <c r="G18" s="52"/>
      <c r="H18" s="53"/>
      <c r="I18" s="38" t="str">
        <f>IF(A18="","",_xlfn.XLOOKUP($A18,'[2]ANTICIPOS SAN FERMÍN'!$C$1:$C$1000,'[2]ANTICIPOS SAN FERMÍN'!$H$1:$H$1000))</f>
        <v/>
      </c>
      <c r="J18" s="39"/>
      <c r="K18" s="38" t="str">
        <f>IF(A18="","",_xlfn.XLOOKUP($A18,'[2]ANTICIPOS SAN FERMÍN'!$C$1:$C$1000,'[2]ANTICIPOS SAN FERMÍN'!$I$1:$I$1000))</f>
        <v/>
      </c>
      <c r="L18" s="39"/>
      <c r="M18" s="38" t="str">
        <f>IF(A18="","",_xlfn.XLOOKUP($A18,'[2]ANTICIPOS SAN FERMÍN'!$C$1:$C$1000,'[2]ANTICIPOS SAN FERMÍN'!$J$1:$J$1000))</f>
        <v/>
      </c>
      <c r="N18" s="39"/>
      <c r="O18" s="38" t="str">
        <f>IF(A18="","",_xlfn.XLOOKUP($A18,'[2]ANTICIPOS SAN FERMÍN'!$C$1:$C$1000,'[2]ANTICIPOS SAN FERMÍN'!$L$1:$L$1000))</f>
        <v/>
      </c>
      <c r="P18" s="39"/>
      <c r="Q18" s="38" t="str">
        <f>IF(A18="","",_xlfn.XLOOKUP($A18,'[2]ANTICIPOS SAN FERMÍN'!$C$1:$C$1000,'[2]ANTICIPOS SAN FERMÍN'!$N$1:$N$1000))</f>
        <v/>
      </c>
      <c r="R18" s="39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hidden="1" x14ac:dyDescent="0.2">
      <c r="A19" s="34"/>
      <c r="B19" s="35" t="str">
        <f>IF(A19="","",_xlfn.XLOOKUP($A19,'[2]ANTICIPOS SAN FERMÍN'!$B$1:$B$1000,'[2]ANTICIPOS SAN FERMÍN'!$I$1:$I$1000))</f>
        <v/>
      </c>
      <c r="C19" s="36" t="str">
        <f>IF(A19="","",IF(_xlfn.XLOOKUP($A19,'[2]ANTICIPOS SAN FERMÍN'!$B$1:$B$1000,'[2]ANTICIPOS SAN FERMÍN'!$K$1:$K$1000)="","",_xlfn.XLOOKUP($A19,'[2]ANTICIPOS SAN FERMÍN'!$B$1:$B$1000,'[2]ANTICIPOS SAN FERMÍN'!$K$1:$K$1000)))</f>
        <v/>
      </c>
      <c r="D19" s="37" t="str">
        <f>IF(A19="","",_xlfn.XLOOKUP($A19,'[2]ANTICIPOS SAN FERMÍN'!$B$1:$B$1000,'[2]ANTICIPOS SAN FERMÍN'!$M$1:$M$1000))</f>
        <v/>
      </c>
      <c r="E19" s="37" t="str">
        <f>IF(A19="","",_xlfn.XLOOKUP($A19,'[2]ANTICIPOS SAN FERMÍN'!$B$1:$B$1000,'[2]ANTICIPOS SAN FERMÍN'!$O$1:$O$1000))</f>
        <v/>
      </c>
      <c r="F19" s="52"/>
      <c r="G19" s="52"/>
      <c r="H19" s="53"/>
      <c r="I19" s="38" t="str">
        <f>IF(A19="","",_xlfn.XLOOKUP($A19,'[2]ANTICIPOS SAN FERMÍN'!$C$1:$C$1000,'[2]ANTICIPOS SAN FERMÍN'!$H$1:$H$1000))</f>
        <v/>
      </c>
      <c r="J19" s="39"/>
      <c r="K19" s="38" t="str">
        <f>IF(A19="","",_xlfn.XLOOKUP($A19,'[2]ANTICIPOS SAN FERMÍN'!$C$1:$C$1000,'[2]ANTICIPOS SAN FERMÍN'!$I$1:$I$1000))</f>
        <v/>
      </c>
      <c r="L19" s="39"/>
      <c r="M19" s="38" t="str">
        <f>IF(A19="","",_xlfn.XLOOKUP($A19,'[2]ANTICIPOS SAN FERMÍN'!$C$1:$C$1000,'[2]ANTICIPOS SAN FERMÍN'!$J$1:$J$1000))</f>
        <v/>
      </c>
      <c r="N19" s="39"/>
      <c r="O19" s="38" t="str">
        <f>IF(A19="","",_xlfn.XLOOKUP($A19,'[2]ANTICIPOS SAN FERMÍN'!$C$1:$C$1000,'[2]ANTICIPOS SAN FERMÍN'!$L$1:$L$1000))</f>
        <v/>
      </c>
      <c r="P19" s="39"/>
      <c r="Q19" s="38" t="str">
        <f>IF(A19="","",_xlfn.XLOOKUP($A19,'[2]ANTICIPOS SAN FERMÍN'!$C$1:$C$1000,'[2]ANTICIPOS SAN FERMÍN'!$N$1:$N$1000))</f>
        <v/>
      </c>
      <c r="R19" s="39"/>
      <c r="S19" s="20"/>
      <c r="T19" s="20"/>
      <c r="U19" s="20"/>
      <c r="V19" s="20"/>
    </row>
    <row r="20" spans="1:30" hidden="1" x14ac:dyDescent="0.2">
      <c r="A20" s="34"/>
      <c r="B20" s="35" t="str">
        <f>IF(A20="","",_xlfn.XLOOKUP($A20,'[2]ANTICIPOS SAN FERMÍN'!$B$1:$B$1000,'[2]ANTICIPOS SAN FERMÍN'!$I$1:$I$1000))</f>
        <v/>
      </c>
      <c r="C20" s="36" t="str">
        <f>IF(A20="","",IF(_xlfn.XLOOKUP($A20,'[2]ANTICIPOS SAN FERMÍN'!$B$1:$B$1000,'[2]ANTICIPOS SAN FERMÍN'!$K$1:$K$1000)="","",_xlfn.XLOOKUP($A20,'[2]ANTICIPOS SAN FERMÍN'!$B$1:$B$1000,'[2]ANTICIPOS SAN FERMÍN'!$K$1:$K$1000)))</f>
        <v/>
      </c>
      <c r="D20" s="37" t="str">
        <f>IF(A20="","",_xlfn.XLOOKUP($A20,'[2]ANTICIPOS SAN FERMÍN'!$B$1:$B$1000,'[2]ANTICIPOS SAN FERMÍN'!$M$1:$M$1000))</f>
        <v/>
      </c>
      <c r="E20" s="37" t="str">
        <f>IF(A20="","",_xlfn.XLOOKUP($A20,'[2]ANTICIPOS SAN FERMÍN'!$B$1:$B$1000,'[2]ANTICIPOS SAN FERMÍN'!$O$1:$O$1000))</f>
        <v/>
      </c>
      <c r="F20" s="52"/>
      <c r="G20" s="52"/>
      <c r="H20" s="53"/>
      <c r="I20" s="38" t="str">
        <f>IF(A20="","",_xlfn.XLOOKUP($A20,'[2]ANTICIPOS SAN FERMÍN'!$C$1:$C$1000,'[2]ANTICIPOS SAN FERMÍN'!$H$1:$H$1000))</f>
        <v/>
      </c>
      <c r="J20" s="39"/>
      <c r="K20" s="38" t="str">
        <f>IF(A20="","",_xlfn.XLOOKUP($A20,'[2]ANTICIPOS SAN FERMÍN'!$C$1:$C$1000,'[2]ANTICIPOS SAN FERMÍN'!$I$1:$I$1000))</f>
        <v/>
      </c>
      <c r="L20" s="39"/>
      <c r="M20" s="38" t="str">
        <f>IF(A20="","",_xlfn.XLOOKUP($A20,'[2]ANTICIPOS SAN FERMÍN'!$C$1:$C$1000,'[2]ANTICIPOS SAN FERMÍN'!$J$1:$J$1000))</f>
        <v/>
      </c>
      <c r="N20" s="39"/>
      <c r="O20" s="38" t="str">
        <f>IF(A20="","",_xlfn.XLOOKUP($A20,'[2]ANTICIPOS SAN FERMÍN'!$C$1:$C$1000,'[2]ANTICIPOS SAN FERMÍN'!$L$1:$L$1000))</f>
        <v/>
      </c>
      <c r="P20" s="39"/>
      <c r="Q20" s="38" t="str">
        <f>IF(A20="","",_xlfn.XLOOKUP($A20,'[2]ANTICIPOS SAN FERMÍN'!$C$1:$C$1000,'[2]ANTICIPOS SAN FERMÍN'!$N$1:$N$1000))</f>
        <v/>
      </c>
      <c r="R20" s="39"/>
      <c r="S20" s="20"/>
      <c r="T20" s="20"/>
      <c r="U20" s="20"/>
      <c r="V20" s="20"/>
    </row>
    <row r="21" spans="1:30" hidden="1" x14ac:dyDescent="0.2">
      <c r="A21" s="34"/>
      <c r="B21" s="35" t="str">
        <f>IF(A21="","",_xlfn.XLOOKUP($A21,'[2]ANTICIPOS SAN FERMÍN'!$B$1:$B$1000,'[2]ANTICIPOS SAN FERMÍN'!$I$1:$I$1000))</f>
        <v/>
      </c>
      <c r="C21" s="36" t="str">
        <f>IF(A21="","",IF(_xlfn.XLOOKUP($A21,'[2]ANTICIPOS SAN FERMÍN'!$B$1:$B$1000,'[2]ANTICIPOS SAN FERMÍN'!$K$1:$K$1000)="","",_xlfn.XLOOKUP($A21,'[2]ANTICIPOS SAN FERMÍN'!$B$1:$B$1000,'[2]ANTICIPOS SAN FERMÍN'!$K$1:$K$1000)))</f>
        <v/>
      </c>
      <c r="D21" s="37" t="str">
        <f>IF(A21="","",_xlfn.XLOOKUP($A21,'[2]ANTICIPOS SAN FERMÍN'!$B$1:$B$1000,'[2]ANTICIPOS SAN FERMÍN'!$M$1:$M$1000))</f>
        <v/>
      </c>
      <c r="E21" s="37" t="str">
        <f>IF(A21="","",_xlfn.XLOOKUP($A21,'[2]ANTICIPOS SAN FERMÍN'!$B$1:$B$1000,'[2]ANTICIPOS SAN FERMÍN'!$O$1:$O$1000))</f>
        <v/>
      </c>
      <c r="F21" s="52"/>
      <c r="G21" s="52"/>
      <c r="H21" s="53"/>
      <c r="I21" s="38" t="str">
        <f>IF(A21="","",_xlfn.XLOOKUP($A21,'[2]ANTICIPOS SAN FERMÍN'!$C$1:$C$1000,'[2]ANTICIPOS SAN FERMÍN'!$H$1:$H$1000))</f>
        <v/>
      </c>
      <c r="J21" s="39"/>
      <c r="K21" s="38" t="str">
        <f>IF(A21="","",_xlfn.XLOOKUP($A21,'[2]ANTICIPOS SAN FERMÍN'!$C$1:$C$1000,'[2]ANTICIPOS SAN FERMÍN'!$I$1:$I$1000))</f>
        <v/>
      </c>
      <c r="L21" s="39"/>
      <c r="M21" s="38" t="str">
        <f>IF(A21="","",_xlfn.XLOOKUP($A21,'[2]ANTICIPOS SAN FERMÍN'!$C$1:$C$1000,'[2]ANTICIPOS SAN FERMÍN'!$J$1:$J$1000))</f>
        <v/>
      </c>
      <c r="N21" s="39"/>
      <c r="O21" s="38" t="str">
        <f>IF(A21="","",_xlfn.XLOOKUP($A21,'[2]ANTICIPOS SAN FERMÍN'!$C$1:$C$1000,'[2]ANTICIPOS SAN FERMÍN'!$L$1:$L$1000))</f>
        <v/>
      </c>
      <c r="P21" s="39"/>
      <c r="Q21" s="38" t="str">
        <f>IF(A21="","",_xlfn.XLOOKUP($A21,'[2]ANTICIPOS SAN FERMÍN'!$C$1:$C$1000,'[2]ANTICIPOS SAN FERMÍN'!$N$1:$N$1000))</f>
        <v/>
      </c>
      <c r="R21" s="39"/>
      <c r="S21" s="20"/>
      <c r="T21" s="20"/>
      <c r="U21" s="20"/>
      <c r="V21" s="20"/>
    </row>
    <row r="22" spans="1:30" hidden="1" x14ac:dyDescent="0.2">
      <c r="A22" s="34"/>
      <c r="B22" s="35" t="str">
        <f>IF(A22="","",_xlfn.XLOOKUP($A22,'[2]ANTICIPOS SAN FERMÍN'!$B$1:$B$1000,'[2]ANTICIPOS SAN FERMÍN'!$I$1:$I$1000))</f>
        <v/>
      </c>
      <c r="C22" s="36" t="str">
        <f>IF(A22="","",IF(_xlfn.XLOOKUP($A22,'[2]ANTICIPOS SAN FERMÍN'!$B$1:$B$1000,'[2]ANTICIPOS SAN FERMÍN'!$K$1:$K$1000)="","",_xlfn.XLOOKUP($A22,'[2]ANTICIPOS SAN FERMÍN'!$B$1:$B$1000,'[2]ANTICIPOS SAN FERMÍN'!$K$1:$K$1000)))</f>
        <v/>
      </c>
      <c r="D22" s="37" t="str">
        <f>IF(A22="","",_xlfn.XLOOKUP($A22,'[2]ANTICIPOS SAN FERMÍN'!$B$1:$B$1000,'[2]ANTICIPOS SAN FERMÍN'!$M$1:$M$1000))</f>
        <v/>
      </c>
      <c r="E22" s="37" t="str">
        <f>IF(A22="","",_xlfn.XLOOKUP($A22,'[2]ANTICIPOS SAN FERMÍN'!$B$1:$B$1000,'[2]ANTICIPOS SAN FERMÍN'!$O$1:$O$1000))</f>
        <v/>
      </c>
      <c r="F22" s="52"/>
      <c r="G22" s="52"/>
      <c r="H22" s="53"/>
      <c r="I22" s="38" t="str">
        <f>IF(A22="","",_xlfn.XLOOKUP($A22,'[2]ANTICIPOS SAN FERMÍN'!$C$1:$C$1000,'[2]ANTICIPOS SAN FERMÍN'!$H$1:$H$1000))</f>
        <v/>
      </c>
      <c r="J22" s="39"/>
      <c r="K22" s="38" t="str">
        <f>IF(A22="","",_xlfn.XLOOKUP($A22,'[2]ANTICIPOS SAN FERMÍN'!$C$1:$C$1000,'[2]ANTICIPOS SAN FERMÍN'!$I$1:$I$1000))</f>
        <v/>
      </c>
      <c r="L22" s="39"/>
      <c r="M22" s="38" t="str">
        <f>IF(A22="","",_xlfn.XLOOKUP($A22,'[2]ANTICIPOS SAN FERMÍN'!$C$1:$C$1000,'[2]ANTICIPOS SAN FERMÍN'!$J$1:$J$1000))</f>
        <v/>
      </c>
      <c r="N22" s="39"/>
      <c r="O22" s="38" t="str">
        <f>IF(A22="","",_xlfn.XLOOKUP($A22,'[2]ANTICIPOS SAN FERMÍN'!$C$1:$C$1000,'[2]ANTICIPOS SAN FERMÍN'!$L$1:$L$1000))</f>
        <v/>
      </c>
      <c r="P22" s="39"/>
      <c r="Q22" s="38" t="str">
        <f>IF(A22="","",_xlfn.XLOOKUP($A22,'[2]ANTICIPOS SAN FERMÍN'!$C$1:$C$1000,'[2]ANTICIPOS SAN FERMÍN'!$N$1:$N$1000))</f>
        <v/>
      </c>
      <c r="R22" s="39"/>
    </row>
    <row r="23" spans="1:30" hidden="1" x14ac:dyDescent="0.2">
      <c r="A23" s="34"/>
      <c r="B23" s="35" t="str">
        <f>IF(A23="","",_xlfn.XLOOKUP($A23,'[2]ANTICIPOS SAN FERMÍN'!$B$1:$B$1000,'[2]ANTICIPOS SAN FERMÍN'!$I$1:$I$1000))</f>
        <v/>
      </c>
      <c r="C23" s="36" t="str">
        <f>IF(A23="","",IF(_xlfn.XLOOKUP($A23,'[2]ANTICIPOS SAN FERMÍN'!$B$1:$B$1000,'[2]ANTICIPOS SAN FERMÍN'!$K$1:$K$1000)="","",_xlfn.XLOOKUP($A23,'[2]ANTICIPOS SAN FERMÍN'!$B$1:$B$1000,'[2]ANTICIPOS SAN FERMÍN'!$K$1:$K$1000)))</f>
        <v/>
      </c>
      <c r="D23" s="37" t="str">
        <f>IF(A23="","",_xlfn.XLOOKUP($A23,'[2]ANTICIPOS SAN FERMÍN'!$B$1:$B$1000,'[2]ANTICIPOS SAN FERMÍN'!$M$1:$M$1000))</f>
        <v/>
      </c>
      <c r="E23" s="37" t="str">
        <f>IF(A23="","",_xlfn.XLOOKUP($A23,'[2]ANTICIPOS SAN FERMÍN'!$B$1:$B$1000,'[2]ANTICIPOS SAN FERMÍN'!$O$1:$O$1000))</f>
        <v/>
      </c>
      <c r="F23" s="52"/>
      <c r="G23" s="52"/>
      <c r="H23" s="53"/>
      <c r="I23" s="38" t="str">
        <f>IF(A23="","",_xlfn.XLOOKUP($A23,'[2]ANTICIPOS SAN FERMÍN'!$C$1:$C$1000,'[2]ANTICIPOS SAN FERMÍN'!$H$1:$H$1000))</f>
        <v/>
      </c>
      <c r="J23" s="39"/>
      <c r="K23" s="38" t="str">
        <f>IF(A23="","",_xlfn.XLOOKUP($A23,'[2]ANTICIPOS SAN FERMÍN'!$C$1:$C$1000,'[2]ANTICIPOS SAN FERMÍN'!$I$1:$I$1000))</f>
        <v/>
      </c>
      <c r="L23" s="39"/>
      <c r="M23" s="38" t="str">
        <f>IF(A23="","",_xlfn.XLOOKUP($A23,'[2]ANTICIPOS SAN FERMÍN'!$C$1:$C$1000,'[2]ANTICIPOS SAN FERMÍN'!$J$1:$J$1000))</f>
        <v/>
      </c>
      <c r="N23" s="39"/>
      <c r="O23" s="38" t="str">
        <f>IF(A23="","",_xlfn.XLOOKUP($A23,'[2]ANTICIPOS SAN FERMÍN'!$C$1:$C$1000,'[2]ANTICIPOS SAN FERMÍN'!$L$1:$L$1000))</f>
        <v/>
      </c>
      <c r="P23" s="39"/>
      <c r="Q23" s="38" t="str">
        <f>IF(A23="","",_xlfn.XLOOKUP($A23,'[2]ANTICIPOS SAN FERMÍN'!$C$1:$C$1000,'[2]ANTICIPOS SAN FERMÍN'!$N$1:$N$1000))</f>
        <v/>
      </c>
      <c r="R23" s="39"/>
      <c r="S23" s="40"/>
      <c r="T23" s="40"/>
      <c r="U23" s="40"/>
      <c r="V23" s="40"/>
    </row>
    <row r="24" spans="1:30" hidden="1" x14ac:dyDescent="0.2">
      <c r="A24" s="34"/>
      <c r="B24" s="35" t="str">
        <f>IF(A24="","",_xlfn.XLOOKUP($A24,'[2]ANTICIPOS SAN FERMÍN'!$B$1:$B$1000,'[2]ANTICIPOS SAN FERMÍN'!$I$1:$I$1000))</f>
        <v/>
      </c>
      <c r="C24" s="36" t="str">
        <f>IF(A24="","",IF(_xlfn.XLOOKUP($A24,'[2]ANTICIPOS SAN FERMÍN'!$B$1:$B$1000,'[2]ANTICIPOS SAN FERMÍN'!$K$1:$K$1000)="","",_xlfn.XLOOKUP($A24,'[2]ANTICIPOS SAN FERMÍN'!$B$1:$B$1000,'[2]ANTICIPOS SAN FERMÍN'!$K$1:$K$1000)))</f>
        <v/>
      </c>
      <c r="D24" s="37" t="str">
        <f>IF(A24="","",_xlfn.XLOOKUP($A24,'[2]ANTICIPOS SAN FERMÍN'!$B$1:$B$1000,'[2]ANTICIPOS SAN FERMÍN'!$M$1:$M$1000))</f>
        <v/>
      </c>
      <c r="E24" s="37" t="str">
        <f>IF(A24="","",_xlfn.XLOOKUP($A24,'[2]ANTICIPOS SAN FERMÍN'!$B$1:$B$1000,'[2]ANTICIPOS SAN FERMÍN'!$O$1:$O$1000))</f>
        <v/>
      </c>
      <c r="F24" s="52"/>
      <c r="G24" s="52"/>
      <c r="H24" s="53"/>
      <c r="I24" s="38" t="str">
        <f>IF(A24="","",_xlfn.XLOOKUP($A24,'[2]ANTICIPOS SAN FERMÍN'!$C$1:$C$1000,'[2]ANTICIPOS SAN FERMÍN'!$H$1:$H$1000))</f>
        <v/>
      </c>
      <c r="J24" s="39"/>
      <c r="K24" s="38" t="str">
        <f>IF(A24="","",_xlfn.XLOOKUP($A24,'[2]ANTICIPOS SAN FERMÍN'!$C$1:$C$1000,'[2]ANTICIPOS SAN FERMÍN'!$I$1:$I$1000))</f>
        <v/>
      </c>
      <c r="L24" s="39"/>
      <c r="M24" s="38" t="str">
        <f>IF(A24="","",_xlfn.XLOOKUP($A24,'[2]ANTICIPOS SAN FERMÍN'!$C$1:$C$1000,'[2]ANTICIPOS SAN FERMÍN'!$J$1:$J$1000))</f>
        <v/>
      </c>
      <c r="N24" s="39"/>
      <c r="O24" s="38" t="str">
        <f>IF(A24="","",_xlfn.XLOOKUP($A24,'[2]ANTICIPOS SAN FERMÍN'!$C$1:$C$1000,'[2]ANTICIPOS SAN FERMÍN'!$L$1:$L$1000))</f>
        <v/>
      </c>
      <c r="P24" s="39"/>
      <c r="Q24" s="38" t="str">
        <f>IF(A24="","",_xlfn.XLOOKUP($A24,'[2]ANTICIPOS SAN FERMÍN'!$C$1:$C$1000,'[2]ANTICIPOS SAN FERMÍN'!$N$1:$N$1000))</f>
        <v/>
      </c>
      <c r="R24" s="39"/>
    </row>
    <row r="25" spans="1:30" hidden="1" x14ac:dyDescent="0.2">
      <c r="A25" s="34"/>
      <c r="B25" s="35" t="str">
        <f>IF(A25="","",_xlfn.XLOOKUP($A25,'[2]ANTICIPOS SAN FERMÍN'!$B$1:$B$1000,'[2]ANTICIPOS SAN FERMÍN'!$I$1:$I$1000))</f>
        <v/>
      </c>
      <c r="C25" s="36" t="str">
        <f>IF(A25="","",IF(_xlfn.XLOOKUP($A25,'[2]ANTICIPOS SAN FERMÍN'!$B$1:$B$1000,'[2]ANTICIPOS SAN FERMÍN'!$K$1:$K$1000)="","",_xlfn.XLOOKUP($A25,'[2]ANTICIPOS SAN FERMÍN'!$B$1:$B$1000,'[2]ANTICIPOS SAN FERMÍN'!$K$1:$K$1000)))</f>
        <v/>
      </c>
      <c r="D25" s="37" t="str">
        <f>IF(A25="","",_xlfn.XLOOKUP($A25,'[2]ANTICIPOS SAN FERMÍN'!$B$1:$B$1000,'[2]ANTICIPOS SAN FERMÍN'!$M$1:$M$1000))</f>
        <v/>
      </c>
      <c r="E25" s="37" t="str">
        <f>IF(A25="","",_xlfn.XLOOKUP($A25,'[2]ANTICIPOS SAN FERMÍN'!$B$1:$B$1000,'[2]ANTICIPOS SAN FERMÍN'!$O$1:$O$1000))</f>
        <v/>
      </c>
      <c r="F25" s="52"/>
      <c r="G25" s="52"/>
      <c r="H25" s="53"/>
      <c r="I25" s="38" t="str">
        <f>IF(A25="","",_xlfn.XLOOKUP($A25,'[2]ANTICIPOS SAN FERMÍN'!$C$1:$C$1000,'[2]ANTICIPOS SAN FERMÍN'!$H$1:$H$1000))</f>
        <v/>
      </c>
      <c r="J25" s="39"/>
      <c r="K25" s="38" t="str">
        <f>IF(A25="","",_xlfn.XLOOKUP($A25,'[2]ANTICIPOS SAN FERMÍN'!$C$1:$C$1000,'[2]ANTICIPOS SAN FERMÍN'!$I$1:$I$1000))</f>
        <v/>
      </c>
      <c r="L25" s="39"/>
      <c r="M25" s="38" t="str">
        <f>IF(A25="","",_xlfn.XLOOKUP($A25,'[2]ANTICIPOS SAN FERMÍN'!$C$1:$C$1000,'[2]ANTICIPOS SAN FERMÍN'!$J$1:$J$1000))</f>
        <v/>
      </c>
      <c r="N25" s="39"/>
      <c r="O25" s="38" t="str">
        <f>IF(A25="","",_xlfn.XLOOKUP($A25,'[2]ANTICIPOS SAN FERMÍN'!$C$1:$C$1000,'[2]ANTICIPOS SAN FERMÍN'!$L$1:$L$1000))</f>
        <v/>
      </c>
      <c r="P25" s="39"/>
      <c r="Q25" s="38" t="str">
        <f>IF(A25="","",_xlfn.XLOOKUP($A25,'[2]ANTICIPOS SAN FERMÍN'!$C$1:$C$1000,'[2]ANTICIPOS SAN FERMÍN'!$N$1:$N$1000))</f>
        <v/>
      </c>
      <c r="R25" s="39"/>
      <c r="S25" s="40"/>
      <c r="T25" s="40"/>
      <c r="U25" s="40"/>
      <c r="V25" s="40"/>
    </row>
    <row r="26" spans="1:30" hidden="1" x14ac:dyDescent="0.2">
      <c r="A26" s="34"/>
      <c r="B26" s="35" t="str">
        <f>IF(A26="","",_xlfn.XLOOKUP($A26,'[2]ANTICIPOS SAN FERMÍN'!$B$1:$B$1000,'[2]ANTICIPOS SAN FERMÍN'!$I$1:$I$1000))</f>
        <v/>
      </c>
      <c r="C26" s="36" t="str">
        <f>IF(A26="","",IF(_xlfn.XLOOKUP($A26,'[2]ANTICIPOS SAN FERMÍN'!$B$1:$B$1000,'[2]ANTICIPOS SAN FERMÍN'!$K$1:$K$1000)="","",_xlfn.XLOOKUP($A26,'[2]ANTICIPOS SAN FERMÍN'!$B$1:$B$1000,'[2]ANTICIPOS SAN FERMÍN'!$K$1:$K$1000)))</f>
        <v/>
      </c>
      <c r="D26" s="37" t="str">
        <f>IF(A26="","",_xlfn.XLOOKUP($A26,'[2]ANTICIPOS SAN FERMÍN'!$B$1:$B$1000,'[2]ANTICIPOS SAN FERMÍN'!$M$1:$M$1000))</f>
        <v/>
      </c>
      <c r="E26" s="37" t="str">
        <f>IF(A26="","",_xlfn.XLOOKUP($A26,'[2]ANTICIPOS SAN FERMÍN'!$B$1:$B$1000,'[2]ANTICIPOS SAN FERMÍN'!$O$1:$O$1000))</f>
        <v/>
      </c>
      <c r="F26" s="52"/>
      <c r="G26" s="52"/>
      <c r="H26" s="53"/>
      <c r="I26" s="38" t="str">
        <f>IF(A26="","",_xlfn.XLOOKUP($A26,'[2]ANTICIPOS SAN FERMÍN'!$C$1:$C$1000,'[2]ANTICIPOS SAN FERMÍN'!$H$1:$H$1000))</f>
        <v/>
      </c>
      <c r="J26" s="39"/>
      <c r="K26" s="38" t="str">
        <f>IF(A26="","",_xlfn.XLOOKUP($A26,'[2]ANTICIPOS SAN FERMÍN'!$C$1:$C$1000,'[2]ANTICIPOS SAN FERMÍN'!$I$1:$I$1000))</f>
        <v/>
      </c>
      <c r="L26" s="39"/>
      <c r="M26" s="38" t="str">
        <f>IF(A26="","",_xlfn.XLOOKUP($A26,'[2]ANTICIPOS SAN FERMÍN'!$C$1:$C$1000,'[2]ANTICIPOS SAN FERMÍN'!$J$1:$J$1000))</f>
        <v/>
      </c>
      <c r="N26" s="39"/>
      <c r="O26" s="38" t="str">
        <f>IF(A26="","",_xlfn.XLOOKUP($A26,'[2]ANTICIPOS SAN FERMÍN'!$C$1:$C$1000,'[2]ANTICIPOS SAN FERMÍN'!$L$1:$L$1000))</f>
        <v/>
      </c>
      <c r="P26" s="39"/>
      <c r="Q26" s="38" t="str">
        <f>IF(A26="","",_xlfn.XLOOKUP($A26,'[2]ANTICIPOS SAN FERMÍN'!$C$1:$C$1000,'[2]ANTICIPOS SAN FERMÍN'!$N$1:$N$1000))</f>
        <v/>
      </c>
      <c r="R26" s="39"/>
      <c r="S26" s="40"/>
      <c r="T26" s="40"/>
      <c r="U26" s="40"/>
      <c r="V26" s="40"/>
    </row>
    <row r="27" spans="1:30" hidden="1" x14ac:dyDescent="0.2">
      <c r="A27" s="34"/>
      <c r="B27" s="35" t="str">
        <f>IF(A27="","",_xlfn.XLOOKUP($A27,'[2]ANTICIPOS SAN FERMÍN'!$B$1:$B$1000,'[2]ANTICIPOS SAN FERMÍN'!$I$1:$I$1000))</f>
        <v/>
      </c>
      <c r="C27" s="36" t="str">
        <f>IF(A27="","",IF(_xlfn.XLOOKUP($A27,'[2]ANTICIPOS SAN FERMÍN'!$B$1:$B$1000,'[2]ANTICIPOS SAN FERMÍN'!$K$1:$K$1000)="","",_xlfn.XLOOKUP($A27,'[2]ANTICIPOS SAN FERMÍN'!$B$1:$B$1000,'[2]ANTICIPOS SAN FERMÍN'!$K$1:$K$1000)))</f>
        <v/>
      </c>
      <c r="D27" s="37" t="str">
        <f>IF(A27="","",_xlfn.XLOOKUP($A27,'[2]ANTICIPOS SAN FERMÍN'!$B$1:$B$1000,'[2]ANTICIPOS SAN FERMÍN'!$M$1:$M$1000))</f>
        <v/>
      </c>
      <c r="E27" s="37" t="str">
        <f>IF(A27="","",_xlfn.XLOOKUP($A27,'[2]ANTICIPOS SAN FERMÍN'!$B$1:$B$1000,'[2]ANTICIPOS SAN FERMÍN'!$O$1:$O$1000))</f>
        <v/>
      </c>
      <c r="F27" s="52"/>
      <c r="G27" s="52"/>
      <c r="H27" s="53"/>
      <c r="I27" s="38" t="str">
        <f>IF(A27="","",_xlfn.XLOOKUP($A27,'[2]ANTICIPOS SAN FERMÍN'!$C$1:$C$1000,'[2]ANTICIPOS SAN FERMÍN'!$H$1:$H$1000))</f>
        <v/>
      </c>
      <c r="J27" s="39"/>
      <c r="K27" s="38" t="str">
        <f>IF(A27="","",_xlfn.XLOOKUP($A27,'[2]ANTICIPOS SAN FERMÍN'!$C$1:$C$1000,'[2]ANTICIPOS SAN FERMÍN'!$I$1:$I$1000))</f>
        <v/>
      </c>
      <c r="L27" s="39"/>
      <c r="M27" s="38" t="str">
        <f>IF(A27="","",_xlfn.XLOOKUP($A27,'[2]ANTICIPOS SAN FERMÍN'!$C$1:$C$1000,'[2]ANTICIPOS SAN FERMÍN'!$J$1:$J$1000))</f>
        <v/>
      </c>
      <c r="N27" s="39"/>
      <c r="O27" s="38" t="str">
        <f>IF(A27="","",_xlfn.XLOOKUP($A27,'[2]ANTICIPOS SAN FERMÍN'!$C$1:$C$1000,'[2]ANTICIPOS SAN FERMÍN'!$L$1:$L$1000))</f>
        <v/>
      </c>
      <c r="P27" s="39"/>
      <c r="Q27" s="38" t="str">
        <f>IF(A27="","",_xlfn.XLOOKUP($A27,'[2]ANTICIPOS SAN FERMÍN'!$C$1:$C$1000,'[2]ANTICIPOS SAN FERMÍN'!$N$1:$N$1000))</f>
        <v/>
      </c>
      <c r="R27" s="39"/>
      <c r="S27" s="41"/>
      <c r="T27" s="41"/>
      <c r="U27" s="41"/>
      <c r="V27" s="41"/>
    </row>
    <row r="28" spans="1:30" hidden="1" x14ac:dyDescent="0.2">
      <c r="A28" s="34"/>
      <c r="B28" s="35" t="str">
        <f>IF(A28="","",_xlfn.XLOOKUP($A28,'[2]ANTICIPOS SAN FERMÍN'!$B$1:$B$1000,'[2]ANTICIPOS SAN FERMÍN'!$I$1:$I$1000))</f>
        <v/>
      </c>
      <c r="C28" s="36" t="str">
        <f>IF(A28="","",IF(_xlfn.XLOOKUP($A28,'[2]ANTICIPOS SAN FERMÍN'!$B$1:$B$1000,'[2]ANTICIPOS SAN FERMÍN'!$K$1:$K$1000)="","",_xlfn.XLOOKUP($A28,'[2]ANTICIPOS SAN FERMÍN'!$B$1:$B$1000,'[2]ANTICIPOS SAN FERMÍN'!$K$1:$K$1000)))</f>
        <v/>
      </c>
      <c r="D28" s="37" t="str">
        <f>IF(A28="","",_xlfn.XLOOKUP($A28,'[2]ANTICIPOS SAN FERMÍN'!$B$1:$B$1000,'[2]ANTICIPOS SAN FERMÍN'!$M$1:$M$1000))</f>
        <v/>
      </c>
      <c r="E28" s="37" t="str">
        <f>IF(A28="","",_xlfn.XLOOKUP($A28,'[2]ANTICIPOS SAN FERMÍN'!$B$1:$B$1000,'[2]ANTICIPOS SAN FERMÍN'!$O$1:$O$1000))</f>
        <v/>
      </c>
      <c r="F28" s="52"/>
      <c r="G28" s="52"/>
      <c r="H28" s="53"/>
      <c r="I28" s="38" t="str">
        <f>IF(A28="","",_xlfn.XLOOKUP($A28,'[2]ANTICIPOS SAN FERMÍN'!$C$1:$C$1000,'[2]ANTICIPOS SAN FERMÍN'!$H$1:$H$1000))</f>
        <v/>
      </c>
      <c r="J28" s="39"/>
      <c r="K28" s="38" t="str">
        <f>IF(A28="","",_xlfn.XLOOKUP($A28,'[2]ANTICIPOS SAN FERMÍN'!$C$1:$C$1000,'[2]ANTICIPOS SAN FERMÍN'!$I$1:$I$1000))</f>
        <v/>
      </c>
      <c r="L28" s="39"/>
      <c r="M28" s="38" t="str">
        <f>IF(A28="","",_xlfn.XLOOKUP($A28,'[2]ANTICIPOS SAN FERMÍN'!$C$1:$C$1000,'[2]ANTICIPOS SAN FERMÍN'!$J$1:$J$1000))</f>
        <v/>
      </c>
      <c r="N28" s="39"/>
      <c r="O28" s="38" t="str">
        <f>IF(A28="","",_xlfn.XLOOKUP($A28,'[2]ANTICIPOS SAN FERMÍN'!$C$1:$C$1000,'[2]ANTICIPOS SAN FERMÍN'!$L$1:$L$1000))</f>
        <v/>
      </c>
      <c r="P28" s="39"/>
      <c r="Q28" s="38" t="str">
        <f>IF(A28="","",_xlfn.XLOOKUP($A28,'[2]ANTICIPOS SAN FERMÍN'!$C$1:$C$1000,'[2]ANTICIPOS SAN FERMÍN'!$N$1:$N$1000))</f>
        <v/>
      </c>
      <c r="R28" s="39"/>
    </row>
    <row r="29" spans="1:30" hidden="1" x14ac:dyDescent="0.2">
      <c r="A29" s="34"/>
      <c r="B29" s="35" t="str">
        <f>IF(A29="","",_xlfn.XLOOKUP($A29,'[2]ANTICIPOS SAN FERMÍN'!$B$1:$B$1000,'[2]ANTICIPOS SAN FERMÍN'!$I$1:$I$1000))</f>
        <v/>
      </c>
      <c r="C29" s="36" t="str">
        <f>IF(A29="","",IF(_xlfn.XLOOKUP($A29,'[2]ANTICIPOS SAN FERMÍN'!$B$1:$B$1000,'[2]ANTICIPOS SAN FERMÍN'!$K$1:$K$1000)="","",_xlfn.XLOOKUP($A29,'[2]ANTICIPOS SAN FERMÍN'!$B$1:$B$1000,'[2]ANTICIPOS SAN FERMÍN'!$K$1:$K$1000)))</f>
        <v/>
      </c>
      <c r="D29" s="37" t="str">
        <f>IF(A29="","",_xlfn.XLOOKUP($A29,'[2]ANTICIPOS SAN FERMÍN'!$B$1:$B$1000,'[2]ANTICIPOS SAN FERMÍN'!$M$1:$M$1000))</f>
        <v/>
      </c>
      <c r="E29" s="37" t="str">
        <f>IF(A29="","",_xlfn.XLOOKUP($A29,'[2]ANTICIPOS SAN FERMÍN'!$B$1:$B$1000,'[2]ANTICIPOS SAN FERMÍN'!$O$1:$O$1000))</f>
        <v/>
      </c>
      <c r="F29" s="52"/>
      <c r="G29" s="52"/>
      <c r="H29" s="53"/>
      <c r="I29" s="38" t="str">
        <f>IF(A29="","",_xlfn.XLOOKUP($A29,'[2]ANTICIPOS SAN FERMÍN'!$C$1:$C$1000,'[2]ANTICIPOS SAN FERMÍN'!$H$1:$H$1000))</f>
        <v/>
      </c>
      <c r="J29" s="39"/>
      <c r="K29" s="38" t="str">
        <f>IF(A29="","",_xlfn.XLOOKUP($A29,'[2]ANTICIPOS SAN FERMÍN'!$C$1:$C$1000,'[2]ANTICIPOS SAN FERMÍN'!$I$1:$I$1000))</f>
        <v/>
      </c>
      <c r="L29" s="39"/>
      <c r="M29" s="38" t="str">
        <f>IF(A29="","",_xlfn.XLOOKUP($A29,'[2]ANTICIPOS SAN FERMÍN'!$C$1:$C$1000,'[2]ANTICIPOS SAN FERMÍN'!$J$1:$J$1000))</f>
        <v/>
      </c>
      <c r="N29" s="39"/>
      <c r="O29" s="38" t="str">
        <f>IF(A29="","",_xlfn.XLOOKUP($A29,'[2]ANTICIPOS SAN FERMÍN'!$C$1:$C$1000,'[2]ANTICIPOS SAN FERMÍN'!$L$1:$L$1000))</f>
        <v/>
      </c>
      <c r="P29" s="39"/>
      <c r="Q29" s="38" t="str">
        <f>IF(A29="","",_xlfn.XLOOKUP($A29,'[2]ANTICIPOS SAN FERMÍN'!$C$1:$C$1000,'[2]ANTICIPOS SAN FERMÍN'!$N$1:$N$1000))</f>
        <v/>
      </c>
      <c r="R29" s="39"/>
      <c r="W29" s="21">
        <v>9</v>
      </c>
    </row>
    <row r="30" spans="1:30" hidden="1" x14ac:dyDescent="0.2">
      <c r="A30" s="34"/>
      <c r="B30" s="35" t="str">
        <f>IF(A30="","",_xlfn.XLOOKUP($A30,'[2]ANTICIPOS SAN FERMÍN'!$B$1:$B$1000,'[2]ANTICIPOS SAN FERMÍN'!$I$1:$I$1000))</f>
        <v/>
      </c>
      <c r="C30" s="36" t="str">
        <f>IF(A30="","",IF(_xlfn.XLOOKUP($A30,'[2]ANTICIPOS SAN FERMÍN'!$B$1:$B$1000,'[2]ANTICIPOS SAN FERMÍN'!$K$1:$K$1000)="","",_xlfn.XLOOKUP($A30,'[2]ANTICIPOS SAN FERMÍN'!$B$1:$B$1000,'[2]ANTICIPOS SAN FERMÍN'!$K$1:$K$1000)))</f>
        <v/>
      </c>
      <c r="D30" s="37" t="str">
        <f>IF(A30="","",_xlfn.XLOOKUP($A30,'[2]ANTICIPOS SAN FERMÍN'!$B$1:$B$1000,'[2]ANTICIPOS SAN FERMÍN'!$M$1:$M$1000))</f>
        <v/>
      </c>
      <c r="E30" s="37" t="str">
        <f>IF(A30="","",_xlfn.XLOOKUP($A30,'[2]ANTICIPOS SAN FERMÍN'!$B$1:$B$1000,'[2]ANTICIPOS SAN FERMÍN'!$O$1:$O$1000))</f>
        <v/>
      </c>
      <c r="F30" s="52"/>
      <c r="G30" s="52"/>
      <c r="H30" s="53"/>
      <c r="I30" s="38" t="str">
        <f>IF(A30="","",_xlfn.XLOOKUP($A30,'[2]ANTICIPOS SAN FERMÍN'!$C$1:$C$1000,'[2]ANTICIPOS SAN FERMÍN'!$H$1:$H$1000))</f>
        <v/>
      </c>
      <c r="J30" s="39"/>
      <c r="K30" s="38" t="str">
        <f>IF(A30="","",_xlfn.XLOOKUP($A30,'[2]ANTICIPOS SAN FERMÍN'!$C$1:$C$1000,'[2]ANTICIPOS SAN FERMÍN'!$I$1:$I$1000))</f>
        <v/>
      </c>
      <c r="L30" s="39"/>
      <c r="M30" s="38" t="str">
        <f>IF(A30="","",_xlfn.XLOOKUP($A30,'[2]ANTICIPOS SAN FERMÍN'!$C$1:$C$1000,'[2]ANTICIPOS SAN FERMÍN'!$J$1:$J$1000))</f>
        <v/>
      </c>
      <c r="N30" s="39"/>
      <c r="O30" s="38" t="str">
        <f>IF(A30="","",_xlfn.XLOOKUP($A30,'[2]ANTICIPOS SAN FERMÍN'!$C$1:$C$1000,'[2]ANTICIPOS SAN FERMÍN'!$L$1:$L$1000))</f>
        <v/>
      </c>
      <c r="P30" s="39"/>
      <c r="Q30" s="38" t="str">
        <f>IF(A30="","",_xlfn.XLOOKUP($A30,'[2]ANTICIPOS SAN FERMÍN'!$C$1:$C$1000,'[2]ANTICIPOS SAN FERMÍN'!$N$1:$N$1000))</f>
        <v/>
      </c>
      <c r="R30" s="39"/>
    </row>
    <row r="31" spans="1:30" hidden="1" x14ac:dyDescent="0.2">
      <c r="A31" s="34"/>
      <c r="B31" s="35" t="str">
        <f>IF(A31="","",_xlfn.XLOOKUP($A31,'[2]ANTICIPOS SAN FERMÍN'!$B$1:$B$1000,'[2]ANTICIPOS SAN FERMÍN'!$I$1:$I$1000))</f>
        <v/>
      </c>
      <c r="C31" s="36" t="str">
        <f>IF(A31="","",IF(_xlfn.XLOOKUP($A31,'[2]ANTICIPOS SAN FERMÍN'!$B$1:$B$1000,'[2]ANTICIPOS SAN FERMÍN'!$K$1:$K$1000)="","",_xlfn.XLOOKUP($A31,'[2]ANTICIPOS SAN FERMÍN'!$B$1:$B$1000,'[2]ANTICIPOS SAN FERMÍN'!$K$1:$K$1000)))</f>
        <v/>
      </c>
      <c r="D31" s="37" t="str">
        <f>IF(A31="","",_xlfn.XLOOKUP($A31,'[2]ANTICIPOS SAN FERMÍN'!$B$1:$B$1000,'[2]ANTICIPOS SAN FERMÍN'!$M$1:$M$1000))</f>
        <v/>
      </c>
      <c r="E31" s="37" t="str">
        <f>IF(A31="","",_xlfn.XLOOKUP($A31,'[2]ANTICIPOS SAN FERMÍN'!$B$1:$B$1000,'[2]ANTICIPOS SAN FERMÍN'!$O$1:$O$1000))</f>
        <v/>
      </c>
      <c r="F31" s="52"/>
      <c r="G31" s="52"/>
      <c r="H31" s="53"/>
      <c r="I31" s="38" t="str">
        <f>IF(A31="","",_xlfn.XLOOKUP($A31,'[2]ANTICIPOS SAN FERMÍN'!$C$1:$C$1000,'[2]ANTICIPOS SAN FERMÍN'!$H$1:$H$1000))</f>
        <v/>
      </c>
      <c r="J31" s="39"/>
      <c r="K31" s="38" t="str">
        <f>IF(A31="","",_xlfn.XLOOKUP($A31,'[2]ANTICIPOS SAN FERMÍN'!$C$1:$C$1000,'[2]ANTICIPOS SAN FERMÍN'!$I$1:$I$1000))</f>
        <v/>
      </c>
      <c r="L31" s="39"/>
      <c r="M31" s="38" t="str">
        <f>IF(A31="","",_xlfn.XLOOKUP($A31,'[2]ANTICIPOS SAN FERMÍN'!$C$1:$C$1000,'[2]ANTICIPOS SAN FERMÍN'!$J$1:$J$1000))</f>
        <v/>
      </c>
      <c r="N31" s="39"/>
      <c r="O31" s="38" t="str">
        <f>IF(A31="","",_xlfn.XLOOKUP($A31,'[2]ANTICIPOS SAN FERMÍN'!$C$1:$C$1000,'[2]ANTICIPOS SAN FERMÍN'!$L$1:$L$1000))</f>
        <v/>
      </c>
      <c r="P31" s="39"/>
      <c r="Q31" s="38" t="str">
        <f>IF(A31="","",_xlfn.XLOOKUP($A31,'[2]ANTICIPOS SAN FERMÍN'!$C$1:$C$1000,'[2]ANTICIPOS SAN FERMÍN'!$N$1:$N$1000))</f>
        <v/>
      </c>
      <c r="R31" s="39"/>
    </row>
    <row r="32" spans="1:30" hidden="1" x14ac:dyDescent="0.2">
      <c r="A32" s="34"/>
      <c r="B32" s="35" t="str">
        <f>IF(A32="","",_xlfn.XLOOKUP($A32,'[2]ANTICIPOS SAN FERMÍN'!$B$1:$B$1000,'[2]ANTICIPOS SAN FERMÍN'!$I$1:$I$1000))</f>
        <v/>
      </c>
      <c r="C32" s="36" t="str">
        <f>IF(A32="","",IF(_xlfn.XLOOKUP($A32,'[2]ANTICIPOS SAN FERMÍN'!$B$1:$B$1000,'[2]ANTICIPOS SAN FERMÍN'!$K$1:$K$1000)="","",_xlfn.XLOOKUP($A32,'[2]ANTICIPOS SAN FERMÍN'!$B$1:$B$1000,'[2]ANTICIPOS SAN FERMÍN'!$K$1:$K$1000)))</f>
        <v/>
      </c>
      <c r="D32" s="37" t="str">
        <f>IF(A32="","",_xlfn.XLOOKUP($A32,'[2]ANTICIPOS SAN FERMÍN'!$B$1:$B$1000,'[2]ANTICIPOS SAN FERMÍN'!$M$1:$M$1000))</f>
        <v/>
      </c>
      <c r="E32" s="37" t="str">
        <f>IF(A32="","",_xlfn.XLOOKUP($A32,'[2]ANTICIPOS SAN FERMÍN'!$B$1:$B$1000,'[2]ANTICIPOS SAN FERMÍN'!$O$1:$O$1000))</f>
        <v/>
      </c>
      <c r="F32" s="52"/>
      <c r="G32" s="52"/>
      <c r="H32" s="53"/>
      <c r="I32" s="38" t="str">
        <f>IF(A32="","",_xlfn.XLOOKUP($A32,'[2]ANTICIPOS SAN FERMÍN'!$C$1:$C$1000,'[2]ANTICIPOS SAN FERMÍN'!$H$1:$H$1000))</f>
        <v/>
      </c>
      <c r="J32" s="39"/>
      <c r="K32" s="38" t="str">
        <f>IF(A32="","",_xlfn.XLOOKUP($A32,'[2]ANTICIPOS SAN FERMÍN'!$C$1:$C$1000,'[2]ANTICIPOS SAN FERMÍN'!$I$1:$I$1000))</f>
        <v/>
      </c>
      <c r="L32" s="39"/>
      <c r="M32" s="38" t="str">
        <f>IF(A32="","",_xlfn.XLOOKUP($A32,'[2]ANTICIPOS SAN FERMÍN'!$C$1:$C$1000,'[2]ANTICIPOS SAN FERMÍN'!$J$1:$J$1000))</f>
        <v/>
      </c>
      <c r="N32" s="39"/>
      <c r="O32" s="38" t="str">
        <f>IF(A32="","",_xlfn.XLOOKUP($A32,'[2]ANTICIPOS SAN FERMÍN'!$C$1:$C$1000,'[2]ANTICIPOS SAN FERMÍN'!$L$1:$L$1000))</f>
        <v/>
      </c>
      <c r="P32" s="39"/>
      <c r="Q32" s="38" t="str">
        <f>IF(A32="","",_xlfn.XLOOKUP($A32,'[2]ANTICIPOS SAN FERMÍN'!$C$1:$C$1000,'[2]ANTICIPOS SAN FERMÍN'!$N$1:$N$1000))</f>
        <v/>
      </c>
      <c r="R32" s="39"/>
    </row>
    <row r="33" spans="1:18" hidden="1" x14ac:dyDescent="0.2">
      <c r="A33" s="34"/>
      <c r="B33" s="35" t="str">
        <f>IF(A33="","",_xlfn.XLOOKUP($A33,'[2]ANTICIPOS SAN FERMÍN'!$B$1:$B$1000,'[2]ANTICIPOS SAN FERMÍN'!$I$1:$I$1000))</f>
        <v/>
      </c>
      <c r="C33" s="36" t="str">
        <f>IF(A33="","",IF(_xlfn.XLOOKUP($A33,'[2]ANTICIPOS SAN FERMÍN'!$B$1:$B$1000,'[2]ANTICIPOS SAN FERMÍN'!$K$1:$K$1000)="","",_xlfn.XLOOKUP($A33,'[2]ANTICIPOS SAN FERMÍN'!$B$1:$B$1000,'[2]ANTICIPOS SAN FERMÍN'!$K$1:$K$1000)))</f>
        <v/>
      </c>
      <c r="D33" s="37" t="str">
        <f>IF(A33="","",_xlfn.XLOOKUP($A33,'[2]ANTICIPOS SAN FERMÍN'!$B$1:$B$1000,'[2]ANTICIPOS SAN FERMÍN'!$M$1:$M$1000))</f>
        <v/>
      </c>
      <c r="E33" s="37" t="str">
        <f>IF(A33="","",_xlfn.XLOOKUP($A33,'[2]ANTICIPOS SAN FERMÍN'!$B$1:$B$1000,'[2]ANTICIPOS SAN FERMÍN'!$O$1:$O$1000))</f>
        <v/>
      </c>
      <c r="F33" s="52"/>
      <c r="G33" s="52"/>
      <c r="H33" s="53"/>
      <c r="I33" s="38" t="str">
        <f>IF(A33="","",_xlfn.XLOOKUP($A33,'[2]ANTICIPOS SAN FERMÍN'!$C$1:$C$1000,'[2]ANTICIPOS SAN FERMÍN'!$H$1:$H$1000))</f>
        <v/>
      </c>
      <c r="J33" s="39"/>
      <c r="K33" s="38" t="str">
        <f>IF(A33="","",_xlfn.XLOOKUP($A33,'[2]ANTICIPOS SAN FERMÍN'!$C$1:$C$1000,'[2]ANTICIPOS SAN FERMÍN'!$I$1:$I$1000))</f>
        <v/>
      </c>
      <c r="L33" s="39"/>
      <c r="M33" s="38" t="str">
        <f>IF(A33="","",_xlfn.XLOOKUP($A33,'[2]ANTICIPOS SAN FERMÍN'!$C$1:$C$1000,'[2]ANTICIPOS SAN FERMÍN'!$J$1:$J$1000))</f>
        <v/>
      </c>
      <c r="N33" s="39"/>
      <c r="O33" s="38" t="str">
        <f>IF(A33="","",_xlfn.XLOOKUP($A33,'[2]ANTICIPOS SAN FERMÍN'!$C$1:$C$1000,'[2]ANTICIPOS SAN FERMÍN'!$L$1:$L$1000))</f>
        <v/>
      </c>
      <c r="P33" s="39"/>
      <c r="Q33" s="38" t="str">
        <f>IF(A33="","",_xlfn.XLOOKUP($A33,'[2]ANTICIPOS SAN FERMÍN'!$C$1:$C$1000,'[2]ANTICIPOS SAN FERMÍN'!$N$1:$N$1000))</f>
        <v/>
      </c>
      <c r="R33" s="39"/>
    </row>
    <row r="34" spans="1:18" hidden="1" x14ac:dyDescent="0.2">
      <c r="A34" s="34"/>
      <c r="B34" s="35" t="str">
        <f>IF(A34="","",_xlfn.XLOOKUP($A34,'[2]ANTICIPOS SAN FERMÍN'!$B$1:$B$1000,'[2]ANTICIPOS SAN FERMÍN'!$I$1:$I$1000))</f>
        <v/>
      </c>
      <c r="C34" s="36" t="str">
        <f>IF(A34="","",IF(_xlfn.XLOOKUP($A34,'[2]ANTICIPOS SAN FERMÍN'!$B$1:$B$1000,'[2]ANTICIPOS SAN FERMÍN'!$K$1:$K$1000)="","",_xlfn.XLOOKUP($A34,'[2]ANTICIPOS SAN FERMÍN'!$B$1:$B$1000,'[2]ANTICIPOS SAN FERMÍN'!$K$1:$K$1000)))</f>
        <v/>
      </c>
      <c r="D34" s="37" t="str">
        <f>IF(A34="","",_xlfn.XLOOKUP($A34,'[2]ANTICIPOS SAN FERMÍN'!$B$1:$B$1000,'[2]ANTICIPOS SAN FERMÍN'!$M$1:$M$1000))</f>
        <v/>
      </c>
      <c r="E34" s="37" t="str">
        <f>IF(A34="","",_xlfn.XLOOKUP($A34,'[2]ANTICIPOS SAN FERMÍN'!$B$1:$B$1000,'[2]ANTICIPOS SAN FERMÍN'!$O$1:$O$1000))</f>
        <v/>
      </c>
      <c r="F34" s="52"/>
      <c r="G34" s="52"/>
      <c r="H34" s="53"/>
      <c r="I34" s="38" t="str">
        <f>IF(A34="","",_xlfn.XLOOKUP($A34,'[2]ANTICIPOS SAN FERMÍN'!$C$1:$C$1000,'[2]ANTICIPOS SAN FERMÍN'!$H$1:$H$1000))</f>
        <v/>
      </c>
      <c r="J34" s="39"/>
      <c r="K34" s="38" t="str">
        <f>IF(A34="","",_xlfn.XLOOKUP($A34,'[2]ANTICIPOS SAN FERMÍN'!$C$1:$C$1000,'[2]ANTICIPOS SAN FERMÍN'!$I$1:$I$1000))</f>
        <v/>
      </c>
      <c r="L34" s="39"/>
      <c r="M34" s="38" t="str">
        <f>IF(A34="","",_xlfn.XLOOKUP($A34,'[2]ANTICIPOS SAN FERMÍN'!$C$1:$C$1000,'[2]ANTICIPOS SAN FERMÍN'!$J$1:$J$1000))</f>
        <v/>
      </c>
      <c r="N34" s="39"/>
      <c r="O34" s="38" t="str">
        <f>IF(A34="","",_xlfn.XLOOKUP($A34,'[2]ANTICIPOS SAN FERMÍN'!$C$1:$C$1000,'[2]ANTICIPOS SAN FERMÍN'!$L$1:$L$1000))</f>
        <v/>
      </c>
      <c r="P34" s="39"/>
      <c r="Q34" s="38" t="str">
        <f>IF(A34="","",_xlfn.XLOOKUP($A34,'[2]ANTICIPOS SAN FERMÍN'!$C$1:$C$1000,'[2]ANTICIPOS SAN FERMÍN'!$N$1:$N$1000))</f>
        <v/>
      </c>
      <c r="R34" s="39"/>
    </row>
    <row r="35" spans="1:18" hidden="1" x14ac:dyDescent="0.2">
      <c r="A35" s="34"/>
      <c r="B35" s="35" t="str">
        <f>IF(A35="","",_xlfn.XLOOKUP($A35,'[2]ANTICIPOS SAN FERMÍN'!$B$1:$B$1000,'[2]ANTICIPOS SAN FERMÍN'!$I$1:$I$1000))</f>
        <v/>
      </c>
      <c r="C35" s="36" t="str">
        <f>IF(A35="","",IF(_xlfn.XLOOKUP($A35,'[2]ANTICIPOS SAN FERMÍN'!$B$1:$B$1000,'[2]ANTICIPOS SAN FERMÍN'!$K$1:$K$1000)="","",_xlfn.XLOOKUP($A35,'[2]ANTICIPOS SAN FERMÍN'!$B$1:$B$1000,'[2]ANTICIPOS SAN FERMÍN'!$K$1:$K$1000)))</f>
        <v/>
      </c>
      <c r="D35" s="37" t="str">
        <f>IF(A35="","",_xlfn.XLOOKUP($A35,'[2]ANTICIPOS SAN FERMÍN'!$B$1:$B$1000,'[2]ANTICIPOS SAN FERMÍN'!$M$1:$M$1000))</f>
        <v/>
      </c>
      <c r="E35" s="37" t="str">
        <f>IF(A35="","",_xlfn.XLOOKUP($A35,'[2]ANTICIPOS SAN FERMÍN'!$B$1:$B$1000,'[2]ANTICIPOS SAN FERMÍN'!$O$1:$O$1000))</f>
        <v/>
      </c>
      <c r="F35" s="52"/>
      <c r="G35" s="52"/>
      <c r="H35" s="53"/>
      <c r="I35" s="38" t="str">
        <f>IF(A35="","",_xlfn.XLOOKUP($A35,'[2]ANTICIPOS SAN FERMÍN'!$C$1:$C$1000,'[2]ANTICIPOS SAN FERMÍN'!$H$1:$H$1000))</f>
        <v/>
      </c>
      <c r="J35" s="39"/>
      <c r="K35" s="38" t="str">
        <f>IF(A35="","",_xlfn.XLOOKUP($A35,'[2]ANTICIPOS SAN FERMÍN'!$C$1:$C$1000,'[2]ANTICIPOS SAN FERMÍN'!$I$1:$I$1000))</f>
        <v/>
      </c>
      <c r="L35" s="39"/>
      <c r="M35" s="38" t="str">
        <f>IF(A35="","",_xlfn.XLOOKUP($A35,'[2]ANTICIPOS SAN FERMÍN'!$C$1:$C$1000,'[2]ANTICIPOS SAN FERMÍN'!$J$1:$J$1000))</f>
        <v/>
      </c>
      <c r="N35" s="39"/>
      <c r="O35" s="38" t="str">
        <f>IF(A35="","",_xlfn.XLOOKUP($A35,'[2]ANTICIPOS SAN FERMÍN'!$C$1:$C$1000,'[2]ANTICIPOS SAN FERMÍN'!$L$1:$L$1000))</f>
        <v/>
      </c>
      <c r="P35" s="39"/>
      <c r="Q35" s="38" t="str">
        <f>IF(A35="","",_xlfn.XLOOKUP($A35,'[2]ANTICIPOS SAN FERMÍN'!$C$1:$C$1000,'[2]ANTICIPOS SAN FERMÍN'!$N$1:$N$1000))</f>
        <v/>
      </c>
      <c r="R35" s="39"/>
    </row>
    <row r="36" spans="1:18" hidden="1" x14ac:dyDescent="0.2">
      <c r="A36" s="34"/>
      <c r="B36" s="35" t="str">
        <f>IF(A36="","",_xlfn.XLOOKUP($A36,'[2]ANTICIPOS SAN FERMÍN'!$B$1:$B$1000,'[2]ANTICIPOS SAN FERMÍN'!$I$1:$I$1000))</f>
        <v/>
      </c>
      <c r="C36" s="36" t="str">
        <f>IF(A36="","",IF(_xlfn.XLOOKUP($A36,'[2]ANTICIPOS SAN FERMÍN'!$B$1:$B$1000,'[2]ANTICIPOS SAN FERMÍN'!$K$1:$K$1000)="","",_xlfn.XLOOKUP($A36,'[2]ANTICIPOS SAN FERMÍN'!$B$1:$B$1000,'[2]ANTICIPOS SAN FERMÍN'!$K$1:$K$1000)))</f>
        <v/>
      </c>
      <c r="D36" s="37" t="str">
        <f>IF(A36="","",_xlfn.XLOOKUP($A36,'[2]ANTICIPOS SAN FERMÍN'!$B$1:$B$1000,'[2]ANTICIPOS SAN FERMÍN'!$M$1:$M$1000))</f>
        <v/>
      </c>
      <c r="E36" s="37" t="str">
        <f>IF(A36="","",_xlfn.XLOOKUP($A36,'[2]ANTICIPOS SAN FERMÍN'!$B$1:$B$1000,'[2]ANTICIPOS SAN FERMÍN'!$O$1:$O$1000))</f>
        <v/>
      </c>
      <c r="F36" s="52"/>
      <c r="G36" s="52"/>
      <c r="H36" s="53"/>
      <c r="I36" s="38" t="str">
        <f>IF(A36="","",_xlfn.XLOOKUP($A36,'[2]ANTICIPOS SAN FERMÍN'!$C$1:$C$1000,'[2]ANTICIPOS SAN FERMÍN'!$H$1:$H$1000))</f>
        <v/>
      </c>
      <c r="J36" s="39"/>
      <c r="K36" s="38" t="str">
        <f>IF(A36="","",_xlfn.XLOOKUP($A36,'[2]ANTICIPOS SAN FERMÍN'!$C$1:$C$1000,'[2]ANTICIPOS SAN FERMÍN'!$I$1:$I$1000))</f>
        <v/>
      </c>
      <c r="L36" s="39"/>
      <c r="M36" s="38" t="str">
        <f>IF(A36="","",_xlfn.XLOOKUP($A36,'[2]ANTICIPOS SAN FERMÍN'!$C$1:$C$1000,'[2]ANTICIPOS SAN FERMÍN'!$J$1:$J$1000))</f>
        <v/>
      </c>
      <c r="N36" s="39"/>
      <c r="O36" s="38" t="str">
        <f>IF(A36="","",_xlfn.XLOOKUP($A36,'[2]ANTICIPOS SAN FERMÍN'!$C$1:$C$1000,'[2]ANTICIPOS SAN FERMÍN'!$L$1:$L$1000))</f>
        <v/>
      </c>
      <c r="P36" s="39"/>
      <c r="Q36" s="38" t="str">
        <f>IF(A36="","",_xlfn.XLOOKUP($A36,'[2]ANTICIPOS SAN FERMÍN'!$C$1:$C$1000,'[2]ANTICIPOS SAN FERMÍN'!$N$1:$N$1000))</f>
        <v/>
      </c>
      <c r="R36" s="39"/>
    </row>
    <row r="37" spans="1:18" hidden="1" x14ac:dyDescent="0.2">
      <c r="A37" s="34"/>
      <c r="B37" s="35" t="str">
        <f>IF(A37="","",_xlfn.XLOOKUP($A37,'[2]ANTICIPOS SAN FERMÍN'!$B$1:$B$1000,'[2]ANTICIPOS SAN FERMÍN'!$I$1:$I$1000))</f>
        <v/>
      </c>
      <c r="C37" s="36" t="str">
        <f>IF(A37="","",IF(_xlfn.XLOOKUP($A37,'[2]ANTICIPOS SAN FERMÍN'!$B$1:$B$1000,'[2]ANTICIPOS SAN FERMÍN'!$K$1:$K$1000)="","",_xlfn.XLOOKUP($A37,'[2]ANTICIPOS SAN FERMÍN'!$B$1:$B$1000,'[2]ANTICIPOS SAN FERMÍN'!$K$1:$K$1000)))</f>
        <v/>
      </c>
      <c r="D37" s="37" t="str">
        <f>IF(A37="","",_xlfn.XLOOKUP($A37,'[2]ANTICIPOS SAN FERMÍN'!$B$1:$B$1000,'[2]ANTICIPOS SAN FERMÍN'!$M$1:$M$1000))</f>
        <v/>
      </c>
      <c r="E37" s="37" t="str">
        <f>IF(A37="","",_xlfn.XLOOKUP($A37,'[2]ANTICIPOS SAN FERMÍN'!$B$1:$B$1000,'[2]ANTICIPOS SAN FERMÍN'!$O$1:$O$1000))</f>
        <v/>
      </c>
      <c r="F37" s="52"/>
      <c r="G37" s="52"/>
      <c r="H37" s="53"/>
      <c r="I37" s="38" t="str">
        <f>IF(A37="","",_xlfn.XLOOKUP($A37,'[2]ANTICIPOS SAN FERMÍN'!$C$1:$C$1000,'[2]ANTICIPOS SAN FERMÍN'!$H$1:$H$1000))</f>
        <v/>
      </c>
      <c r="J37" s="39"/>
      <c r="K37" s="38" t="str">
        <f>IF(A37="","",_xlfn.XLOOKUP($A37,'[2]ANTICIPOS SAN FERMÍN'!$C$1:$C$1000,'[2]ANTICIPOS SAN FERMÍN'!$I$1:$I$1000))</f>
        <v/>
      </c>
      <c r="L37" s="39"/>
      <c r="M37" s="38" t="str">
        <f>IF(A37="","",_xlfn.XLOOKUP($A37,'[2]ANTICIPOS SAN FERMÍN'!$C$1:$C$1000,'[2]ANTICIPOS SAN FERMÍN'!$J$1:$J$1000))</f>
        <v/>
      </c>
      <c r="N37" s="39"/>
      <c r="O37" s="38" t="str">
        <f>IF(A37="","",_xlfn.XLOOKUP($A37,'[2]ANTICIPOS SAN FERMÍN'!$C$1:$C$1000,'[2]ANTICIPOS SAN FERMÍN'!$L$1:$L$1000))</f>
        <v/>
      </c>
      <c r="P37" s="39"/>
      <c r="Q37" s="38" t="str">
        <f>IF(A37="","",_xlfn.XLOOKUP($A37,'[2]ANTICIPOS SAN FERMÍN'!$C$1:$C$1000,'[2]ANTICIPOS SAN FERMÍN'!$N$1:$N$1000))</f>
        <v/>
      </c>
      <c r="R37" s="39"/>
    </row>
    <row r="38" spans="1:18" hidden="1" x14ac:dyDescent="0.2">
      <c r="A38" s="34"/>
      <c r="B38" s="35" t="str">
        <f>IF(A38="","",_xlfn.XLOOKUP($A38,'[2]ANTICIPOS SAN FERMÍN'!$B$1:$B$1000,'[2]ANTICIPOS SAN FERMÍN'!$I$1:$I$1000))</f>
        <v/>
      </c>
      <c r="C38" s="36" t="str">
        <f>IF(A38="","",IF(_xlfn.XLOOKUP($A38,'[2]ANTICIPOS SAN FERMÍN'!$B$1:$B$1000,'[2]ANTICIPOS SAN FERMÍN'!$K$1:$K$1000)="","",_xlfn.XLOOKUP($A38,'[2]ANTICIPOS SAN FERMÍN'!$B$1:$B$1000,'[2]ANTICIPOS SAN FERMÍN'!$K$1:$K$1000)))</f>
        <v/>
      </c>
      <c r="D38" s="37" t="str">
        <f>IF(A38="","",_xlfn.XLOOKUP($A38,'[2]ANTICIPOS SAN FERMÍN'!$B$1:$B$1000,'[2]ANTICIPOS SAN FERMÍN'!$M$1:$M$1000))</f>
        <v/>
      </c>
      <c r="E38" s="37" t="str">
        <f>IF(A38="","",_xlfn.XLOOKUP($A38,'[2]ANTICIPOS SAN FERMÍN'!$B$1:$B$1000,'[2]ANTICIPOS SAN FERMÍN'!$O$1:$O$1000))</f>
        <v/>
      </c>
      <c r="F38" s="52"/>
      <c r="G38" s="52"/>
      <c r="H38" s="53"/>
      <c r="I38" s="38" t="str">
        <f>IF(A38="","",_xlfn.XLOOKUP($A38,'[2]ANTICIPOS SAN FERMÍN'!$C$1:$C$1000,'[2]ANTICIPOS SAN FERMÍN'!$H$1:$H$1000))</f>
        <v/>
      </c>
      <c r="J38" s="39"/>
      <c r="K38" s="38" t="str">
        <f>IF(A38="","",_xlfn.XLOOKUP($A38,'[2]ANTICIPOS SAN FERMÍN'!$C$1:$C$1000,'[2]ANTICIPOS SAN FERMÍN'!$I$1:$I$1000))</f>
        <v/>
      </c>
      <c r="L38" s="39"/>
      <c r="M38" s="38" t="str">
        <f>IF(A38="","",_xlfn.XLOOKUP($A38,'[2]ANTICIPOS SAN FERMÍN'!$C$1:$C$1000,'[2]ANTICIPOS SAN FERMÍN'!$J$1:$J$1000))</f>
        <v/>
      </c>
      <c r="N38" s="39"/>
      <c r="O38" s="38" t="str">
        <f>IF(A38="","",_xlfn.XLOOKUP($A38,'[2]ANTICIPOS SAN FERMÍN'!$C$1:$C$1000,'[2]ANTICIPOS SAN FERMÍN'!$L$1:$L$1000))</f>
        <v/>
      </c>
      <c r="P38" s="39"/>
      <c r="Q38" s="38" t="str">
        <f>IF(A38="","",_xlfn.XLOOKUP($A38,'[2]ANTICIPOS SAN FERMÍN'!$C$1:$C$1000,'[2]ANTICIPOS SAN FERMÍN'!$N$1:$N$1000))</f>
        <v/>
      </c>
      <c r="R38" s="39"/>
    </row>
    <row r="39" spans="1:18" hidden="1" x14ac:dyDescent="0.2">
      <c r="A39" s="34"/>
      <c r="B39" s="35" t="str">
        <f>IF(A39="","",_xlfn.XLOOKUP($A39,'[2]ANTICIPOS SAN FERMÍN'!$B$1:$B$1000,'[2]ANTICIPOS SAN FERMÍN'!$I$1:$I$1000))</f>
        <v/>
      </c>
      <c r="C39" s="36" t="str">
        <f>IF(A39="","",IF(_xlfn.XLOOKUP($A39,'[2]ANTICIPOS SAN FERMÍN'!$B$1:$B$1000,'[2]ANTICIPOS SAN FERMÍN'!$K$1:$K$1000)="","",_xlfn.XLOOKUP($A39,'[2]ANTICIPOS SAN FERMÍN'!$B$1:$B$1000,'[2]ANTICIPOS SAN FERMÍN'!$K$1:$K$1000)))</f>
        <v/>
      </c>
      <c r="D39" s="37" t="str">
        <f>IF(A39="","",_xlfn.XLOOKUP($A39,'[2]ANTICIPOS SAN FERMÍN'!$B$1:$B$1000,'[2]ANTICIPOS SAN FERMÍN'!$M$1:$M$1000))</f>
        <v/>
      </c>
      <c r="E39" s="37" t="str">
        <f>IF(A39="","",_xlfn.XLOOKUP($A39,'[2]ANTICIPOS SAN FERMÍN'!$B$1:$B$1000,'[2]ANTICIPOS SAN FERMÍN'!$O$1:$O$1000))</f>
        <v/>
      </c>
      <c r="F39" s="52"/>
      <c r="G39" s="52"/>
      <c r="H39" s="53"/>
      <c r="I39" s="38" t="str">
        <f>IF(A39="","",_xlfn.XLOOKUP($A39,'[2]ANTICIPOS SAN FERMÍN'!$C$1:$C$1000,'[2]ANTICIPOS SAN FERMÍN'!$H$1:$H$1000))</f>
        <v/>
      </c>
      <c r="J39" s="39"/>
      <c r="K39" s="38" t="str">
        <f>IF(A39="","",_xlfn.XLOOKUP($A39,'[2]ANTICIPOS SAN FERMÍN'!$C$1:$C$1000,'[2]ANTICIPOS SAN FERMÍN'!$I$1:$I$1000))</f>
        <v/>
      </c>
      <c r="L39" s="39"/>
      <c r="M39" s="38" t="str">
        <f>IF(A39="","",_xlfn.XLOOKUP($A39,'[2]ANTICIPOS SAN FERMÍN'!$C$1:$C$1000,'[2]ANTICIPOS SAN FERMÍN'!$J$1:$J$1000))</f>
        <v/>
      </c>
      <c r="N39" s="39"/>
      <c r="O39" s="38" t="str">
        <f>IF(A39="","",_xlfn.XLOOKUP($A39,'[2]ANTICIPOS SAN FERMÍN'!$C$1:$C$1000,'[2]ANTICIPOS SAN FERMÍN'!$L$1:$L$1000))</f>
        <v/>
      </c>
      <c r="P39" s="39"/>
      <c r="Q39" s="38" t="str">
        <f>IF(A39="","",_xlfn.XLOOKUP($A39,'[2]ANTICIPOS SAN FERMÍN'!$C$1:$C$1000,'[2]ANTICIPOS SAN FERMÍN'!$N$1:$N$1000))</f>
        <v/>
      </c>
      <c r="R39" s="39"/>
    </row>
    <row r="40" spans="1:18" hidden="1" x14ac:dyDescent="0.2">
      <c r="A40" s="34"/>
      <c r="B40" s="35" t="str">
        <f>IF(A40="","",_xlfn.XLOOKUP($A40,'[2]ANTICIPOS SAN FERMÍN'!$B$1:$B$1000,'[2]ANTICIPOS SAN FERMÍN'!$I$1:$I$1000))</f>
        <v/>
      </c>
      <c r="C40" s="36" t="str">
        <f>IF(A40="","",IF(_xlfn.XLOOKUP($A40,'[2]ANTICIPOS SAN FERMÍN'!$B$1:$B$1000,'[2]ANTICIPOS SAN FERMÍN'!$K$1:$K$1000)="","",_xlfn.XLOOKUP($A40,'[2]ANTICIPOS SAN FERMÍN'!$B$1:$B$1000,'[2]ANTICIPOS SAN FERMÍN'!$K$1:$K$1000)))</f>
        <v/>
      </c>
      <c r="D40" s="37" t="str">
        <f>IF(A40="","",_xlfn.XLOOKUP($A40,'[2]ANTICIPOS SAN FERMÍN'!$B$1:$B$1000,'[2]ANTICIPOS SAN FERMÍN'!$M$1:$M$1000))</f>
        <v/>
      </c>
      <c r="E40" s="37" t="str">
        <f>IF(A40="","",_xlfn.XLOOKUP($A40,'[2]ANTICIPOS SAN FERMÍN'!$B$1:$B$1000,'[2]ANTICIPOS SAN FERMÍN'!$O$1:$O$1000))</f>
        <v/>
      </c>
      <c r="F40" s="52"/>
      <c r="G40" s="52"/>
      <c r="H40" s="53"/>
      <c r="I40" s="38" t="str">
        <f>IF(A40="","",_xlfn.XLOOKUP($A40,'[2]ANTICIPOS SAN FERMÍN'!$C$1:$C$1000,'[2]ANTICIPOS SAN FERMÍN'!$H$1:$H$1000))</f>
        <v/>
      </c>
      <c r="J40" s="39"/>
      <c r="K40" s="38" t="str">
        <f>IF(A40="","",_xlfn.XLOOKUP($A40,'[2]ANTICIPOS SAN FERMÍN'!$C$1:$C$1000,'[2]ANTICIPOS SAN FERMÍN'!$I$1:$I$1000))</f>
        <v/>
      </c>
      <c r="L40" s="39"/>
      <c r="M40" s="38" t="str">
        <f>IF(A40="","",_xlfn.XLOOKUP($A40,'[2]ANTICIPOS SAN FERMÍN'!$C$1:$C$1000,'[2]ANTICIPOS SAN FERMÍN'!$J$1:$J$1000))</f>
        <v/>
      </c>
      <c r="N40" s="39"/>
      <c r="O40" s="38" t="str">
        <f>IF(A40="","",_xlfn.XLOOKUP($A40,'[2]ANTICIPOS SAN FERMÍN'!$C$1:$C$1000,'[2]ANTICIPOS SAN FERMÍN'!$L$1:$L$1000))</f>
        <v/>
      </c>
      <c r="P40" s="39"/>
      <c r="Q40" s="38" t="str">
        <f>IF(A40="","",_xlfn.XLOOKUP($A40,'[2]ANTICIPOS SAN FERMÍN'!$C$1:$C$1000,'[2]ANTICIPOS SAN FERMÍN'!$N$1:$N$1000))</f>
        <v/>
      </c>
      <c r="R40" s="39"/>
    </row>
    <row r="41" spans="1:18" hidden="1" x14ac:dyDescent="0.2">
      <c r="A41" s="34"/>
      <c r="B41" s="35" t="str">
        <f>IF(A41="","",_xlfn.XLOOKUP($A41,'[2]ANTICIPOS SAN FERMÍN'!$B$1:$B$1000,'[2]ANTICIPOS SAN FERMÍN'!$I$1:$I$1000))</f>
        <v/>
      </c>
      <c r="C41" s="36" t="str">
        <f>IF(A41="","",IF(_xlfn.XLOOKUP($A41,'[2]ANTICIPOS SAN FERMÍN'!$B$1:$B$1000,'[2]ANTICIPOS SAN FERMÍN'!$K$1:$K$1000)="","",_xlfn.XLOOKUP($A41,'[2]ANTICIPOS SAN FERMÍN'!$B$1:$B$1000,'[2]ANTICIPOS SAN FERMÍN'!$K$1:$K$1000)))</f>
        <v/>
      </c>
      <c r="D41" s="37" t="str">
        <f>IF(A41="","",_xlfn.XLOOKUP($A41,'[2]ANTICIPOS SAN FERMÍN'!$B$1:$B$1000,'[2]ANTICIPOS SAN FERMÍN'!$M$1:$M$1000))</f>
        <v/>
      </c>
      <c r="E41" s="37" t="str">
        <f>IF(A41="","",_xlfn.XLOOKUP($A41,'[2]ANTICIPOS SAN FERMÍN'!$B$1:$B$1000,'[2]ANTICIPOS SAN FERMÍN'!$O$1:$O$1000))</f>
        <v/>
      </c>
      <c r="F41" s="52"/>
      <c r="G41" s="52"/>
      <c r="H41" s="53"/>
      <c r="I41" s="38" t="str">
        <f>IF(A41="","",_xlfn.XLOOKUP($A41,'[2]ANTICIPOS SAN FERMÍN'!$C$1:$C$1000,'[2]ANTICIPOS SAN FERMÍN'!$H$1:$H$1000))</f>
        <v/>
      </c>
      <c r="J41" s="39"/>
      <c r="K41" s="38" t="str">
        <f>IF(A41="","",_xlfn.XLOOKUP($A41,'[2]ANTICIPOS SAN FERMÍN'!$C$1:$C$1000,'[2]ANTICIPOS SAN FERMÍN'!$I$1:$I$1000))</f>
        <v/>
      </c>
      <c r="L41" s="39"/>
      <c r="M41" s="38" t="str">
        <f>IF(A41="","",_xlfn.XLOOKUP($A41,'[2]ANTICIPOS SAN FERMÍN'!$C$1:$C$1000,'[2]ANTICIPOS SAN FERMÍN'!$J$1:$J$1000))</f>
        <v/>
      </c>
      <c r="N41" s="39"/>
      <c r="O41" s="38" t="str">
        <f>IF(A41="","",_xlfn.XLOOKUP($A41,'[2]ANTICIPOS SAN FERMÍN'!$C$1:$C$1000,'[2]ANTICIPOS SAN FERMÍN'!$L$1:$L$1000))</f>
        <v/>
      </c>
      <c r="P41" s="39"/>
      <c r="Q41" s="38" t="str">
        <f>IF(A41="","",_xlfn.XLOOKUP($A41,'[2]ANTICIPOS SAN FERMÍN'!$C$1:$C$1000,'[2]ANTICIPOS SAN FERMÍN'!$N$1:$N$1000))</f>
        <v/>
      </c>
      <c r="R41" s="39"/>
    </row>
    <row r="42" spans="1:18" hidden="1" x14ac:dyDescent="0.2">
      <c r="A42" s="34"/>
      <c r="B42" s="35" t="str">
        <f>IF(A42="","",_xlfn.XLOOKUP($A42,'[2]ANTICIPOS SAN FERMÍN'!$B$1:$B$1000,'[2]ANTICIPOS SAN FERMÍN'!$I$1:$I$1000))</f>
        <v/>
      </c>
      <c r="C42" s="36" t="str">
        <f>IF(A42="","",IF(_xlfn.XLOOKUP($A42,'[2]ANTICIPOS SAN FERMÍN'!$B$1:$B$1000,'[2]ANTICIPOS SAN FERMÍN'!$K$1:$K$1000)="","",_xlfn.XLOOKUP($A42,'[2]ANTICIPOS SAN FERMÍN'!$B$1:$B$1000,'[2]ANTICIPOS SAN FERMÍN'!$K$1:$K$1000)))</f>
        <v/>
      </c>
      <c r="D42" s="37" t="str">
        <f>IF(A42="","",_xlfn.XLOOKUP($A42,'[2]ANTICIPOS SAN FERMÍN'!$B$1:$B$1000,'[2]ANTICIPOS SAN FERMÍN'!$M$1:$M$1000))</f>
        <v/>
      </c>
      <c r="E42" s="37" t="str">
        <f>IF(A42="","",_xlfn.XLOOKUP($A42,'[2]ANTICIPOS SAN FERMÍN'!$B$1:$B$1000,'[2]ANTICIPOS SAN FERMÍN'!$O$1:$O$1000))</f>
        <v/>
      </c>
      <c r="F42" s="52"/>
      <c r="G42" s="52"/>
      <c r="H42" s="53"/>
      <c r="I42" s="38" t="str">
        <f>IF(A42="","",_xlfn.XLOOKUP($A42,'[2]ANTICIPOS SAN FERMÍN'!$C$1:$C$1000,'[2]ANTICIPOS SAN FERMÍN'!$H$1:$H$1000))</f>
        <v/>
      </c>
      <c r="J42" s="39"/>
      <c r="K42" s="38" t="str">
        <f>IF(A42="","",_xlfn.XLOOKUP($A42,'[2]ANTICIPOS SAN FERMÍN'!$C$1:$C$1000,'[2]ANTICIPOS SAN FERMÍN'!$I$1:$I$1000))</f>
        <v/>
      </c>
      <c r="L42" s="39"/>
      <c r="M42" s="38" t="str">
        <f>IF(A42="","",_xlfn.XLOOKUP($A42,'[2]ANTICIPOS SAN FERMÍN'!$C$1:$C$1000,'[2]ANTICIPOS SAN FERMÍN'!$J$1:$J$1000))</f>
        <v/>
      </c>
      <c r="N42" s="39"/>
      <c r="O42" s="38" t="str">
        <f>IF(A42="","",_xlfn.XLOOKUP($A42,'[2]ANTICIPOS SAN FERMÍN'!$C$1:$C$1000,'[2]ANTICIPOS SAN FERMÍN'!$L$1:$L$1000))</f>
        <v/>
      </c>
      <c r="P42" s="39"/>
      <c r="Q42" s="38" t="str">
        <f>IF(A42="","",_xlfn.XLOOKUP($A42,'[2]ANTICIPOS SAN FERMÍN'!$C$1:$C$1000,'[2]ANTICIPOS SAN FERMÍN'!$N$1:$N$1000))</f>
        <v/>
      </c>
      <c r="R42" s="39"/>
    </row>
    <row r="43" spans="1:18" hidden="1" x14ac:dyDescent="0.2">
      <c r="A43" s="34"/>
      <c r="B43" s="35" t="str">
        <f>IF(A43="","",_xlfn.XLOOKUP($A43,'[2]ANTICIPOS SAN FERMÍN'!$B$1:$B$1000,'[2]ANTICIPOS SAN FERMÍN'!$I$1:$I$1000))</f>
        <v/>
      </c>
      <c r="C43" s="36" t="str">
        <f>IF(A43="","",IF(_xlfn.XLOOKUP($A43,'[2]ANTICIPOS SAN FERMÍN'!$B$1:$B$1000,'[2]ANTICIPOS SAN FERMÍN'!$K$1:$K$1000)="","",_xlfn.XLOOKUP($A43,'[2]ANTICIPOS SAN FERMÍN'!$B$1:$B$1000,'[2]ANTICIPOS SAN FERMÍN'!$K$1:$K$1000)))</f>
        <v/>
      </c>
      <c r="D43" s="37" t="str">
        <f>IF(A43="","",_xlfn.XLOOKUP($A43,'[2]ANTICIPOS SAN FERMÍN'!$B$1:$B$1000,'[2]ANTICIPOS SAN FERMÍN'!$M$1:$M$1000))</f>
        <v/>
      </c>
      <c r="E43" s="37" t="str">
        <f>IF(A43="","",_xlfn.XLOOKUP($A43,'[2]ANTICIPOS SAN FERMÍN'!$B$1:$B$1000,'[2]ANTICIPOS SAN FERMÍN'!$O$1:$O$1000))</f>
        <v/>
      </c>
      <c r="F43" s="52"/>
      <c r="G43" s="52"/>
      <c r="H43" s="53"/>
      <c r="I43" s="38" t="str">
        <f>IF(A43="","",_xlfn.XLOOKUP($A43,'[2]ANTICIPOS SAN FERMÍN'!$C$1:$C$1000,'[2]ANTICIPOS SAN FERMÍN'!$H$1:$H$1000))</f>
        <v/>
      </c>
      <c r="J43" s="39"/>
      <c r="K43" s="38" t="str">
        <f>IF(A43="","",_xlfn.XLOOKUP($A43,'[2]ANTICIPOS SAN FERMÍN'!$C$1:$C$1000,'[2]ANTICIPOS SAN FERMÍN'!$I$1:$I$1000))</f>
        <v/>
      </c>
      <c r="L43" s="39"/>
      <c r="M43" s="38" t="str">
        <f>IF(A43="","",_xlfn.XLOOKUP($A43,'[2]ANTICIPOS SAN FERMÍN'!$C$1:$C$1000,'[2]ANTICIPOS SAN FERMÍN'!$J$1:$J$1000))</f>
        <v/>
      </c>
      <c r="N43" s="39"/>
      <c r="O43" s="38" t="str">
        <f>IF(A43="","",_xlfn.XLOOKUP($A43,'[2]ANTICIPOS SAN FERMÍN'!$C$1:$C$1000,'[2]ANTICIPOS SAN FERMÍN'!$L$1:$L$1000))</f>
        <v/>
      </c>
      <c r="P43" s="39"/>
      <c r="Q43" s="38" t="str">
        <f>IF(A43="","",_xlfn.XLOOKUP($A43,'[2]ANTICIPOS SAN FERMÍN'!$C$1:$C$1000,'[2]ANTICIPOS SAN FERMÍN'!$N$1:$N$1000))</f>
        <v/>
      </c>
      <c r="R43" s="39"/>
    </row>
    <row r="44" spans="1:18" hidden="1" x14ac:dyDescent="0.2">
      <c r="A44" s="34"/>
      <c r="B44" s="35" t="str">
        <f>IF(A44="","",_xlfn.XLOOKUP($A44,'[2]ANTICIPOS SAN FERMÍN'!$B$1:$B$1000,'[2]ANTICIPOS SAN FERMÍN'!$I$1:$I$1000))</f>
        <v/>
      </c>
      <c r="C44" s="36" t="str">
        <f>IF(A44="","",IF(_xlfn.XLOOKUP($A44,'[2]ANTICIPOS SAN FERMÍN'!$B$1:$B$1000,'[2]ANTICIPOS SAN FERMÍN'!$K$1:$K$1000)="","",_xlfn.XLOOKUP($A44,'[2]ANTICIPOS SAN FERMÍN'!$B$1:$B$1000,'[2]ANTICIPOS SAN FERMÍN'!$K$1:$K$1000)))</f>
        <v/>
      </c>
      <c r="D44" s="37" t="str">
        <f>IF(A44="","",_xlfn.XLOOKUP($A44,'[2]ANTICIPOS SAN FERMÍN'!$B$1:$B$1000,'[2]ANTICIPOS SAN FERMÍN'!$M$1:$M$1000))</f>
        <v/>
      </c>
      <c r="E44" s="37" t="str">
        <f>IF(A44="","",_xlfn.XLOOKUP($A44,'[2]ANTICIPOS SAN FERMÍN'!$B$1:$B$1000,'[2]ANTICIPOS SAN FERMÍN'!$O$1:$O$1000))</f>
        <v/>
      </c>
      <c r="F44" s="52"/>
      <c r="G44" s="52"/>
      <c r="H44" s="53"/>
      <c r="I44" s="38" t="str">
        <f>IF(A44="","",_xlfn.XLOOKUP($A44,'[2]ANTICIPOS SAN FERMÍN'!$C$1:$C$1000,'[2]ANTICIPOS SAN FERMÍN'!$H$1:$H$1000))</f>
        <v/>
      </c>
      <c r="J44" s="39"/>
      <c r="K44" s="38" t="str">
        <f>IF(A44="","",_xlfn.XLOOKUP($A44,'[2]ANTICIPOS SAN FERMÍN'!$C$1:$C$1000,'[2]ANTICIPOS SAN FERMÍN'!$I$1:$I$1000))</f>
        <v/>
      </c>
      <c r="L44" s="39"/>
      <c r="M44" s="38" t="str">
        <f>IF(A44="","",_xlfn.XLOOKUP($A44,'[2]ANTICIPOS SAN FERMÍN'!$C$1:$C$1000,'[2]ANTICIPOS SAN FERMÍN'!$J$1:$J$1000))</f>
        <v/>
      </c>
      <c r="N44" s="39"/>
      <c r="O44" s="38" t="str">
        <f>IF(A44="","",_xlfn.XLOOKUP($A44,'[2]ANTICIPOS SAN FERMÍN'!$C$1:$C$1000,'[2]ANTICIPOS SAN FERMÍN'!$L$1:$L$1000))</f>
        <v/>
      </c>
      <c r="P44" s="39"/>
      <c r="Q44" s="38" t="str">
        <f>IF(A44="","",_xlfn.XLOOKUP($A44,'[2]ANTICIPOS SAN FERMÍN'!$C$1:$C$1000,'[2]ANTICIPOS SAN FERMÍN'!$N$1:$N$1000))</f>
        <v/>
      </c>
      <c r="R44" s="39"/>
    </row>
    <row r="45" spans="1:18" hidden="1" x14ac:dyDescent="0.2">
      <c r="A45" s="34"/>
      <c r="B45" s="35" t="str">
        <f>IF(A45="","",_xlfn.XLOOKUP($A45,'[2]ANTICIPOS SAN FERMÍN'!$B$1:$B$1000,'[2]ANTICIPOS SAN FERMÍN'!$I$1:$I$1000))</f>
        <v/>
      </c>
      <c r="C45" s="36" t="str">
        <f>IF(A45="","",IF(_xlfn.XLOOKUP($A45,'[2]ANTICIPOS SAN FERMÍN'!$B$1:$B$1000,'[2]ANTICIPOS SAN FERMÍN'!$K$1:$K$1000)="","",_xlfn.XLOOKUP($A45,'[2]ANTICIPOS SAN FERMÍN'!$B$1:$B$1000,'[2]ANTICIPOS SAN FERMÍN'!$K$1:$K$1000)))</f>
        <v/>
      </c>
      <c r="D45" s="37" t="str">
        <f>IF(A45="","",_xlfn.XLOOKUP($A45,'[2]ANTICIPOS SAN FERMÍN'!$B$1:$B$1000,'[2]ANTICIPOS SAN FERMÍN'!$M$1:$M$1000))</f>
        <v/>
      </c>
      <c r="E45" s="37" t="str">
        <f>IF(A45="","",_xlfn.XLOOKUP($A45,'[2]ANTICIPOS SAN FERMÍN'!$B$1:$B$1000,'[2]ANTICIPOS SAN FERMÍN'!$O$1:$O$1000))</f>
        <v/>
      </c>
      <c r="F45" s="52"/>
      <c r="G45" s="52"/>
      <c r="H45" s="53"/>
      <c r="I45" s="38" t="str">
        <f>IF(A45="","",_xlfn.XLOOKUP($A45,'[2]ANTICIPOS SAN FERMÍN'!$C$1:$C$1000,'[2]ANTICIPOS SAN FERMÍN'!$H$1:$H$1000))</f>
        <v/>
      </c>
      <c r="J45" s="39"/>
      <c r="K45" s="38" t="str">
        <f>IF(A45="","",_xlfn.XLOOKUP($A45,'[2]ANTICIPOS SAN FERMÍN'!$C$1:$C$1000,'[2]ANTICIPOS SAN FERMÍN'!$I$1:$I$1000))</f>
        <v/>
      </c>
      <c r="L45" s="39"/>
      <c r="M45" s="38" t="str">
        <f>IF(A45="","",_xlfn.XLOOKUP($A45,'[2]ANTICIPOS SAN FERMÍN'!$C$1:$C$1000,'[2]ANTICIPOS SAN FERMÍN'!$J$1:$J$1000))</f>
        <v/>
      </c>
      <c r="N45" s="39"/>
      <c r="O45" s="38" t="str">
        <f>IF(A45="","",_xlfn.XLOOKUP($A45,'[2]ANTICIPOS SAN FERMÍN'!$C$1:$C$1000,'[2]ANTICIPOS SAN FERMÍN'!$L$1:$L$1000))</f>
        <v/>
      </c>
      <c r="P45" s="39"/>
      <c r="Q45" s="38" t="str">
        <f>IF(A45="","",_xlfn.XLOOKUP($A45,'[2]ANTICIPOS SAN FERMÍN'!$C$1:$C$1000,'[2]ANTICIPOS SAN FERMÍN'!$N$1:$N$1000))</f>
        <v/>
      </c>
      <c r="R45" s="39"/>
    </row>
    <row r="46" spans="1:18" hidden="1" x14ac:dyDescent="0.2">
      <c r="A46" s="34"/>
      <c r="B46" s="35" t="str">
        <f>IF(A46="","",_xlfn.XLOOKUP($A46,'[2]ANTICIPOS SAN FERMÍN'!$B$1:$B$1000,'[2]ANTICIPOS SAN FERMÍN'!$I$1:$I$1000))</f>
        <v/>
      </c>
      <c r="C46" s="36" t="str">
        <f>IF(A46="","",IF(_xlfn.XLOOKUP($A46,'[2]ANTICIPOS SAN FERMÍN'!$B$1:$B$1000,'[2]ANTICIPOS SAN FERMÍN'!$K$1:$K$1000)="","",_xlfn.XLOOKUP($A46,'[2]ANTICIPOS SAN FERMÍN'!$B$1:$B$1000,'[2]ANTICIPOS SAN FERMÍN'!$K$1:$K$1000)))</f>
        <v/>
      </c>
      <c r="D46" s="37" t="str">
        <f>IF(A46="","",_xlfn.XLOOKUP($A46,'[2]ANTICIPOS SAN FERMÍN'!$B$1:$B$1000,'[2]ANTICIPOS SAN FERMÍN'!$M$1:$M$1000))</f>
        <v/>
      </c>
      <c r="E46" s="37" t="str">
        <f>IF(A46="","",_xlfn.XLOOKUP($A46,'[2]ANTICIPOS SAN FERMÍN'!$B$1:$B$1000,'[2]ANTICIPOS SAN FERMÍN'!$O$1:$O$1000))</f>
        <v/>
      </c>
      <c r="F46" s="52"/>
      <c r="G46" s="52"/>
      <c r="H46" s="53"/>
      <c r="I46" s="38" t="str">
        <f>IF(A46="","",_xlfn.XLOOKUP($A46,'[2]ANTICIPOS SAN FERMÍN'!$C$1:$C$1000,'[2]ANTICIPOS SAN FERMÍN'!$H$1:$H$1000))</f>
        <v/>
      </c>
      <c r="J46" s="39"/>
      <c r="K46" s="38" t="str">
        <f>IF(A46="","",_xlfn.XLOOKUP($A46,'[2]ANTICIPOS SAN FERMÍN'!$C$1:$C$1000,'[2]ANTICIPOS SAN FERMÍN'!$I$1:$I$1000))</f>
        <v/>
      </c>
      <c r="L46" s="39"/>
      <c r="M46" s="38" t="str">
        <f>IF(A46="","",_xlfn.XLOOKUP($A46,'[2]ANTICIPOS SAN FERMÍN'!$C$1:$C$1000,'[2]ANTICIPOS SAN FERMÍN'!$J$1:$J$1000))</f>
        <v/>
      </c>
      <c r="N46" s="39"/>
      <c r="O46" s="38" t="str">
        <f>IF(A46="","",_xlfn.XLOOKUP($A46,'[2]ANTICIPOS SAN FERMÍN'!$C$1:$C$1000,'[2]ANTICIPOS SAN FERMÍN'!$L$1:$L$1000))</f>
        <v/>
      </c>
      <c r="P46" s="39"/>
      <c r="Q46" s="38" t="str">
        <f>IF(A46="","",_xlfn.XLOOKUP($A46,'[2]ANTICIPOS SAN FERMÍN'!$C$1:$C$1000,'[2]ANTICIPOS SAN FERMÍN'!$N$1:$N$1000))</f>
        <v/>
      </c>
      <c r="R46" s="39"/>
    </row>
    <row r="47" spans="1:18" hidden="1" x14ac:dyDescent="0.2">
      <c r="A47" s="34"/>
      <c r="B47" s="35" t="str">
        <f>IF(A47="","",_xlfn.XLOOKUP($A47,'[2]ANTICIPOS SAN FERMÍN'!$B$1:$B$1000,'[2]ANTICIPOS SAN FERMÍN'!$I$1:$I$1000))</f>
        <v/>
      </c>
      <c r="C47" s="36" t="str">
        <f>IF(A47="","",IF(_xlfn.XLOOKUP($A47,'[2]ANTICIPOS SAN FERMÍN'!$B$1:$B$1000,'[2]ANTICIPOS SAN FERMÍN'!$K$1:$K$1000)="","",_xlfn.XLOOKUP($A47,'[2]ANTICIPOS SAN FERMÍN'!$B$1:$B$1000,'[2]ANTICIPOS SAN FERMÍN'!$K$1:$K$1000)))</f>
        <v/>
      </c>
      <c r="D47" s="37" t="str">
        <f>IF(A47="","",_xlfn.XLOOKUP($A47,'[2]ANTICIPOS SAN FERMÍN'!$B$1:$B$1000,'[2]ANTICIPOS SAN FERMÍN'!$M$1:$M$1000))</f>
        <v/>
      </c>
      <c r="E47" s="37" t="str">
        <f>IF(A47="","",_xlfn.XLOOKUP($A47,'[2]ANTICIPOS SAN FERMÍN'!$B$1:$B$1000,'[2]ANTICIPOS SAN FERMÍN'!$O$1:$O$1000))</f>
        <v/>
      </c>
      <c r="F47" s="52"/>
      <c r="G47" s="52"/>
      <c r="H47" s="53"/>
      <c r="I47" s="38" t="str">
        <f>IF(A47="","",_xlfn.XLOOKUP($A47,'[2]ANTICIPOS SAN FERMÍN'!$C$1:$C$1000,'[2]ANTICIPOS SAN FERMÍN'!$H$1:$H$1000))</f>
        <v/>
      </c>
      <c r="J47" s="39"/>
      <c r="K47" s="38" t="str">
        <f>IF(A47="","",_xlfn.XLOOKUP($A47,'[2]ANTICIPOS SAN FERMÍN'!$C$1:$C$1000,'[2]ANTICIPOS SAN FERMÍN'!$I$1:$I$1000))</f>
        <v/>
      </c>
      <c r="L47" s="39"/>
      <c r="M47" s="38" t="str">
        <f>IF(A47="","",_xlfn.XLOOKUP($A47,'[2]ANTICIPOS SAN FERMÍN'!$C$1:$C$1000,'[2]ANTICIPOS SAN FERMÍN'!$J$1:$J$1000))</f>
        <v/>
      </c>
      <c r="N47" s="39"/>
      <c r="O47" s="38" t="str">
        <f>IF(A47="","",_xlfn.XLOOKUP($A47,'[2]ANTICIPOS SAN FERMÍN'!$C$1:$C$1000,'[2]ANTICIPOS SAN FERMÍN'!$L$1:$L$1000))</f>
        <v/>
      </c>
      <c r="P47" s="39"/>
      <c r="Q47" s="38" t="str">
        <f>IF(A47="","",_xlfn.XLOOKUP($A47,'[2]ANTICIPOS SAN FERMÍN'!$C$1:$C$1000,'[2]ANTICIPOS SAN FERMÍN'!$N$1:$N$1000))</f>
        <v/>
      </c>
      <c r="R47" s="39"/>
    </row>
    <row r="48" spans="1:18" hidden="1" x14ac:dyDescent="0.2">
      <c r="A48" s="34"/>
      <c r="B48" s="35" t="str">
        <f>IF(A48="","",_xlfn.XLOOKUP($A48,'[2]ANTICIPOS SAN FERMÍN'!$B$1:$B$1000,'[2]ANTICIPOS SAN FERMÍN'!$I$1:$I$1000))</f>
        <v/>
      </c>
      <c r="C48" s="36" t="str">
        <f>IF(A48="","",IF(_xlfn.XLOOKUP($A48,'[2]ANTICIPOS SAN FERMÍN'!$B$1:$B$1000,'[2]ANTICIPOS SAN FERMÍN'!$K$1:$K$1000)="","",_xlfn.XLOOKUP($A48,'[2]ANTICIPOS SAN FERMÍN'!$B$1:$B$1000,'[2]ANTICIPOS SAN FERMÍN'!$K$1:$K$1000)))</f>
        <v/>
      </c>
      <c r="D48" s="37" t="str">
        <f>IF(A48="","",_xlfn.XLOOKUP($A48,'[2]ANTICIPOS SAN FERMÍN'!$B$1:$B$1000,'[2]ANTICIPOS SAN FERMÍN'!$M$1:$M$1000))</f>
        <v/>
      </c>
      <c r="E48" s="37" t="str">
        <f>IF(A48="","",_xlfn.XLOOKUP($A48,'[2]ANTICIPOS SAN FERMÍN'!$B$1:$B$1000,'[2]ANTICIPOS SAN FERMÍN'!$O$1:$O$1000))</f>
        <v/>
      </c>
      <c r="F48" s="52"/>
      <c r="G48" s="52"/>
      <c r="H48" s="53"/>
      <c r="I48" s="38" t="str">
        <f>IF(A48="","",_xlfn.XLOOKUP($A48,'[2]ANTICIPOS SAN FERMÍN'!$C$1:$C$1000,'[2]ANTICIPOS SAN FERMÍN'!$H$1:$H$1000))</f>
        <v/>
      </c>
      <c r="J48" s="39"/>
      <c r="K48" s="38" t="str">
        <f>IF(A48="","",_xlfn.XLOOKUP($A48,'[2]ANTICIPOS SAN FERMÍN'!$C$1:$C$1000,'[2]ANTICIPOS SAN FERMÍN'!$I$1:$I$1000))</f>
        <v/>
      </c>
      <c r="L48" s="39"/>
      <c r="M48" s="38" t="str">
        <f>IF(A48="","",_xlfn.XLOOKUP($A48,'[2]ANTICIPOS SAN FERMÍN'!$C$1:$C$1000,'[2]ANTICIPOS SAN FERMÍN'!$J$1:$J$1000))</f>
        <v/>
      </c>
      <c r="N48" s="39"/>
      <c r="O48" s="38" t="str">
        <f>IF(A48="","",_xlfn.XLOOKUP($A48,'[2]ANTICIPOS SAN FERMÍN'!$C$1:$C$1000,'[2]ANTICIPOS SAN FERMÍN'!$L$1:$L$1000))</f>
        <v/>
      </c>
      <c r="P48" s="39"/>
      <c r="Q48" s="38" t="str">
        <f>IF(A48="","",_xlfn.XLOOKUP($A48,'[2]ANTICIPOS SAN FERMÍN'!$C$1:$C$1000,'[2]ANTICIPOS SAN FERMÍN'!$N$1:$N$1000))</f>
        <v/>
      </c>
      <c r="R48" s="39"/>
    </row>
    <row r="49" spans="1:18" hidden="1" x14ac:dyDescent="0.2">
      <c r="A49" s="34"/>
      <c r="B49" s="35" t="str">
        <f>IF(A49="","",_xlfn.XLOOKUP($A49,'[2]ANTICIPOS SAN FERMÍN'!$B$1:$B$1000,'[2]ANTICIPOS SAN FERMÍN'!$I$1:$I$1000))</f>
        <v/>
      </c>
      <c r="C49" s="36" t="str">
        <f>IF(A49="","",IF(_xlfn.XLOOKUP($A49,'[2]ANTICIPOS SAN FERMÍN'!$B$1:$B$1000,'[2]ANTICIPOS SAN FERMÍN'!$K$1:$K$1000)="","",_xlfn.XLOOKUP($A49,'[2]ANTICIPOS SAN FERMÍN'!$B$1:$B$1000,'[2]ANTICIPOS SAN FERMÍN'!$K$1:$K$1000)))</f>
        <v/>
      </c>
      <c r="D49" s="37" t="str">
        <f>IF(A49="","",_xlfn.XLOOKUP($A49,'[2]ANTICIPOS SAN FERMÍN'!$B$1:$B$1000,'[2]ANTICIPOS SAN FERMÍN'!$M$1:$M$1000))</f>
        <v/>
      </c>
      <c r="E49" s="37" t="str">
        <f>IF(A49="","",_xlfn.XLOOKUP($A49,'[2]ANTICIPOS SAN FERMÍN'!$B$1:$B$1000,'[2]ANTICIPOS SAN FERMÍN'!$O$1:$O$1000))</f>
        <v/>
      </c>
      <c r="F49" s="52"/>
      <c r="G49" s="52"/>
      <c r="H49" s="53"/>
      <c r="I49" s="38" t="str">
        <f>IF(A49="","",_xlfn.XLOOKUP($A49,'[2]ANTICIPOS SAN FERMÍN'!$C$1:$C$1000,'[2]ANTICIPOS SAN FERMÍN'!$H$1:$H$1000))</f>
        <v/>
      </c>
      <c r="J49" s="39"/>
      <c r="K49" s="38" t="str">
        <f>IF(A49="","",_xlfn.XLOOKUP($A49,'[2]ANTICIPOS SAN FERMÍN'!$C$1:$C$1000,'[2]ANTICIPOS SAN FERMÍN'!$I$1:$I$1000))</f>
        <v/>
      </c>
      <c r="L49" s="39"/>
      <c r="M49" s="38" t="str">
        <f>IF(A49="","",_xlfn.XLOOKUP($A49,'[2]ANTICIPOS SAN FERMÍN'!$C$1:$C$1000,'[2]ANTICIPOS SAN FERMÍN'!$J$1:$J$1000))</f>
        <v/>
      </c>
      <c r="N49" s="39"/>
      <c r="O49" s="38" t="str">
        <f>IF(A49="","",_xlfn.XLOOKUP($A49,'[2]ANTICIPOS SAN FERMÍN'!$C$1:$C$1000,'[2]ANTICIPOS SAN FERMÍN'!$L$1:$L$1000))</f>
        <v/>
      </c>
      <c r="P49" s="39"/>
      <c r="Q49" s="38" t="str">
        <f>IF(A49="","",_xlfn.XLOOKUP($A49,'[2]ANTICIPOS SAN FERMÍN'!$C$1:$C$1000,'[2]ANTICIPOS SAN FERMÍN'!$N$1:$N$1000))</f>
        <v/>
      </c>
      <c r="R49" s="39"/>
    </row>
    <row r="50" spans="1:18" hidden="1" x14ac:dyDescent="0.2">
      <c r="A50" s="34"/>
      <c r="B50" s="35" t="str">
        <f>IF(A50="","",_xlfn.XLOOKUP($A50,'[2]ANTICIPOS SAN FERMÍN'!$B$1:$B$1000,'[2]ANTICIPOS SAN FERMÍN'!$I$1:$I$1000))</f>
        <v/>
      </c>
      <c r="C50" s="36" t="str">
        <f>IF(A50="","",IF(_xlfn.XLOOKUP($A50,'[2]ANTICIPOS SAN FERMÍN'!$B$1:$B$1000,'[2]ANTICIPOS SAN FERMÍN'!$K$1:$K$1000)="","",_xlfn.XLOOKUP($A50,'[2]ANTICIPOS SAN FERMÍN'!$B$1:$B$1000,'[2]ANTICIPOS SAN FERMÍN'!$K$1:$K$1000)))</f>
        <v/>
      </c>
      <c r="D50" s="37" t="str">
        <f>IF(A50="","",_xlfn.XLOOKUP($A50,'[2]ANTICIPOS SAN FERMÍN'!$B$1:$B$1000,'[2]ANTICIPOS SAN FERMÍN'!$M$1:$M$1000))</f>
        <v/>
      </c>
      <c r="E50" s="37" t="str">
        <f>IF(A50="","",_xlfn.XLOOKUP($A50,'[2]ANTICIPOS SAN FERMÍN'!$B$1:$B$1000,'[2]ANTICIPOS SAN FERMÍN'!$O$1:$O$1000))</f>
        <v/>
      </c>
      <c r="F50" s="52"/>
      <c r="G50" s="52"/>
      <c r="H50" s="53"/>
      <c r="I50" s="38" t="str">
        <f>IF(A50="","",_xlfn.XLOOKUP($A50,'[2]ANTICIPOS SAN FERMÍN'!$C$1:$C$1000,'[2]ANTICIPOS SAN FERMÍN'!$H$1:$H$1000))</f>
        <v/>
      </c>
      <c r="J50" s="39"/>
      <c r="K50" s="38" t="str">
        <f>IF(A50="","",_xlfn.XLOOKUP($A50,'[2]ANTICIPOS SAN FERMÍN'!$C$1:$C$1000,'[2]ANTICIPOS SAN FERMÍN'!$I$1:$I$1000))</f>
        <v/>
      </c>
      <c r="L50" s="39"/>
      <c r="M50" s="38" t="str">
        <f>IF(A50="","",_xlfn.XLOOKUP($A50,'[2]ANTICIPOS SAN FERMÍN'!$C$1:$C$1000,'[2]ANTICIPOS SAN FERMÍN'!$J$1:$J$1000))</f>
        <v/>
      </c>
      <c r="N50" s="39"/>
      <c r="O50" s="38" t="str">
        <f>IF(A50="","",_xlfn.XLOOKUP($A50,'[2]ANTICIPOS SAN FERMÍN'!$C$1:$C$1000,'[2]ANTICIPOS SAN FERMÍN'!$L$1:$L$1000))</f>
        <v/>
      </c>
      <c r="P50" s="39"/>
      <c r="Q50" s="38" t="str">
        <f>IF(A50="","",_xlfn.XLOOKUP($A50,'[2]ANTICIPOS SAN FERMÍN'!$C$1:$C$1000,'[2]ANTICIPOS SAN FERMÍN'!$N$1:$N$1000))</f>
        <v/>
      </c>
      <c r="R50" s="39"/>
    </row>
    <row r="51" spans="1:18" hidden="1" x14ac:dyDescent="0.2">
      <c r="A51" s="34"/>
      <c r="B51" s="35" t="str">
        <f>IF(A51="","",_xlfn.XLOOKUP($A51,'[2]ANTICIPOS SAN FERMÍN'!$B$1:$B$1000,'[2]ANTICIPOS SAN FERMÍN'!$I$1:$I$1000))</f>
        <v/>
      </c>
      <c r="C51" s="36" t="str">
        <f>IF(A51="","",IF(_xlfn.XLOOKUP($A51,'[2]ANTICIPOS SAN FERMÍN'!$B$1:$B$1000,'[2]ANTICIPOS SAN FERMÍN'!$K$1:$K$1000)="","",_xlfn.XLOOKUP($A51,'[2]ANTICIPOS SAN FERMÍN'!$B$1:$B$1000,'[2]ANTICIPOS SAN FERMÍN'!$K$1:$K$1000)))</f>
        <v/>
      </c>
      <c r="D51" s="37" t="str">
        <f>IF(A51="","",_xlfn.XLOOKUP($A51,'[2]ANTICIPOS SAN FERMÍN'!$B$1:$B$1000,'[2]ANTICIPOS SAN FERMÍN'!$M$1:$M$1000))</f>
        <v/>
      </c>
      <c r="E51" s="37" t="str">
        <f>IF(A51="","",_xlfn.XLOOKUP($A51,'[2]ANTICIPOS SAN FERMÍN'!$B$1:$B$1000,'[2]ANTICIPOS SAN FERMÍN'!$O$1:$O$1000))</f>
        <v/>
      </c>
      <c r="F51" s="52"/>
      <c r="G51" s="52"/>
      <c r="H51" s="53"/>
      <c r="I51" s="38" t="str">
        <f>IF(A51="","",_xlfn.XLOOKUP($A51,'[2]ANTICIPOS SAN FERMÍN'!$C$1:$C$1000,'[2]ANTICIPOS SAN FERMÍN'!$H$1:$H$1000))</f>
        <v/>
      </c>
      <c r="J51" s="39"/>
      <c r="K51" s="38" t="str">
        <f>IF(A51="","",_xlfn.XLOOKUP($A51,'[2]ANTICIPOS SAN FERMÍN'!$C$1:$C$1000,'[2]ANTICIPOS SAN FERMÍN'!$I$1:$I$1000))</f>
        <v/>
      </c>
      <c r="L51" s="39"/>
      <c r="M51" s="38" t="str">
        <f>IF(A51="","",_xlfn.XLOOKUP($A51,'[2]ANTICIPOS SAN FERMÍN'!$C$1:$C$1000,'[2]ANTICIPOS SAN FERMÍN'!$J$1:$J$1000))</f>
        <v/>
      </c>
      <c r="N51" s="39"/>
      <c r="O51" s="38" t="str">
        <f>IF(A51="","",_xlfn.XLOOKUP($A51,'[2]ANTICIPOS SAN FERMÍN'!$C$1:$C$1000,'[2]ANTICIPOS SAN FERMÍN'!$L$1:$L$1000))</f>
        <v/>
      </c>
      <c r="P51" s="39"/>
      <c r="Q51" s="38" t="str">
        <f>IF(A51="","",_xlfn.XLOOKUP($A51,'[2]ANTICIPOS SAN FERMÍN'!$C$1:$C$1000,'[2]ANTICIPOS SAN FERMÍN'!$N$1:$N$1000))</f>
        <v/>
      </c>
      <c r="R51" s="39"/>
    </row>
    <row r="52" spans="1:18" hidden="1" x14ac:dyDescent="0.2">
      <c r="A52" s="34"/>
      <c r="B52" s="35" t="str">
        <f>IF(A52="","",_xlfn.XLOOKUP($A52,'[2]ANTICIPOS SAN FERMÍN'!$B$1:$B$1000,'[2]ANTICIPOS SAN FERMÍN'!$I$1:$I$1000))</f>
        <v/>
      </c>
      <c r="C52" s="36" t="str">
        <f>IF(A52="","",IF(_xlfn.XLOOKUP($A52,'[2]ANTICIPOS SAN FERMÍN'!$B$1:$B$1000,'[2]ANTICIPOS SAN FERMÍN'!$K$1:$K$1000)="","",_xlfn.XLOOKUP($A52,'[2]ANTICIPOS SAN FERMÍN'!$B$1:$B$1000,'[2]ANTICIPOS SAN FERMÍN'!$K$1:$K$1000)))</f>
        <v/>
      </c>
      <c r="D52" s="37" t="str">
        <f>IF(A52="","",_xlfn.XLOOKUP($A52,'[2]ANTICIPOS SAN FERMÍN'!$B$1:$B$1000,'[2]ANTICIPOS SAN FERMÍN'!$M$1:$M$1000))</f>
        <v/>
      </c>
      <c r="E52" s="37" t="str">
        <f>IF(A52="","",_xlfn.XLOOKUP($A52,'[2]ANTICIPOS SAN FERMÍN'!$B$1:$B$1000,'[2]ANTICIPOS SAN FERMÍN'!$O$1:$O$1000))</f>
        <v/>
      </c>
      <c r="F52" s="52"/>
      <c r="G52" s="52"/>
      <c r="H52" s="53"/>
      <c r="I52" s="38" t="str">
        <f>IF(A52="","",_xlfn.XLOOKUP($A52,'[2]ANTICIPOS SAN FERMÍN'!$C$1:$C$1000,'[2]ANTICIPOS SAN FERMÍN'!$H$1:$H$1000))</f>
        <v/>
      </c>
      <c r="J52" s="39"/>
      <c r="K52" s="38" t="str">
        <f>IF(A52="","",_xlfn.XLOOKUP($A52,'[2]ANTICIPOS SAN FERMÍN'!$C$1:$C$1000,'[2]ANTICIPOS SAN FERMÍN'!$I$1:$I$1000))</f>
        <v/>
      </c>
      <c r="L52" s="39"/>
      <c r="M52" s="38" t="str">
        <f>IF(A52="","",_xlfn.XLOOKUP($A52,'[2]ANTICIPOS SAN FERMÍN'!$C$1:$C$1000,'[2]ANTICIPOS SAN FERMÍN'!$J$1:$J$1000))</f>
        <v/>
      </c>
      <c r="N52" s="39"/>
      <c r="O52" s="38" t="str">
        <f>IF(A52="","",_xlfn.XLOOKUP($A52,'[2]ANTICIPOS SAN FERMÍN'!$C$1:$C$1000,'[2]ANTICIPOS SAN FERMÍN'!$L$1:$L$1000))</f>
        <v/>
      </c>
      <c r="P52" s="39"/>
      <c r="Q52" s="38" t="str">
        <f>IF(A52="","",_xlfn.XLOOKUP($A52,'[2]ANTICIPOS SAN FERMÍN'!$C$1:$C$1000,'[2]ANTICIPOS SAN FERMÍN'!$N$1:$N$1000))</f>
        <v/>
      </c>
      <c r="R52" s="39"/>
    </row>
    <row r="53" spans="1:18" hidden="1" x14ac:dyDescent="0.2">
      <c r="A53" s="34"/>
      <c r="B53" s="35" t="str">
        <f>IF(A53="","",_xlfn.XLOOKUP($A53,'[2]ANTICIPOS SAN FERMÍN'!$B$1:$B$1000,'[2]ANTICIPOS SAN FERMÍN'!$I$1:$I$1000))</f>
        <v/>
      </c>
      <c r="C53" s="36" t="str">
        <f>IF(A53="","",IF(_xlfn.XLOOKUP($A53,'[2]ANTICIPOS SAN FERMÍN'!$B$1:$B$1000,'[2]ANTICIPOS SAN FERMÍN'!$K$1:$K$1000)="","",_xlfn.XLOOKUP($A53,'[2]ANTICIPOS SAN FERMÍN'!$B$1:$B$1000,'[2]ANTICIPOS SAN FERMÍN'!$K$1:$K$1000)))</f>
        <v/>
      </c>
      <c r="D53" s="37" t="str">
        <f>IF(A53="","",_xlfn.XLOOKUP($A53,'[2]ANTICIPOS SAN FERMÍN'!$B$1:$B$1000,'[2]ANTICIPOS SAN FERMÍN'!$M$1:$M$1000))</f>
        <v/>
      </c>
      <c r="E53" s="37" t="str">
        <f>IF(A53="","",_xlfn.XLOOKUP($A53,'[2]ANTICIPOS SAN FERMÍN'!$B$1:$B$1000,'[2]ANTICIPOS SAN FERMÍN'!$O$1:$O$1000))</f>
        <v/>
      </c>
      <c r="F53" s="52"/>
      <c r="G53" s="52"/>
      <c r="H53" s="53"/>
      <c r="I53" s="38" t="str">
        <f>IF(A53="","",_xlfn.XLOOKUP($A53,'[2]ANTICIPOS SAN FERMÍN'!$C$1:$C$1000,'[2]ANTICIPOS SAN FERMÍN'!$H$1:$H$1000))</f>
        <v/>
      </c>
      <c r="J53" s="39"/>
      <c r="K53" s="38" t="str">
        <f>IF(A53="","",_xlfn.XLOOKUP($A53,'[2]ANTICIPOS SAN FERMÍN'!$C$1:$C$1000,'[2]ANTICIPOS SAN FERMÍN'!$I$1:$I$1000))</f>
        <v/>
      </c>
      <c r="L53" s="39"/>
      <c r="M53" s="38" t="str">
        <f>IF(A53="","",_xlfn.XLOOKUP($A53,'[2]ANTICIPOS SAN FERMÍN'!$C$1:$C$1000,'[2]ANTICIPOS SAN FERMÍN'!$J$1:$J$1000))</f>
        <v/>
      </c>
      <c r="N53" s="39"/>
      <c r="O53" s="38" t="str">
        <f>IF(A53="","",_xlfn.XLOOKUP($A53,'[2]ANTICIPOS SAN FERMÍN'!$C$1:$C$1000,'[2]ANTICIPOS SAN FERMÍN'!$L$1:$L$1000))</f>
        <v/>
      </c>
      <c r="P53" s="39"/>
      <c r="Q53" s="38" t="str">
        <f>IF(A53="","",_xlfn.XLOOKUP($A53,'[2]ANTICIPOS SAN FERMÍN'!$C$1:$C$1000,'[2]ANTICIPOS SAN FERMÍN'!$N$1:$N$1000))</f>
        <v/>
      </c>
      <c r="R53" s="39"/>
    </row>
    <row r="54" spans="1:18" hidden="1" x14ac:dyDescent="0.2">
      <c r="A54" s="34"/>
      <c r="B54" s="35" t="str">
        <f>IF(A54="","",_xlfn.XLOOKUP($A54,'[2]ANTICIPOS SAN FERMÍN'!$B$1:$B$1000,'[2]ANTICIPOS SAN FERMÍN'!$I$1:$I$1000))</f>
        <v/>
      </c>
      <c r="C54" s="36" t="str">
        <f>IF(A54="","",IF(_xlfn.XLOOKUP($A54,'[2]ANTICIPOS SAN FERMÍN'!$B$1:$B$1000,'[2]ANTICIPOS SAN FERMÍN'!$K$1:$K$1000)="","",_xlfn.XLOOKUP($A54,'[2]ANTICIPOS SAN FERMÍN'!$B$1:$B$1000,'[2]ANTICIPOS SAN FERMÍN'!$K$1:$K$1000)))</f>
        <v/>
      </c>
      <c r="D54" s="37" t="str">
        <f>IF(A54="","",_xlfn.XLOOKUP($A54,'[2]ANTICIPOS SAN FERMÍN'!$B$1:$B$1000,'[2]ANTICIPOS SAN FERMÍN'!$M$1:$M$1000))</f>
        <v/>
      </c>
      <c r="E54" s="37" t="str">
        <f>IF(A54="","",_xlfn.XLOOKUP($A54,'[2]ANTICIPOS SAN FERMÍN'!$B$1:$B$1000,'[2]ANTICIPOS SAN FERMÍN'!$O$1:$O$1000))</f>
        <v/>
      </c>
      <c r="F54" s="52"/>
      <c r="G54" s="52"/>
      <c r="H54" s="53"/>
      <c r="I54" s="38" t="str">
        <f>IF(A54="","",_xlfn.XLOOKUP($A54,'[2]ANTICIPOS SAN FERMÍN'!$C$1:$C$1000,'[2]ANTICIPOS SAN FERMÍN'!$H$1:$H$1000))</f>
        <v/>
      </c>
      <c r="J54" s="39"/>
      <c r="K54" s="38" t="str">
        <f>IF(A54="","",_xlfn.XLOOKUP($A54,'[2]ANTICIPOS SAN FERMÍN'!$C$1:$C$1000,'[2]ANTICIPOS SAN FERMÍN'!$I$1:$I$1000))</f>
        <v/>
      </c>
      <c r="L54" s="39"/>
      <c r="M54" s="38" t="str">
        <f>IF(A54="","",_xlfn.XLOOKUP($A54,'[2]ANTICIPOS SAN FERMÍN'!$C$1:$C$1000,'[2]ANTICIPOS SAN FERMÍN'!$J$1:$J$1000))</f>
        <v/>
      </c>
      <c r="N54" s="39"/>
      <c r="O54" s="38" t="str">
        <f>IF(A54="","",_xlfn.XLOOKUP($A54,'[2]ANTICIPOS SAN FERMÍN'!$C$1:$C$1000,'[2]ANTICIPOS SAN FERMÍN'!$L$1:$L$1000))</f>
        <v/>
      </c>
      <c r="P54" s="39"/>
      <c r="Q54" s="38" t="str">
        <f>IF(A54="","",_xlfn.XLOOKUP($A54,'[2]ANTICIPOS SAN FERMÍN'!$C$1:$C$1000,'[2]ANTICIPOS SAN FERMÍN'!$N$1:$N$1000))</f>
        <v/>
      </c>
      <c r="R54" s="39"/>
    </row>
    <row r="55" spans="1:18" hidden="1" x14ac:dyDescent="0.2">
      <c r="A55" s="34"/>
      <c r="B55" s="35" t="str">
        <f>IF(A55="","",_xlfn.XLOOKUP($A55,'[2]ANTICIPOS SAN FERMÍN'!$B$1:$B$1000,'[2]ANTICIPOS SAN FERMÍN'!$I$1:$I$1000))</f>
        <v/>
      </c>
      <c r="C55" s="36" t="str">
        <f>IF(A55="","",IF(_xlfn.XLOOKUP($A55,'[2]ANTICIPOS SAN FERMÍN'!$B$1:$B$1000,'[2]ANTICIPOS SAN FERMÍN'!$K$1:$K$1000)="","",_xlfn.XLOOKUP($A55,'[2]ANTICIPOS SAN FERMÍN'!$B$1:$B$1000,'[2]ANTICIPOS SAN FERMÍN'!$K$1:$K$1000)))</f>
        <v/>
      </c>
      <c r="D55" s="37" t="str">
        <f>IF(A55="","",_xlfn.XLOOKUP($A55,'[2]ANTICIPOS SAN FERMÍN'!$B$1:$B$1000,'[2]ANTICIPOS SAN FERMÍN'!$M$1:$M$1000))</f>
        <v/>
      </c>
      <c r="E55" s="37" t="str">
        <f>IF(A55="","",_xlfn.XLOOKUP($A55,'[2]ANTICIPOS SAN FERMÍN'!$B$1:$B$1000,'[2]ANTICIPOS SAN FERMÍN'!$O$1:$O$1000))</f>
        <v/>
      </c>
      <c r="F55" s="52"/>
      <c r="G55" s="52"/>
      <c r="H55" s="53"/>
      <c r="I55" s="38" t="str">
        <f>IF(A55="","",_xlfn.XLOOKUP($A55,'[2]ANTICIPOS SAN FERMÍN'!$C$1:$C$1000,'[2]ANTICIPOS SAN FERMÍN'!$H$1:$H$1000))</f>
        <v/>
      </c>
      <c r="J55" s="39"/>
      <c r="K55" s="38" t="str">
        <f>IF(A55="","",_xlfn.XLOOKUP($A55,'[2]ANTICIPOS SAN FERMÍN'!$C$1:$C$1000,'[2]ANTICIPOS SAN FERMÍN'!$I$1:$I$1000))</f>
        <v/>
      </c>
      <c r="L55" s="39"/>
      <c r="M55" s="38" t="str">
        <f>IF(A55="","",_xlfn.XLOOKUP($A55,'[2]ANTICIPOS SAN FERMÍN'!$C$1:$C$1000,'[2]ANTICIPOS SAN FERMÍN'!$J$1:$J$1000))</f>
        <v/>
      </c>
      <c r="N55" s="39"/>
      <c r="O55" s="38" t="str">
        <f>IF(A55="","",_xlfn.XLOOKUP($A55,'[2]ANTICIPOS SAN FERMÍN'!$C$1:$C$1000,'[2]ANTICIPOS SAN FERMÍN'!$L$1:$L$1000))</f>
        <v/>
      </c>
      <c r="P55" s="39"/>
      <c r="Q55" s="38" t="str">
        <f>IF(A55="","",_xlfn.XLOOKUP($A55,'[2]ANTICIPOS SAN FERMÍN'!$C$1:$C$1000,'[2]ANTICIPOS SAN FERMÍN'!$N$1:$N$1000))</f>
        <v/>
      </c>
      <c r="R55" s="39"/>
    </row>
    <row r="56" spans="1:18" hidden="1" x14ac:dyDescent="0.2">
      <c r="A56" s="34"/>
      <c r="B56" s="35" t="str">
        <f>IF(A56="","",_xlfn.XLOOKUP($A56,'[2]ANTICIPOS SAN FERMÍN'!$B$1:$B$1000,'[2]ANTICIPOS SAN FERMÍN'!$I$1:$I$1000))</f>
        <v/>
      </c>
      <c r="C56" s="36" t="str">
        <f>IF(A56="","",IF(_xlfn.XLOOKUP($A56,'[2]ANTICIPOS SAN FERMÍN'!$B$1:$B$1000,'[2]ANTICIPOS SAN FERMÍN'!$K$1:$K$1000)="","",_xlfn.XLOOKUP($A56,'[2]ANTICIPOS SAN FERMÍN'!$B$1:$B$1000,'[2]ANTICIPOS SAN FERMÍN'!$K$1:$K$1000)))</f>
        <v/>
      </c>
      <c r="D56" s="37" t="str">
        <f>IF(A56="","",_xlfn.XLOOKUP($A56,'[2]ANTICIPOS SAN FERMÍN'!$B$1:$B$1000,'[2]ANTICIPOS SAN FERMÍN'!$M$1:$M$1000))</f>
        <v/>
      </c>
      <c r="E56" s="37" t="str">
        <f>IF(A56="","",_xlfn.XLOOKUP($A56,'[2]ANTICIPOS SAN FERMÍN'!$B$1:$B$1000,'[2]ANTICIPOS SAN FERMÍN'!$O$1:$O$1000))</f>
        <v/>
      </c>
      <c r="F56" s="52"/>
      <c r="G56" s="52"/>
      <c r="H56" s="53"/>
      <c r="I56" s="38" t="str">
        <f>IF(A56="","",_xlfn.XLOOKUP($A56,'[2]ANTICIPOS SAN FERMÍN'!$C$1:$C$1000,'[2]ANTICIPOS SAN FERMÍN'!$H$1:$H$1000))</f>
        <v/>
      </c>
      <c r="J56" s="39"/>
      <c r="K56" s="38" t="str">
        <f>IF(A56="","",_xlfn.XLOOKUP($A56,'[2]ANTICIPOS SAN FERMÍN'!$C$1:$C$1000,'[2]ANTICIPOS SAN FERMÍN'!$I$1:$I$1000))</f>
        <v/>
      </c>
      <c r="L56" s="39"/>
      <c r="M56" s="38" t="str">
        <f>IF(A56="","",_xlfn.XLOOKUP($A56,'[2]ANTICIPOS SAN FERMÍN'!$C$1:$C$1000,'[2]ANTICIPOS SAN FERMÍN'!$J$1:$J$1000))</f>
        <v/>
      </c>
      <c r="N56" s="39"/>
      <c r="O56" s="38" t="str">
        <f>IF(A56="","",_xlfn.XLOOKUP($A56,'[2]ANTICIPOS SAN FERMÍN'!$C$1:$C$1000,'[2]ANTICIPOS SAN FERMÍN'!$L$1:$L$1000))</f>
        <v/>
      </c>
      <c r="P56" s="39"/>
      <c r="Q56" s="38" t="str">
        <f>IF(A56="","",_xlfn.XLOOKUP($A56,'[2]ANTICIPOS SAN FERMÍN'!$C$1:$C$1000,'[2]ANTICIPOS SAN FERMÍN'!$N$1:$N$1000))</f>
        <v/>
      </c>
      <c r="R56" s="39"/>
    </row>
    <row r="57" spans="1:18" hidden="1" x14ac:dyDescent="0.2">
      <c r="A57" s="34"/>
      <c r="B57" s="35" t="str">
        <f>IF(A57="","",_xlfn.XLOOKUP($A57,'[2]ANTICIPOS SAN FERMÍN'!$B$1:$B$1000,'[2]ANTICIPOS SAN FERMÍN'!$I$1:$I$1000))</f>
        <v/>
      </c>
      <c r="C57" s="36" t="str">
        <f>IF(A57="","",IF(_xlfn.XLOOKUP($A57,'[2]ANTICIPOS SAN FERMÍN'!$B$1:$B$1000,'[2]ANTICIPOS SAN FERMÍN'!$K$1:$K$1000)="","",_xlfn.XLOOKUP($A57,'[2]ANTICIPOS SAN FERMÍN'!$B$1:$B$1000,'[2]ANTICIPOS SAN FERMÍN'!$K$1:$K$1000)))</f>
        <v/>
      </c>
      <c r="D57" s="37" t="str">
        <f>IF(A57="","",_xlfn.XLOOKUP($A57,'[2]ANTICIPOS SAN FERMÍN'!$B$1:$B$1000,'[2]ANTICIPOS SAN FERMÍN'!$M$1:$M$1000))</f>
        <v/>
      </c>
      <c r="E57" s="37" t="str">
        <f>IF(A57="","",_xlfn.XLOOKUP($A57,'[2]ANTICIPOS SAN FERMÍN'!$B$1:$B$1000,'[2]ANTICIPOS SAN FERMÍN'!$O$1:$O$1000))</f>
        <v/>
      </c>
      <c r="F57" s="52"/>
      <c r="G57" s="52"/>
      <c r="H57" s="53"/>
      <c r="I57" s="38" t="str">
        <f>IF(A57="","",_xlfn.XLOOKUP($A57,'[2]ANTICIPOS SAN FERMÍN'!$C$1:$C$1000,'[2]ANTICIPOS SAN FERMÍN'!$H$1:$H$1000))</f>
        <v/>
      </c>
      <c r="J57" s="39"/>
      <c r="K57" s="38" t="str">
        <f>IF(A57="","",_xlfn.XLOOKUP($A57,'[2]ANTICIPOS SAN FERMÍN'!$C$1:$C$1000,'[2]ANTICIPOS SAN FERMÍN'!$I$1:$I$1000))</f>
        <v/>
      </c>
      <c r="L57" s="39"/>
      <c r="M57" s="38" t="str">
        <f>IF(A57="","",_xlfn.XLOOKUP($A57,'[2]ANTICIPOS SAN FERMÍN'!$C$1:$C$1000,'[2]ANTICIPOS SAN FERMÍN'!$J$1:$J$1000))</f>
        <v/>
      </c>
      <c r="N57" s="39"/>
      <c r="O57" s="38" t="str">
        <f>IF(A57="","",_xlfn.XLOOKUP($A57,'[2]ANTICIPOS SAN FERMÍN'!$C$1:$C$1000,'[2]ANTICIPOS SAN FERMÍN'!$L$1:$L$1000))</f>
        <v/>
      </c>
      <c r="P57" s="39"/>
      <c r="Q57" s="38" t="str">
        <f>IF(A57="","",_xlfn.XLOOKUP($A57,'[2]ANTICIPOS SAN FERMÍN'!$C$1:$C$1000,'[2]ANTICIPOS SAN FERMÍN'!$N$1:$N$1000))</f>
        <v/>
      </c>
      <c r="R57" s="39"/>
    </row>
    <row r="58" spans="1:18" hidden="1" x14ac:dyDescent="0.2">
      <c r="A58" s="34"/>
      <c r="B58" s="35" t="str">
        <f>IF(A58="","",_xlfn.XLOOKUP($A58,'[2]ANTICIPOS SAN FERMÍN'!$B$1:$B$1000,'[2]ANTICIPOS SAN FERMÍN'!$I$1:$I$1000))</f>
        <v/>
      </c>
      <c r="C58" s="36" t="str">
        <f>IF(A58="","",IF(_xlfn.XLOOKUP($A58,'[2]ANTICIPOS SAN FERMÍN'!$B$1:$B$1000,'[2]ANTICIPOS SAN FERMÍN'!$K$1:$K$1000)="","",_xlfn.XLOOKUP($A58,'[2]ANTICIPOS SAN FERMÍN'!$B$1:$B$1000,'[2]ANTICIPOS SAN FERMÍN'!$K$1:$K$1000)))</f>
        <v/>
      </c>
      <c r="D58" s="37" t="str">
        <f>IF(A58="","",_xlfn.XLOOKUP($A58,'[2]ANTICIPOS SAN FERMÍN'!$B$1:$B$1000,'[2]ANTICIPOS SAN FERMÍN'!$M$1:$M$1000))</f>
        <v/>
      </c>
      <c r="E58" s="37" t="str">
        <f>IF(A58="","",_xlfn.XLOOKUP($A58,'[2]ANTICIPOS SAN FERMÍN'!$B$1:$B$1000,'[2]ANTICIPOS SAN FERMÍN'!$O$1:$O$1000))</f>
        <v/>
      </c>
      <c r="F58" s="52"/>
      <c r="G58" s="52"/>
      <c r="H58" s="53"/>
      <c r="I58" s="38" t="str">
        <f>IF(A58="","",_xlfn.XLOOKUP($A58,'[2]ANTICIPOS SAN FERMÍN'!$C$1:$C$1000,'[2]ANTICIPOS SAN FERMÍN'!$H$1:$H$1000))</f>
        <v/>
      </c>
      <c r="J58" s="39"/>
      <c r="K58" s="38" t="str">
        <f>IF(A58="","",_xlfn.XLOOKUP($A58,'[2]ANTICIPOS SAN FERMÍN'!$C$1:$C$1000,'[2]ANTICIPOS SAN FERMÍN'!$I$1:$I$1000))</f>
        <v/>
      </c>
      <c r="L58" s="39"/>
      <c r="M58" s="38" t="str">
        <f>IF(A58="","",_xlfn.XLOOKUP($A58,'[2]ANTICIPOS SAN FERMÍN'!$C$1:$C$1000,'[2]ANTICIPOS SAN FERMÍN'!$J$1:$J$1000))</f>
        <v/>
      </c>
      <c r="N58" s="39"/>
      <c r="O58" s="38" t="str">
        <f>IF(A58="","",_xlfn.XLOOKUP($A58,'[2]ANTICIPOS SAN FERMÍN'!$C$1:$C$1000,'[2]ANTICIPOS SAN FERMÍN'!$L$1:$L$1000))</f>
        <v/>
      </c>
      <c r="P58" s="39"/>
      <c r="Q58" s="38" t="str">
        <f>IF(A58="","",_xlfn.XLOOKUP($A58,'[2]ANTICIPOS SAN FERMÍN'!$C$1:$C$1000,'[2]ANTICIPOS SAN FERMÍN'!$N$1:$N$1000))</f>
        <v/>
      </c>
      <c r="R58" s="39"/>
    </row>
    <row r="59" spans="1:18" hidden="1" x14ac:dyDescent="0.2">
      <c r="A59" s="34"/>
      <c r="B59" s="35" t="str">
        <f>IF(A59="","",_xlfn.XLOOKUP($A59,'[2]ANTICIPOS SAN FERMÍN'!$B$1:$B$1000,'[2]ANTICIPOS SAN FERMÍN'!$I$1:$I$1000))</f>
        <v/>
      </c>
      <c r="C59" s="36" t="str">
        <f>IF(A59="","",IF(_xlfn.XLOOKUP($A59,'[2]ANTICIPOS SAN FERMÍN'!$B$1:$B$1000,'[2]ANTICIPOS SAN FERMÍN'!$K$1:$K$1000)="","",_xlfn.XLOOKUP($A59,'[2]ANTICIPOS SAN FERMÍN'!$B$1:$B$1000,'[2]ANTICIPOS SAN FERMÍN'!$K$1:$K$1000)))</f>
        <v/>
      </c>
      <c r="D59" s="37" t="str">
        <f>IF(A59="","",_xlfn.XLOOKUP($A59,'[2]ANTICIPOS SAN FERMÍN'!$B$1:$B$1000,'[2]ANTICIPOS SAN FERMÍN'!$M$1:$M$1000))</f>
        <v/>
      </c>
      <c r="E59" s="37" t="str">
        <f>IF(A59="","",_xlfn.XLOOKUP($A59,'[2]ANTICIPOS SAN FERMÍN'!$B$1:$B$1000,'[2]ANTICIPOS SAN FERMÍN'!$O$1:$O$1000))</f>
        <v/>
      </c>
      <c r="F59" s="52"/>
      <c r="G59" s="52"/>
      <c r="H59" s="53"/>
      <c r="I59" s="38" t="str">
        <f>IF(A59="","",_xlfn.XLOOKUP($A59,'[2]ANTICIPOS SAN FERMÍN'!$C$1:$C$1000,'[2]ANTICIPOS SAN FERMÍN'!$H$1:$H$1000))</f>
        <v/>
      </c>
      <c r="J59" s="39"/>
      <c r="K59" s="38" t="str">
        <f>IF(A59="","",_xlfn.XLOOKUP($A59,'[2]ANTICIPOS SAN FERMÍN'!$C$1:$C$1000,'[2]ANTICIPOS SAN FERMÍN'!$I$1:$I$1000))</f>
        <v/>
      </c>
      <c r="L59" s="39"/>
      <c r="M59" s="38" t="str">
        <f>IF(A59="","",_xlfn.XLOOKUP($A59,'[2]ANTICIPOS SAN FERMÍN'!$C$1:$C$1000,'[2]ANTICIPOS SAN FERMÍN'!$J$1:$J$1000))</f>
        <v/>
      </c>
      <c r="N59" s="39"/>
      <c r="O59" s="38" t="str">
        <f>IF(A59="","",_xlfn.XLOOKUP($A59,'[2]ANTICIPOS SAN FERMÍN'!$C$1:$C$1000,'[2]ANTICIPOS SAN FERMÍN'!$L$1:$L$1000))</f>
        <v/>
      </c>
      <c r="P59" s="39"/>
      <c r="Q59" s="38" t="str">
        <f>IF(A59="","",_xlfn.XLOOKUP($A59,'[2]ANTICIPOS SAN FERMÍN'!$C$1:$C$1000,'[2]ANTICIPOS SAN FERMÍN'!$N$1:$N$1000))</f>
        <v/>
      </c>
      <c r="R59" s="39"/>
    </row>
    <row r="60" spans="1:18" hidden="1" x14ac:dyDescent="0.2">
      <c r="A60" s="34"/>
      <c r="B60" s="35" t="str">
        <f>IF(A60="","",_xlfn.XLOOKUP($A60,'[2]ANTICIPOS SAN FERMÍN'!$B$1:$B$1000,'[2]ANTICIPOS SAN FERMÍN'!$I$1:$I$1000))</f>
        <v/>
      </c>
      <c r="C60" s="36" t="str">
        <f>IF(A60="","",IF(_xlfn.XLOOKUP($A60,'[2]ANTICIPOS SAN FERMÍN'!$B$1:$B$1000,'[2]ANTICIPOS SAN FERMÍN'!$K$1:$K$1000)="","",_xlfn.XLOOKUP($A60,'[2]ANTICIPOS SAN FERMÍN'!$B$1:$B$1000,'[2]ANTICIPOS SAN FERMÍN'!$K$1:$K$1000)))</f>
        <v/>
      </c>
      <c r="D60" s="37" t="str">
        <f>IF(A60="","",_xlfn.XLOOKUP($A60,'[2]ANTICIPOS SAN FERMÍN'!$B$1:$B$1000,'[2]ANTICIPOS SAN FERMÍN'!$M$1:$M$1000))</f>
        <v/>
      </c>
      <c r="E60" s="37" t="str">
        <f>IF(A60="","",_xlfn.XLOOKUP($A60,'[2]ANTICIPOS SAN FERMÍN'!$B$1:$B$1000,'[2]ANTICIPOS SAN FERMÍN'!$O$1:$O$1000))</f>
        <v/>
      </c>
      <c r="F60" s="52"/>
      <c r="G60" s="52"/>
      <c r="H60" s="53"/>
      <c r="I60" s="38" t="str">
        <f>IF(A60="","",_xlfn.XLOOKUP($A60,'[2]ANTICIPOS SAN FERMÍN'!$C$1:$C$1000,'[2]ANTICIPOS SAN FERMÍN'!$H$1:$H$1000))</f>
        <v/>
      </c>
      <c r="J60" s="39"/>
      <c r="K60" s="38" t="str">
        <f>IF(A60="","",_xlfn.XLOOKUP($A60,'[2]ANTICIPOS SAN FERMÍN'!$C$1:$C$1000,'[2]ANTICIPOS SAN FERMÍN'!$I$1:$I$1000))</f>
        <v/>
      </c>
      <c r="L60" s="39"/>
      <c r="M60" s="38" t="str">
        <f>IF(A60="","",_xlfn.XLOOKUP($A60,'[2]ANTICIPOS SAN FERMÍN'!$C$1:$C$1000,'[2]ANTICIPOS SAN FERMÍN'!$J$1:$J$1000))</f>
        <v/>
      </c>
      <c r="N60" s="39"/>
      <c r="O60" s="38" t="str">
        <f>IF(A60="","",_xlfn.XLOOKUP($A60,'[2]ANTICIPOS SAN FERMÍN'!$C$1:$C$1000,'[2]ANTICIPOS SAN FERMÍN'!$L$1:$L$1000))</f>
        <v/>
      </c>
      <c r="P60" s="39"/>
      <c r="Q60" s="38" t="str">
        <f>IF(A60="","",_xlfn.XLOOKUP($A60,'[2]ANTICIPOS SAN FERMÍN'!$C$1:$C$1000,'[2]ANTICIPOS SAN FERMÍN'!$N$1:$N$1000))</f>
        <v/>
      </c>
      <c r="R60" s="39"/>
    </row>
    <row r="61" spans="1:18" hidden="1" x14ac:dyDescent="0.2">
      <c r="A61" s="34"/>
      <c r="B61" s="35" t="str">
        <f>IF(A61="","",_xlfn.XLOOKUP($A61,'[2]ANTICIPOS SAN FERMÍN'!$B$1:$B$1000,'[2]ANTICIPOS SAN FERMÍN'!$I$1:$I$1000))</f>
        <v/>
      </c>
      <c r="C61" s="36" t="str">
        <f>IF(A61="","",IF(_xlfn.XLOOKUP($A61,'[2]ANTICIPOS SAN FERMÍN'!$B$1:$B$1000,'[2]ANTICIPOS SAN FERMÍN'!$K$1:$K$1000)="","",_xlfn.XLOOKUP($A61,'[2]ANTICIPOS SAN FERMÍN'!$B$1:$B$1000,'[2]ANTICIPOS SAN FERMÍN'!$K$1:$K$1000)))</f>
        <v/>
      </c>
      <c r="D61" s="37" t="str">
        <f>IF(A61="","",_xlfn.XLOOKUP($A61,'[2]ANTICIPOS SAN FERMÍN'!$B$1:$B$1000,'[2]ANTICIPOS SAN FERMÍN'!$M$1:$M$1000))</f>
        <v/>
      </c>
      <c r="E61" s="37" t="str">
        <f>IF(A61="","",_xlfn.XLOOKUP($A61,'[2]ANTICIPOS SAN FERMÍN'!$B$1:$B$1000,'[2]ANTICIPOS SAN FERMÍN'!$O$1:$O$1000))</f>
        <v/>
      </c>
      <c r="F61" s="52"/>
      <c r="G61" s="52"/>
      <c r="H61" s="53"/>
      <c r="I61" s="38" t="str">
        <f>IF(A61="","",_xlfn.XLOOKUP($A61,'[2]ANTICIPOS SAN FERMÍN'!$C$1:$C$1000,'[2]ANTICIPOS SAN FERMÍN'!$H$1:$H$1000))</f>
        <v/>
      </c>
      <c r="J61" s="39"/>
      <c r="K61" s="38" t="str">
        <f>IF(A61="","",_xlfn.XLOOKUP($A61,'[2]ANTICIPOS SAN FERMÍN'!$C$1:$C$1000,'[2]ANTICIPOS SAN FERMÍN'!$I$1:$I$1000))</f>
        <v/>
      </c>
      <c r="L61" s="39"/>
      <c r="M61" s="38" t="str">
        <f>IF(A61="","",_xlfn.XLOOKUP($A61,'[2]ANTICIPOS SAN FERMÍN'!$C$1:$C$1000,'[2]ANTICIPOS SAN FERMÍN'!$J$1:$J$1000))</f>
        <v/>
      </c>
      <c r="N61" s="39"/>
      <c r="O61" s="38" t="str">
        <f>IF(A61="","",_xlfn.XLOOKUP($A61,'[2]ANTICIPOS SAN FERMÍN'!$C$1:$C$1000,'[2]ANTICIPOS SAN FERMÍN'!$L$1:$L$1000))</f>
        <v/>
      </c>
      <c r="P61" s="39"/>
      <c r="Q61" s="38" t="str">
        <f>IF(A61="","",_xlfn.XLOOKUP($A61,'[2]ANTICIPOS SAN FERMÍN'!$C$1:$C$1000,'[2]ANTICIPOS SAN FERMÍN'!$N$1:$N$1000))</f>
        <v/>
      </c>
      <c r="R61" s="39"/>
    </row>
    <row r="62" spans="1:18" hidden="1" x14ac:dyDescent="0.2">
      <c r="A62" s="34"/>
      <c r="B62" s="35" t="str">
        <f>IF(A62="","",_xlfn.XLOOKUP($A62,'[2]ANTICIPOS SAN FERMÍN'!$B$1:$B$1000,'[2]ANTICIPOS SAN FERMÍN'!$I$1:$I$1000))</f>
        <v/>
      </c>
      <c r="C62" s="36" t="str">
        <f>IF(A62="","",IF(_xlfn.XLOOKUP($A62,'[2]ANTICIPOS SAN FERMÍN'!$B$1:$B$1000,'[2]ANTICIPOS SAN FERMÍN'!$K$1:$K$1000)="","",_xlfn.XLOOKUP($A62,'[2]ANTICIPOS SAN FERMÍN'!$B$1:$B$1000,'[2]ANTICIPOS SAN FERMÍN'!$K$1:$K$1000)))</f>
        <v/>
      </c>
      <c r="D62" s="37" t="str">
        <f>IF(A62="","",_xlfn.XLOOKUP($A62,'[2]ANTICIPOS SAN FERMÍN'!$B$1:$B$1000,'[2]ANTICIPOS SAN FERMÍN'!$M$1:$M$1000))</f>
        <v/>
      </c>
      <c r="E62" s="37" t="str">
        <f>IF(A62="","",_xlfn.XLOOKUP($A62,'[2]ANTICIPOS SAN FERMÍN'!$B$1:$B$1000,'[2]ANTICIPOS SAN FERMÍN'!$O$1:$O$1000))</f>
        <v/>
      </c>
      <c r="F62" s="52"/>
      <c r="G62" s="52"/>
      <c r="H62" s="53"/>
      <c r="I62" s="38" t="str">
        <f>IF(A62="","",_xlfn.XLOOKUP($A62,'[2]ANTICIPOS SAN FERMÍN'!$C$1:$C$1000,'[2]ANTICIPOS SAN FERMÍN'!$H$1:$H$1000))</f>
        <v/>
      </c>
      <c r="J62" s="39"/>
      <c r="K62" s="38" t="str">
        <f>IF(A62="","",_xlfn.XLOOKUP($A62,'[2]ANTICIPOS SAN FERMÍN'!$C$1:$C$1000,'[2]ANTICIPOS SAN FERMÍN'!$I$1:$I$1000))</f>
        <v/>
      </c>
      <c r="L62" s="39"/>
      <c r="M62" s="38" t="str">
        <f>IF(A62="","",_xlfn.XLOOKUP($A62,'[2]ANTICIPOS SAN FERMÍN'!$C$1:$C$1000,'[2]ANTICIPOS SAN FERMÍN'!$J$1:$J$1000))</f>
        <v/>
      </c>
      <c r="N62" s="39"/>
      <c r="O62" s="38" t="str">
        <f>IF(A62="","",_xlfn.XLOOKUP($A62,'[2]ANTICIPOS SAN FERMÍN'!$C$1:$C$1000,'[2]ANTICIPOS SAN FERMÍN'!$L$1:$L$1000))</f>
        <v/>
      </c>
      <c r="P62" s="39"/>
      <c r="Q62" s="38" t="str">
        <f>IF(A62="","",_xlfn.XLOOKUP($A62,'[2]ANTICIPOS SAN FERMÍN'!$C$1:$C$1000,'[2]ANTICIPOS SAN FERMÍN'!$N$1:$N$1000))</f>
        <v/>
      </c>
      <c r="R62" s="39"/>
    </row>
    <row r="63" spans="1:18" hidden="1" x14ac:dyDescent="0.2">
      <c r="A63" s="34"/>
      <c r="B63" s="35" t="str">
        <f>IF(A63="","",_xlfn.XLOOKUP($A63,'[2]ANTICIPOS SAN FERMÍN'!$B$1:$B$1000,'[2]ANTICIPOS SAN FERMÍN'!$I$1:$I$1000))</f>
        <v/>
      </c>
      <c r="C63" s="36" t="str">
        <f>IF(A63="","",IF(_xlfn.XLOOKUP($A63,'[2]ANTICIPOS SAN FERMÍN'!$B$1:$B$1000,'[2]ANTICIPOS SAN FERMÍN'!$K$1:$K$1000)="","",_xlfn.XLOOKUP($A63,'[2]ANTICIPOS SAN FERMÍN'!$B$1:$B$1000,'[2]ANTICIPOS SAN FERMÍN'!$K$1:$K$1000)))</f>
        <v/>
      </c>
      <c r="D63" s="37" t="str">
        <f>IF(A63="","",_xlfn.XLOOKUP($A63,'[2]ANTICIPOS SAN FERMÍN'!$B$1:$B$1000,'[2]ANTICIPOS SAN FERMÍN'!$M$1:$M$1000))</f>
        <v/>
      </c>
      <c r="E63" s="37" t="str">
        <f>IF(A63="","",_xlfn.XLOOKUP($A63,'[2]ANTICIPOS SAN FERMÍN'!$B$1:$B$1000,'[2]ANTICIPOS SAN FERMÍN'!$O$1:$O$1000))</f>
        <v/>
      </c>
      <c r="F63" s="52"/>
      <c r="G63" s="52"/>
      <c r="H63" s="53"/>
      <c r="I63" s="38" t="str">
        <f>IF(A63="","",_xlfn.XLOOKUP($A63,'[2]ANTICIPOS SAN FERMÍN'!$C$1:$C$1000,'[2]ANTICIPOS SAN FERMÍN'!$H$1:$H$1000))</f>
        <v/>
      </c>
      <c r="J63" s="39"/>
      <c r="K63" s="38" t="str">
        <f>IF(A63="","",_xlfn.XLOOKUP($A63,'[2]ANTICIPOS SAN FERMÍN'!$C$1:$C$1000,'[2]ANTICIPOS SAN FERMÍN'!$I$1:$I$1000))</f>
        <v/>
      </c>
      <c r="L63" s="39"/>
      <c r="M63" s="38" t="str">
        <f>IF(A63="","",_xlfn.XLOOKUP($A63,'[2]ANTICIPOS SAN FERMÍN'!$C$1:$C$1000,'[2]ANTICIPOS SAN FERMÍN'!$J$1:$J$1000))</f>
        <v/>
      </c>
      <c r="N63" s="39"/>
      <c r="O63" s="38" t="str">
        <f>IF(A63="","",_xlfn.XLOOKUP($A63,'[2]ANTICIPOS SAN FERMÍN'!$C$1:$C$1000,'[2]ANTICIPOS SAN FERMÍN'!$L$1:$L$1000))</f>
        <v/>
      </c>
      <c r="P63" s="39"/>
      <c r="Q63" s="38" t="str">
        <f>IF(A63="","",_xlfn.XLOOKUP($A63,'[2]ANTICIPOS SAN FERMÍN'!$C$1:$C$1000,'[2]ANTICIPOS SAN FERMÍN'!$N$1:$N$1000))</f>
        <v/>
      </c>
      <c r="R63" s="39"/>
    </row>
    <row r="64" spans="1:18" hidden="1" x14ac:dyDescent="0.2">
      <c r="A64" s="34"/>
      <c r="B64" s="35" t="str">
        <f>IF(A64="","",_xlfn.XLOOKUP($A64,'[2]ANTICIPOS SAN FERMÍN'!$B$1:$B$1000,'[2]ANTICIPOS SAN FERMÍN'!$I$1:$I$1000))</f>
        <v/>
      </c>
      <c r="C64" s="36" t="str">
        <f>IF(A64="","",IF(_xlfn.XLOOKUP($A64,'[2]ANTICIPOS SAN FERMÍN'!$B$1:$B$1000,'[2]ANTICIPOS SAN FERMÍN'!$K$1:$K$1000)="","",_xlfn.XLOOKUP($A64,'[2]ANTICIPOS SAN FERMÍN'!$B$1:$B$1000,'[2]ANTICIPOS SAN FERMÍN'!$K$1:$K$1000)))</f>
        <v/>
      </c>
      <c r="D64" s="37" t="str">
        <f>IF(A64="","",_xlfn.XLOOKUP($A64,'[2]ANTICIPOS SAN FERMÍN'!$B$1:$B$1000,'[2]ANTICIPOS SAN FERMÍN'!$M$1:$M$1000))</f>
        <v/>
      </c>
      <c r="E64" s="37" t="str">
        <f>IF(A64="","",_xlfn.XLOOKUP($A64,'[2]ANTICIPOS SAN FERMÍN'!$B$1:$B$1000,'[2]ANTICIPOS SAN FERMÍN'!$O$1:$O$1000))</f>
        <v/>
      </c>
      <c r="F64" s="52"/>
      <c r="G64" s="52"/>
      <c r="H64" s="53"/>
      <c r="I64" s="38" t="str">
        <f>IF(A64="","",_xlfn.XLOOKUP($A64,'[2]ANTICIPOS SAN FERMÍN'!$C$1:$C$1000,'[2]ANTICIPOS SAN FERMÍN'!$H$1:$H$1000))</f>
        <v/>
      </c>
      <c r="J64" s="39"/>
      <c r="K64" s="38" t="str">
        <f>IF(A64="","",_xlfn.XLOOKUP($A64,'[2]ANTICIPOS SAN FERMÍN'!$C$1:$C$1000,'[2]ANTICIPOS SAN FERMÍN'!$I$1:$I$1000))</f>
        <v/>
      </c>
      <c r="L64" s="39"/>
      <c r="M64" s="38" t="str">
        <f>IF(A64="","",_xlfn.XLOOKUP($A64,'[2]ANTICIPOS SAN FERMÍN'!$C$1:$C$1000,'[2]ANTICIPOS SAN FERMÍN'!$J$1:$J$1000))</f>
        <v/>
      </c>
      <c r="N64" s="39"/>
      <c r="O64" s="38" t="str">
        <f>IF(A64="","",_xlfn.XLOOKUP($A64,'[2]ANTICIPOS SAN FERMÍN'!$C$1:$C$1000,'[2]ANTICIPOS SAN FERMÍN'!$L$1:$L$1000))</f>
        <v/>
      </c>
      <c r="P64" s="39"/>
      <c r="Q64" s="38" t="str">
        <f>IF(A64="","",_xlfn.XLOOKUP($A64,'[2]ANTICIPOS SAN FERMÍN'!$C$1:$C$1000,'[2]ANTICIPOS SAN FERMÍN'!$N$1:$N$1000))</f>
        <v/>
      </c>
      <c r="R64" s="39"/>
    </row>
    <row r="65" spans="1:18" hidden="1" x14ac:dyDescent="0.2">
      <c r="A65" s="34"/>
      <c r="B65" s="35" t="str">
        <f>IF(A65="","",_xlfn.XLOOKUP($A65,'[2]ANTICIPOS SAN FERMÍN'!$B$1:$B$1000,'[2]ANTICIPOS SAN FERMÍN'!$I$1:$I$1000))</f>
        <v/>
      </c>
      <c r="C65" s="36" t="str">
        <f>IF(A65="","",IF(_xlfn.XLOOKUP($A65,'[2]ANTICIPOS SAN FERMÍN'!$B$1:$B$1000,'[2]ANTICIPOS SAN FERMÍN'!$K$1:$K$1000)="","",_xlfn.XLOOKUP($A65,'[2]ANTICIPOS SAN FERMÍN'!$B$1:$B$1000,'[2]ANTICIPOS SAN FERMÍN'!$K$1:$K$1000)))</f>
        <v/>
      </c>
      <c r="D65" s="37" t="str">
        <f>IF(A65="","",_xlfn.XLOOKUP($A65,'[2]ANTICIPOS SAN FERMÍN'!$B$1:$B$1000,'[2]ANTICIPOS SAN FERMÍN'!$M$1:$M$1000))</f>
        <v/>
      </c>
      <c r="E65" s="37" t="str">
        <f>IF(A65="","",_xlfn.XLOOKUP($A65,'[2]ANTICIPOS SAN FERMÍN'!$B$1:$B$1000,'[2]ANTICIPOS SAN FERMÍN'!$O$1:$O$1000))</f>
        <v/>
      </c>
      <c r="F65" s="52"/>
      <c r="G65" s="52"/>
      <c r="H65" s="53"/>
      <c r="I65" s="38" t="str">
        <f>IF(A65="","",_xlfn.XLOOKUP($A65,'[2]ANTICIPOS SAN FERMÍN'!$C$1:$C$1000,'[2]ANTICIPOS SAN FERMÍN'!$H$1:$H$1000))</f>
        <v/>
      </c>
      <c r="J65" s="39"/>
      <c r="K65" s="38" t="str">
        <f>IF(A65="","",_xlfn.XLOOKUP($A65,'[2]ANTICIPOS SAN FERMÍN'!$C$1:$C$1000,'[2]ANTICIPOS SAN FERMÍN'!$I$1:$I$1000))</f>
        <v/>
      </c>
      <c r="L65" s="39"/>
      <c r="M65" s="38" t="str">
        <f>IF(A65="","",_xlfn.XLOOKUP($A65,'[2]ANTICIPOS SAN FERMÍN'!$C$1:$C$1000,'[2]ANTICIPOS SAN FERMÍN'!$J$1:$J$1000))</f>
        <v/>
      </c>
      <c r="N65" s="39"/>
      <c r="O65" s="38" t="str">
        <f>IF(A65="","",_xlfn.XLOOKUP($A65,'[2]ANTICIPOS SAN FERMÍN'!$C$1:$C$1000,'[2]ANTICIPOS SAN FERMÍN'!$L$1:$L$1000))</f>
        <v/>
      </c>
      <c r="P65" s="39"/>
      <c r="Q65" s="38" t="str">
        <f>IF(A65="","",_xlfn.XLOOKUP($A65,'[2]ANTICIPOS SAN FERMÍN'!$C$1:$C$1000,'[2]ANTICIPOS SAN FERMÍN'!$N$1:$N$1000))</f>
        <v/>
      </c>
      <c r="R65" s="39"/>
    </row>
    <row r="66" spans="1:18" hidden="1" x14ac:dyDescent="0.2">
      <c r="A66" s="34"/>
      <c r="B66" s="35" t="str">
        <f>IF(A66="","",_xlfn.XLOOKUP($A66,'[2]ANTICIPOS SAN FERMÍN'!$B$1:$B$1000,'[2]ANTICIPOS SAN FERMÍN'!$I$1:$I$1000))</f>
        <v/>
      </c>
      <c r="C66" s="36" t="str">
        <f>IF(A66="","",IF(_xlfn.XLOOKUP($A66,'[2]ANTICIPOS SAN FERMÍN'!$B$1:$B$1000,'[2]ANTICIPOS SAN FERMÍN'!$K$1:$K$1000)="","",_xlfn.XLOOKUP($A66,'[2]ANTICIPOS SAN FERMÍN'!$B$1:$B$1000,'[2]ANTICIPOS SAN FERMÍN'!$K$1:$K$1000)))</f>
        <v/>
      </c>
      <c r="D66" s="37" t="str">
        <f>IF(A66="","",_xlfn.XLOOKUP($A66,'[2]ANTICIPOS SAN FERMÍN'!$B$1:$B$1000,'[2]ANTICIPOS SAN FERMÍN'!$M$1:$M$1000))</f>
        <v/>
      </c>
      <c r="E66" s="37" t="str">
        <f>IF(A66="","",_xlfn.XLOOKUP($A66,'[2]ANTICIPOS SAN FERMÍN'!$B$1:$B$1000,'[2]ANTICIPOS SAN FERMÍN'!$O$1:$O$1000))</f>
        <v/>
      </c>
      <c r="F66" s="52"/>
      <c r="G66" s="52"/>
      <c r="H66" s="53"/>
      <c r="I66" s="38" t="str">
        <f>IF(A66="","",_xlfn.XLOOKUP($A66,'[2]ANTICIPOS SAN FERMÍN'!$C$1:$C$1000,'[2]ANTICIPOS SAN FERMÍN'!$H$1:$H$1000))</f>
        <v/>
      </c>
      <c r="J66" s="39"/>
      <c r="K66" s="38" t="str">
        <f>IF(A66="","",_xlfn.XLOOKUP($A66,'[2]ANTICIPOS SAN FERMÍN'!$C$1:$C$1000,'[2]ANTICIPOS SAN FERMÍN'!$I$1:$I$1000))</f>
        <v/>
      </c>
      <c r="L66" s="39"/>
      <c r="M66" s="38" t="str">
        <f>IF(A66="","",_xlfn.XLOOKUP($A66,'[2]ANTICIPOS SAN FERMÍN'!$C$1:$C$1000,'[2]ANTICIPOS SAN FERMÍN'!$J$1:$J$1000))</f>
        <v/>
      </c>
      <c r="N66" s="39"/>
      <c r="O66" s="38" t="str">
        <f>IF(A66="","",_xlfn.XLOOKUP($A66,'[2]ANTICIPOS SAN FERMÍN'!$C$1:$C$1000,'[2]ANTICIPOS SAN FERMÍN'!$L$1:$L$1000))</f>
        <v/>
      </c>
      <c r="P66" s="39"/>
      <c r="Q66" s="38" t="str">
        <f>IF(A66="","",_xlfn.XLOOKUP($A66,'[2]ANTICIPOS SAN FERMÍN'!$C$1:$C$1000,'[2]ANTICIPOS SAN FERMÍN'!$N$1:$N$1000))</f>
        <v/>
      </c>
      <c r="R66" s="39"/>
    </row>
    <row r="67" spans="1:18" hidden="1" x14ac:dyDescent="0.2">
      <c r="A67" s="34"/>
      <c r="B67" s="35" t="str">
        <f>IF(A67="","",_xlfn.XLOOKUP($A67,'[2]ANTICIPOS SAN FERMÍN'!$B$1:$B$1000,'[2]ANTICIPOS SAN FERMÍN'!$I$1:$I$1000))</f>
        <v/>
      </c>
      <c r="C67" s="36" t="str">
        <f>IF(A67="","",IF(_xlfn.XLOOKUP($A67,'[2]ANTICIPOS SAN FERMÍN'!$B$1:$B$1000,'[2]ANTICIPOS SAN FERMÍN'!$K$1:$K$1000)="","",_xlfn.XLOOKUP($A67,'[2]ANTICIPOS SAN FERMÍN'!$B$1:$B$1000,'[2]ANTICIPOS SAN FERMÍN'!$K$1:$K$1000)))</f>
        <v/>
      </c>
      <c r="D67" s="37" t="str">
        <f>IF(A67="","",_xlfn.XLOOKUP($A67,'[2]ANTICIPOS SAN FERMÍN'!$B$1:$B$1000,'[2]ANTICIPOS SAN FERMÍN'!$M$1:$M$1000))</f>
        <v/>
      </c>
      <c r="E67" s="37" t="str">
        <f>IF(A67="","",_xlfn.XLOOKUP($A67,'[2]ANTICIPOS SAN FERMÍN'!$B$1:$B$1000,'[2]ANTICIPOS SAN FERMÍN'!$O$1:$O$1000))</f>
        <v/>
      </c>
      <c r="F67" s="52"/>
      <c r="G67" s="52"/>
      <c r="H67" s="53"/>
      <c r="I67" s="38" t="str">
        <f>IF(A67="","",_xlfn.XLOOKUP($A67,'[2]ANTICIPOS SAN FERMÍN'!$C$1:$C$1000,'[2]ANTICIPOS SAN FERMÍN'!$H$1:$H$1000))</f>
        <v/>
      </c>
      <c r="J67" s="39"/>
      <c r="K67" s="38" t="str">
        <f>IF(A67="","",_xlfn.XLOOKUP($A67,'[2]ANTICIPOS SAN FERMÍN'!$C$1:$C$1000,'[2]ANTICIPOS SAN FERMÍN'!$I$1:$I$1000))</f>
        <v/>
      </c>
      <c r="L67" s="39"/>
      <c r="M67" s="38" t="str">
        <f>IF(A67="","",_xlfn.XLOOKUP($A67,'[2]ANTICIPOS SAN FERMÍN'!$C$1:$C$1000,'[2]ANTICIPOS SAN FERMÍN'!$J$1:$J$1000))</f>
        <v/>
      </c>
      <c r="N67" s="39"/>
      <c r="O67" s="38" t="str">
        <f>IF(A67="","",_xlfn.XLOOKUP($A67,'[2]ANTICIPOS SAN FERMÍN'!$C$1:$C$1000,'[2]ANTICIPOS SAN FERMÍN'!$L$1:$L$1000))</f>
        <v/>
      </c>
      <c r="P67" s="39"/>
      <c r="Q67" s="38" t="str">
        <f>IF(A67="","",_xlfn.XLOOKUP($A67,'[2]ANTICIPOS SAN FERMÍN'!$C$1:$C$1000,'[2]ANTICIPOS SAN FERMÍN'!$N$1:$N$1000))</f>
        <v/>
      </c>
      <c r="R67" s="39"/>
    </row>
    <row r="68" spans="1:18" hidden="1" x14ac:dyDescent="0.2">
      <c r="A68" s="34"/>
      <c r="B68" s="35" t="str">
        <f>IF(A68="","",_xlfn.XLOOKUP($A68,'[2]ANTICIPOS SAN FERMÍN'!$B$1:$B$1000,'[2]ANTICIPOS SAN FERMÍN'!$I$1:$I$1000))</f>
        <v/>
      </c>
      <c r="C68" s="36" t="str">
        <f>IF(A68="","",IF(_xlfn.XLOOKUP($A68,'[2]ANTICIPOS SAN FERMÍN'!$B$1:$B$1000,'[2]ANTICIPOS SAN FERMÍN'!$K$1:$K$1000)="","",_xlfn.XLOOKUP($A68,'[2]ANTICIPOS SAN FERMÍN'!$B$1:$B$1000,'[2]ANTICIPOS SAN FERMÍN'!$K$1:$K$1000)))</f>
        <v/>
      </c>
      <c r="D68" s="37" t="str">
        <f>IF(A68="","",_xlfn.XLOOKUP($A68,'[2]ANTICIPOS SAN FERMÍN'!$B$1:$B$1000,'[2]ANTICIPOS SAN FERMÍN'!$M$1:$M$1000))</f>
        <v/>
      </c>
      <c r="E68" s="37" t="str">
        <f>IF(A68="","",_xlfn.XLOOKUP($A68,'[2]ANTICIPOS SAN FERMÍN'!$B$1:$B$1000,'[2]ANTICIPOS SAN FERMÍN'!$O$1:$O$1000))</f>
        <v/>
      </c>
      <c r="F68" s="52"/>
      <c r="G68" s="52"/>
      <c r="H68" s="53"/>
      <c r="I68" s="38" t="str">
        <f>IF(A68="","",_xlfn.XLOOKUP($A68,'[2]ANTICIPOS SAN FERMÍN'!$C$1:$C$1000,'[2]ANTICIPOS SAN FERMÍN'!$H$1:$H$1000))</f>
        <v/>
      </c>
      <c r="J68" s="39"/>
      <c r="K68" s="38" t="str">
        <f>IF(A68="","",_xlfn.XLOOKUP($A68,'[2]ANTICIPOS SAN FERMÍN'!$C$1:$C$1000,'[2]ANTICIPOS SAN FERMÍN'!$I$1:$I$1000))</f>
        <v/>
      </c>
      <c r="L68" s="39"/>
      <c r="M68" s="38" t="str">
        <f>IF(A68="","",_xlfn.XLOOKUP($A68,'[2]ANTICIPOS SAN FERMÍN'!$C$1:$C$1000,'[2]ANTICIPOS SAN FERMÍN'!$J$1:$J$1000))</f>
        <v/>
      </c>
      <c r="N68" s="39"/>
      <c r="O68" s="38" t="str">
        <f>IF(A68="","",_xlfn.XLOOKUP($A68,'[2]ANTICIPOS SAN FERMÍN'!$C$1:$C$1000,'[2]ANTICIPOS SAN FERMÍN'!$L$1:$L$1000))</f>
        <v/>
      </c>
      <c r="P68" s="39"/>
      <c r="Q68" s="38" t="str">
        <f>IF(A68="","",_xlfn.XLOOKUP($A68,'[2]ANTICIPOS SAN FERMÍN'!$C$1:$C$1000,'[2]ANTICIPOS SAN FERMÍN'!$N$1:$N$1000))</f>
        <v/>
      </c>
      <c r="R68" s="39"/>
    </row>
    <row r="69" spans="1:18" hidden="1" x14ac:dyDescent="0.2">
      <c r="A69" s="34"/>
      <c r="B69" s="35" t="str">
        <f>IF(A69="","",_xlfn.XLOOKUP($A69,'[2]ANTICIPOS SAN FERMÍN'!$B$1:$B$1000,'[2]ANTICIPOS SAN FERMÍN'!$I$1:$I$1000))</f>
        <v/>
      </c>
      <c r="C69" s="36" t="str">
        <f>IF(A69="","",IF(_xlfn.XLOOKUP($A69,'[2]ANTICIPOS SAN FERMÍN'!$B$1:$B$1000,'[2]ANTICIPOS SAN FERMÍN'!$K$1:$K$1000)="","",_xlfn.XLOOKUP($A69,'[2]ANTICIPOS SAN FERMÍN'!$B$1:$B$1000,'[2]ANTICIPOS SAN FERMÍN'!$K$1:$K$1000)))</f>
        <v/>
      </c>
      <c r="D69" s="37" t="str">
        <f>IF(A69="","",_xlfn.XLOOKUP($A69,'[2]ANTICIPOS SAN FERMÍN'!$B$1:$B$1000,'[2]ANTICIPOS SAN FERMÍN'!$M$1:$M$1000))</f>
        <v/>
      </c>
      <c r="E69" s="37" t="str">
        <f>IF(A69="","",_xlfn.XLOOKUP($A69,'[2]ANTICIPOS SAN FERMÍN'!$B$1:$B$1000,'[2]ANTICIPOS SAN FERMÍN'!$O$1:$O$1000))</f>
        <v/>
      </c>
      <c r="F69" s="52"/>
      <c r="G69" s="52"/>
      <c r="H69" s="53"/>
      <c r="I69" s="38" t="str">
        <f>IF(A69="","",_xlfn.XLOOKUP($A69,'[2]ANTICIPOS SAN FERMÍN'!$C$1:$C$1000,'[2]ANTICIPOS SAN FERMÍN'!$H$1:$H$1000))</f>
        <v/>
      </c>
      <c r="J69" s="39"/>
      <c r="K69" s="38" t="str">
        <f>IF(A69="","",_xlfn.XLOOKUP($A69,'[2]ANTICIPOS SAN FERMÍN'!$C$1:$C$1000,'[2]ANTICIPOS SAN FERMÍN'!$I$1:$I$1000))</f>
        <v/>
      </c>
      <c r="L69" s="39"/>
      <c r="M69" s="38" t="str">
        <f>IF(A69="","",_xlfn.XLOOKUP($A69,'[2]ANTICIPOS SAN FERMÍN'!$C$1:$C$1000,'[2]ANTICIPOS SAN FERMÍN'!$J$1:$J$1000))</f>
        <v/>
      </c>
      <c r="N69" s="39"/>
      <c r="O69" s="38" t="str">
        <f>IF(A69="","",_xlfn.XLOOKUP($A69,'[2]ANTICIPOS SAN FERMÍN'!$C$1:$C$1000,'[2]ANTICIPOS SAN FERMÍN'!$L$1:$L$1000))</f>
        <v/>
      </c>
      <c r="P69" s="39"/>
      <c r="Q69" s="38" t="str">
        <f>IF(A69="","",_xlfn.XLOOKUP($A69,'[2]ANTICIPOS SAN FERMÍN'!$C$1:$C$1000,'[2]ANTICIPOS SAN FERMÍN'!$N$1:$N$1000))</f>
        <v/>
      </c>
      <c r="R69" s="39"/>
    </row>
    <row r="70" spans="1:18" hidden="1" x14ac:dyDescent="0.2">
      <c r="A70" s="34"/>
      <c r="B70" s="35" t="str">
        <f>IF(A70="","",_xlfn.XLOOKUP($A70,'[2]ANTICIPOS SAN FERMÍN'!$B$1:$B$1000,'[2]ANTICIPOS SAN FERMÍN'!$I$1:$I$1000))</f>
        <v/>
      </c>
      <c r="C70" s="36" t="str">
        <f>IF(A70="","",IF(_xlfn.XLOOKUP($A70,'[2]ANTICIPOS SAN FERMÍN'!$B$1:$B$1000,'[2]ANTICIPOS SAN FERMÍN'!$K$1:$K$1000)="","",_xlfn.XLOOKUP($A70,'[2]ANTICIPOS SAN FERMÍN'!$B$1:$B$1000,'[2]ANTICIPOS SAN FERMÍN'!$K$1:$K$1000)))</f>
        <v/>
      </c>
      <c r="D70" s="37" t="str">
        <f>IF(A70="","",_xlfn.XLOOKUP($A70,'[2]ANTICIPOS SAN FERMÍN'!$B$1:$B$1000,'[2]ANTICIPOS SAN FERMÍN'!$M$1:$M$1000))</f>
        <v/>
      </c>
      <c r="E70" s="37" t="str">
        <f>IF(A70="","",_xlfn.XLOOKUP($A70,'[2]ANTICIPOS SAN FERMÍN'!$B$1:$B$1000,'[2]ANTICIPOS SAN FERMÍN'!$O$1:$O$1000))</f>
        <v/>
      </c>
      <c r="F70" s="52"/>
      <c r="G70" s="52"/>
      <c r="H70" s="53"/>
      <c r="I70" s="38" t="str">
        <f>IF(A70="","",_xlfn.XLOOKUP($A70,'[2]ANTICIPOS SAN FERMÍN'!$C$1:$C$1000,'[2]ANTICIPOS SAN FERMÍN'!$H$1:$H$1000))</f>
        <v/>
      </c>
      <c r="J70" s="39"/>
      <c r="K70" s="38" t="str">
        <f>IF(A70="","",_xlfn.XLOOKUP($A70,'[2]ANTICIPOS SAN FERMÍN'!$C$1:$C$1000,'[2]ANTICIPOS SAN FERMÍN'!$I$1:$I$1000))</f>
        <v/>
      </c>
      <c r="L70" s="39"/>
      <c r="M70" s="38" t="str">
        <f>IF(A70="","",_xlfn.XLOOKUP($A70,'[2]ANTICIPOS SAN FERMÍN'!$C$1:$C$1000,'[2]ANTICIPOS SAN FERMÍN'!$J$1:$J$1000))</f>
        <v/>
      </c>
      <c r="N70" s="39"/>
      <c r="O70" s="38" t="str">
        <f>IF(A70="","",_xlfn.XLOOKUP($A70,'[2]ANTICIPOS SAN FERMÍN'!$C$1:$C$1000,'[2]ANTICIPOS SAN FERMÍN'!$L$1:$L$1000))</f>
        <v/>
      </c>
      <c r="P70" s="39"/>
      <c r="Q70" s="38" t="str">
        <f>IF(A70="","",_xlfn.XLOOKUP($A70,'[2]ANTICIPOS SAN FERMÍN'!$C$1:$C$1000,'[2]ANTICIPOS SAN FERMÍN'!$N$1:$N$1000))</f>
        <v/>
      </c>
      <c r="R70" s="39"/>
    </row>
    <row r="71" spans="1:18" hidden="1" x14ac:dyDescent="0.2">
      <c r="A71" s="34"/>
      <c r="B71" s="35" t="str">
        <f>IF(A71="","",_xlfn.XLOOKUP($A71,'[2]ANTICIPOS SAN FERMÍN'!$B$1:$B$1000,'[2]ANTICIPOS SAN FERMÍN'!$I$1:$I$1000))</f>
        <v/>
      </c>
      <c r="C71" s="36" t="str">
        <f>IF(A71="","",IF(_xlfn.XLOOKUP($A71,'[2]ANTICIPOS SAN FERMÍN'!$B$1:$B$1000,'[2]ANTICIPOS SAN FERMÍN'!$K$1:$K$1000)="","",_xlfn.XLOOKUP($A71,'[2]ANTICIPOS SAN FERMÍN'!$B$1:$B$1000,'[2]ANTICIPOS SAN FERMÍN'!$K$1:$K$1000)))</f>
        <v/>
      </c>
      <c r="D71" s="37" t="str">
        <f>IF(A71="","",_xlfn.XLOOKUP($A71,'[2]ANTICIPOS SAN FERMÍN'!$B$1:$B$1000,'[2]ANTICIPOS SAN FERMÍN'!$M$1:$M$1000))</f>
        <v/>
      </c>
      <c r="E71" s="37" t="str">
        <f>IF(A71="","",_xlfn.XLOOKUP($A71,'[2]ANTICIPOS SAN FERMÍN'!$B$1:$B$1000,'[2]ANTICIPOS SAN FERMÍN'!$O$1:$O$1000))</f>
        <v/>
      </c>
      <c r="F71" s="52"/>
      <c r="G71" s="52"/>
      <c r="H71" s="53"/>
      <c r="I71" s="38" t="str">
        <f>IF(A71="","",_xlfn.XLOOKUP($A71,'[2]ANTICIPOS SAN FERMÍN'!$C$1:$C$1000,'[2]ANTICIPOS SAN FERMÍN'!$H$1:$H$1000))</f>
        <v/>
      </c>
      <c r="J71" s="39"/>
      <c r="K71" s="38" t="str">
        <f>IF(A71="","",_xlfn.XLOOKUP($A71,'[2]ANTICIPOS SAN FERMÍN'!$C$1:$C$1000,'[2]ANTICIPOS SAN FERMÍN'!$I$1:$I$1000))</f>
        <v/>
      </c>
      <c r="L71" s="39"/>
      <c r="M71" s="38" t="str">
        <f>IF(A71="","",_xlfn.XLOOKUP($A71,'[2]ANTICIPOS SAN FERMÍN'!$C$1:$C$1000,'[2]ANTICIPOS SAN FERMÍN'!$J$1:$J$1000))</f>
        <v/>
      </c>
      <c r="N71" s="39"/>
      <c r="O71" s="38" t="str">
        <f>IF(A71="","",_xlfn.XLOOKUP($A71,'[2]ANTICIPOS SAN FERMÍN'!$C$1:$C$1000,'[2]ANTICIPOS SAN FERMÍN'!$L$1:$L$1000))</f>
        <v/>
      </c>
      <c r="P71" s="39"/>
      <c r="Q71" s="38" t="str">
        <f>IF(A71="","",_xlfn.XLOOKUP($A71,'[2]ANTICIPOS SAN FERMÍN'!$C$1:$C$1000,'[2]ANTICIPOS SAN FERMÍN'!$N$1:$N$1000))</f>
        <v/>
      </c>
      <c r="R71" s="39"/>
    </row>
    <row r="72" spans="1:18" hidden="1" x14ac:dyDescent="0.2">
      <c r="A72" s="34"/>
      <c r="B72" s="35" t="str">
        <f>IF(A72="","",_xlfn.XLOOKUP($A72,'[2]ANTICIPOS SAN FERMÍN'!$B$1:$B$1000,'[2]ANTICIPOS SAN FERMÍN'!$I$1:$I$1000))</f>
        <v/>
      </c>
      <c r="C72" s="36" t="str">
        <f>IF(A72="","",IF(_xlfn.XLOOKUP($A72,'[2]ANTICIPOS SAN FERMÍN'!$B$1:$B$1000,'[2]ANTICIPOS SAN FERMÍN'!$K$1:$K$1000)="","",_xlfn.XLOOKUP($A72,'[2]ANTICIPOS SAN FERMÍN'!$B$1:$B$1000,'[2]ANTICIPOS SAN FERMÍN'!$K$1:$K$1000)))</f>
        <v/>
      </c>
      <c r="D72" s="37" t="str">
        <f>IF(A72="","",_xlfn.XLOOKUP($A72,'[2]ANTICIPOS SAN FERMÍN'!$B$1:$B$1000,'[2]ANTICIPOS SAN FERMÍN'!$M$1:$M$1000))</f>
        <v/>
      </c>
      <c r="E72" s="37" t="str">
        <f>IF(A72="","",_xlfn.XLOOKUP($A72,'[2]ANTICIPOS SAN FERMÍN'!$B$1:$B$1000,'[2]ANTICIPOS SAN FERMÍN'!$O$1:$O$1000))</f>
        <v/>
      </c>
      <c r="F72" s="52"/>
      <c r="G72" s="52"/>
      <c r="H72" s="53"/>
      <c r="I72" s="38" t="str">
        <f>IF(A72="","",_xlfn.XLOOKUP($A72,'[2]ANTICIPOS SAN FERMÍN'!$C$1:$C$1000,'[2]ANTICIPOS SAN FERMÍN'!$H$1:$H$1000))</f>
        <v/>
      </c>
      <c r="J72" s="39"/>
      <c r="K72" s="38" t="str">
        <f>IF(A72="","",_xlfn.XLOOKUP($A72,'[2]ANTICIPOS SAN FERMÍN'!$C$1:$C$1000,'[2]ANTICIPOS SAN FERMÍN'!$I$1:$I$1000))</f>
        <v/>
      </c>
      <c r="L72" s="39"/>
      <c r="M72" s="38" t="str">
        <f>IF(A72="","",_xlfn.XLOOKUP($A72,'[2]ANTICIPOS SAN FERMÍN'!$C$1:$C$1000,'[2]ANTICIPOS SAN FERMÍN'!$J$1:$J$1000))</f>
        <v/>
      </c>
      <c r="N72" s="39"/>
      <c r="O72" s="38" t="str">
        <f>IF(A72="","",_xlfn.XLOOKUP($A72,'[2]ANTICIPOS SAN FERMÍN'!$C$1:$C$1000,'[2]ANTICIPOS SAN FERMÍN'!$L$1:$L$1000))</f>
        <v/>
      </c>
      <c r="P72" s="39"/>
      <c r="Q72" s="38" t="str">
        <f>IF(A72="","",_xlfn.XLOOKUP($A72,'[2]ANTICIPOS SAN FERMÍN'!$C$1:$C$1000,'[2]ANTICIPOS SAN FERMÍN'!$N$1:$N$1000))</f>
        <v/>
      </c>
      <c r="R72" s="39"/>
    </row>
    <row r="73" spans="1:18" hidden="1" x14ac:dyDescent="0.2">
      <c r="A73" s="34"/>
      <c r="B73" s="35" t="str">
        <f>IF(A73="","",_xlfn.XLOOKUP($A73,'[2]ANTICIPOS SAN FERMÍN'!$B$1:$B$1000,'[2]ANTICIPOS SAN FERMÍN'!$I$1:$I$1000))</f>
        <v/>
      </c>
      <c r="C73" s="36" t="str">
        <f>IF(A73="","",IF(_xlfn.XLOOKUP($A73,'[2]ANTICIPOS SAN FERMÍN'!$B$1:$B$1000,'[2]ANTICIPOS SAN FERMÍN'!$K$1:$K$1000)="","",_xlfn.XLOOKUP($A73,'[2]ANTICIPOS SAN FERMÍN'!$B$1:$B$1000,'[2]ANTICIPOS SAN FERMÍN'!$K$1:$K$1000)))</f>
        <v/>
      </c>
      <c r="D73" s="37" t="str">
        <f>IF(A73="","",_xlfn.XLOOKUP($A73,'[2]ANTICIPOS SAN FERMÍN'!$B$1:$B$1000,'[2]ANTICIPOS SAN FERMÍN'!$M$1:$M$1000))</f>
        <v/>
      </c>
      <c r="E73" s="37" t="str">
        <f>IF(A73="","",_xlfn.XLOOKUP($A73,'[2]ANTICIPOS SAN FERMÍN'!$B$1:$B$1000,'[2]ANTICIPOS SAN FERMÍN'!$O$1:$O$1000))</f>
        <v/>
      </c>
      <c r="F73" s="52"/>
      <c r="G73" s="52"/>
      <c r="H73" s="53"/>
      <c r="I73" s="38" t="str">
        <f>IF(A73="","",_xlfn.XLOOKUP($A73,'[2]ANTICIPOS SAN FERMÍN'!$C$1:$C$1000,'[2]ANTICIPOS SAN FERMÍN'!$H$1:$H$1000))</f>
        <v/>
      </c>
      <c r="J73" s="39"/>
      <c r="K73" s="38" t="str">
        <f>IF(A73="","",_xlfn.XLOOKUP($A73,'[2]ANTICIPOS SAN FERMÍN'!$C$1:$C$1000,'[2]ANTICIPOS SAN FERMÍN'!$I$1:$I$1000))</f>
        <v/>
      </c>
      <c r="L73" s="39"/>
      <c r="M73" s="38" t="str">
        <f>IF(A73="","",_xlfn.XLOOKUP($A73,'[2]ANTICIPOS SAN FERMÍN'!$C$1:$C$1000,'[2]ANTICIPOS SAN FERMÍN'!$J$1:$J$1000))</f>
        <v/>
      </c>
      <c r="N73" s="39"/>
      <c r="O73" s="38" t="str">
        <f>IF(A73="","",_xlfn.XLOOKUP($A73,'[2]ANTICIPOS SAN FERMÍN'!$C$1:$C$1000,'[2]ANTICIPOS SAN FERMÍN'!$L$1:$L$1000))</f>
        <v/>
      </c>
      <c r="P73" s="39"/>
      <c r="Q73" s="38" t="str">
        <f>IF(A73="","",_xlfn.XLOOKUP($A73,'[2]ANTICIPOS SAN FERMÍN'!$C$1:$C$1000,'[2]ANTICIPOS SAN FERMÍN'!$N$1:$N$1000))</f>
        <v/>
      </c>
      <c r="R73" s="39"/>
    </row>
    <row r="74" spans="1:18" hidden="1" x14ac:dyDescent="0.2">
      <c r="A74" s="34"/>
      <c r="B74" s="35" t="str">
        <f>IF(A74="","",_xlfn.XLOOKUP($A74,'[2]ANTICIPOS SAN FERMÍN'!$B$1:$B$1000,'[2]ANTICIPOS SAN FERMÍN'!$I$1:$I$1000))</f>
        <v/>
      </c>
      <c r="C74" s="36" t="str">
        <f>IF(A74="","",IF(_xlfn.XLOOKUP($A74,'[2]ANTICIPOS SAN FERMÍN'!$B$1:$B$1000,'[2]ANTICIPOS SAN FERMÍN'!$K$1:$K$1000)="","",_xlfn.XLOOKUP($A74,'[2]ANTICIPOS SAN FERMÍN'!$B$1:$B$1000,'[2]ANTICIPOS SAN FERMÍN'!$K$1:$K$1000)))</f>
        <v/>
      </c>
      <c r="D74" s="37" t="str">
        <f>IF(A74="","",_xlfn.XLOOKUP($A74,'[2]ANTICIPOS SAN FERMÍN'!$B$1:$B$1000,'[2]ANTICIPOS SAN FERMÍN'!$M$1:$M$1000))</f>
        <v/>
      </c>
      <c r="E74" s="37" t="str">
        <f>IF(A74="","",_xlfn.XLOOKUP($A74,'[2]ANTICIPOS SAN FERMÍN'!$B$1:$B$1000,'[2]ANTICIPOS SAN FERMÍN'!$O$1:$O$1000))</f>
        <v/>
      </c>
      <c r="F74" s="52"/>
      <c r="G74" s="52"/>
      <c r="H74" s="53"/>
      <c r="I74" s="38" t="str">
        <f>IF(A74="","",_xlfn.XLOOKUP($A74,'[2]ANTICIPOS SAN FERMÍN'!$C$1:$C$1000,'[2]ANTICIPOS SAN FERMÍN'!$H$1:$H$1000))</f>
        <v/>
      </c>
      <c r="J74" s="39"/>
      <c r="K74" s="38" t="str">
        <f>IF(A74="","",_xlfn.XLOOKUP($A74,'[2]ANTICIPOS SAN FERMÍN'!$C$1:$C$1000,'[2]ANTICIPOS SAN FERMÍN'!$I$1:$I$1000))</f>
        <v/>
      </c>
      <c r="L74" s="39"/>
      <c r="M74" s="38" t="str">
        <f>IF(A74="","",_xlfn.XLOOKUP($A74,'[2]ANTICIPOS SAN FERMÍN'!$C$1:$C$1000,'[2]ANTICIPOS SAN FERMÍN'!$J$1:$J$1000))</f>
        <v/>
      </c>
      <c r="N74" s="39"/>
      <c r="O74" s="38" t="str">
        <f>IF(A74="","",_xlfn.XLOOKUP($A74,'[2]ANTICIPOS SAN FERMÍN'!$C$1:$C$1000,'[2]ANTICIPOS SAN FERMÍN'!$L$1:$L$1000))</f>
        <v/>
      </c>
      <c r="P74" s="39"/>
      <c r="Q74" s="38" t="str">
        <f>IF(A74="","",_xlfn.XLOOKUP($A74,'[2]ANTICIPOS SAN FERMÍN'!$C$1:$C$1000,'[2]ANTICIPOS SAN FERMÍN'!$N$1:$N$1000))</f>
        <v/>
      </c>
      <c r="R74" s="39"/>
    </row>
    <row r="75" spans="1:18" hidden="1" x14ac:dyDescent="0.2">
      <c r="A75" s="34"/>
      <c r="B75" s="35" t="str">
        <f>IF(A75="","",_xlfn.XLOOKUP($A75,'[2]ANTICIPOS SAN FERMÍN'!$B$1:$B$1000,'[2]ANTICIPOS SAN FERMÍN'!$I$1:$I$1000))</f>
        <v/>
      </c>
      <c r="C75" s="36" t="str">
        <f>IF(A75="","",IF(_xlfn.XLOOKUP($A75,'[2]ANTICIPOS SAN FERMÍN'!$B$1:$B$1000,'[2]ANTICIPOS SAN FERMÍN'!$K$1:$K$1000)="","",_xlfn.XLOOKUP($A75,'[2]ANTICIPOS SAN FERMÍN'!$B$1:$B$1000,'[2]ANTICIPOS SAN FERMÍN'!$K$1:$K$1000)))</f>
        <v/>
      </c>
      <c r="D75" s="37" t="str">
        <f>IF(A75="","",_xlfn.XLOOKUP($A75,'[2]ANTICIPOS SAN FERMÍN'!$B$1:$B$1000,'[2]ANTICIPOS SAN FERMÍN'!$M$1:$M$1000))</f>
        <v/>
      </c>
      <c r="E75" s="37" t="str">
        <f>IF(A75="","",_xlfn.XLOOKUP($A75,'[2]ANTICIPOS SAN FERMÍN'!$B$1:$B$1000,'[2]ANTICIPOS SAN FERMÍN'!$O$1:$O$1000))</f>
        <v/>
      </c>
      <c r="F75" s="52"/>
      <c r="G75" s="52"/>
      <c r="H75" s="53"/>
      <c r="I75" s="38" t="str">
        <f>IF(A75="","",_xlfn.XLOOKUP($A75,'[2]ANTICIPOS SAN FERMÍN'!$C$1:$C$1000,'[2]ANTICIPOS SAN FERMÍN'!$H$1:$H$1000))</f>
        <v/>
      </c>
      <c r="J75" s="39"/>
      <c r="K75" s="38" t="str">
        <f>IF(A75="","",_xlfn.XLOOKUP($A75,'[2]ANTICIPOS SAN FERMÍN'!$C$1:$C$1000,'[2]ANTICIPOS SAN FERMÍN'!$I$1:$I$1000))</f>
        <v/>
      </c>
      <c r="L75" s="39"/>
      <c r="M75" s="38" t="str">
        <f>IF(A75="","",_xlfn.XLOOKUP($A75,'[2]ANTICIPOS SAN FERMÍN'!$C$1:$C$1000,'[2]ANTICIPOS SAN FERMÍN'!$J$1:$J$1000))</f>
        <v/>
      </c>
      <c r="N75" s="39"/>
      <c r="O75" s="38" t="str">
        <f>IF(A75="","",_xlfn.XLOOKUP($A75,'[2]ANTICIPOS SAN FERMÍN'!$C$1:$C$1000,'[2]ANTICIPOS SAN FERMÍN'!$L$1:$L$1000))</f>
        <v/>
      </c>
      <c r="P75" s="39"/>
      <c r="Q75" s="38" t="str">
        <f>IF(A75="","",_xlfn.XLOOKUP($A75,'[2]ANTICIPOS SAN FERMÍN'!$C$1:$C$1000,'[2]ANTICIPOS SAN FERMÍN'!$N$1:$N$1000))</f>
        <v/>
      </c>
      <c r="R75" s="39"/>
    </row>
    <row r="76" spans="1:18" hidden="1" x14ac:dyDescent="0.2">
      <c r="A76" s="34"/>
      <c r="B76" s="35" t="str">
        <f>IF(A76="","",_xlfn.XLOOKUP($A76,'[2]ANTICIPOS SAN FERMÍN'!$B$1:$B$1000,'[2]ANTICIPOS SAN FERMÍN'!$I$1:$I$1000))</f>
        <v/>
      </c>
      <c r="C76" s="36" t="str">
        <f>IF(A76="","",IF(_xlfn.XLOOKUP($A76,'[2]ANTICIPOS SAN FERMÍN'!$B$1:$B$1000,'[2]ANTICIPOS SAN FERMÍN'!$K$1:$K$1000)="","",_xlfn.XLOOKUP($A76,'[2]ANTICIPOS SAN FERMÍN'!$B$1:$B$1000,'[2]ANTICIPOS SAN FERMÍN'!$K$1:$K$1000)))</f>
        <v/>
      </c>
      <c r="D76" s="37" t="str">
        <f>IF(A76="","",_xlfn.XLOOKUP($A76,'[2]ANTICIPOS SAN FERMÍN'!$B$1:$B$1000,'[2]ANTICIPOS SAN FERMÍN'!$M$1:$M$1000))</f>
        <v/>
      </c>
      <c r="E76" s="37" t="str">
        <f>IF(A76="","",_xlfn.XLOOKUP($A76,'[2]ANTICIPOS SAN FERMÍN'!$B$1:$B$1000,'[2]ANTICIPOS SAN FERMÍN'!$O$1:$O$1000))</f>
        <v/>
      </c>
      <c r="F76" s="52"/>
      <c r="G76" s="52"/>
      <c r="H76" s="53"/>
      <c r="I76" s="38" t="str">
        <f>IF(A76="","",_xlfn.XLOOKUP($A76,'[2]ANTICIPOS SAN FERMÍN'!$C$1:$C$1000,'[2]ANTICIPOS SAN FERMÍN'!$H$1:$H$1000))</f>
        <v/>
      </c>
      <c r="J76" s="39"/>
      <c r="K76" s="38" t="str">
        <f>IF(A76="","",_xlfn.XLOOKUP($A76,'[2]ANTICIPOS SAN FERMÍN'!$C$1:$C$1000,'[2]ANTICIPOS SAN FERMÍN'!$I$1:$I$1000))</f>
        <v/>
      </c>
      <c r="L76" s="39"/>
      <c r="M76" s="38" t="str">
        <f>IF(A76="","",_xlfn.XLOOKUP($A76,'[2]ANTICIPOS SAN FERMÍN'!$C$1:$C$1000,'[2]ANTICIPOS SAN FERMÍN'!$J$1:$J$1000))</f>
        <v/>
      </c>
      <c r="N76" s="39"/>
      <c r="O76" s="38" t="str">
        <f>IF(A76="","",_xlfn.XLOOKUP($A76,'[2]ANTICIPOS SAN FERMÍN'!$C$1:$C$1000,'[2]ANTICIPOS SAN FERMÍN'!$L$1:$L$1000))</f>
        <v/>
      </c>
      <c r="P76" s="39"/>
      <c r="Q76" s="38" t="str">
        <f>IF(A76="","",_xlfn.XLOOKUP($A76,'[2]ANTICIPOS SAN FERMÍN'!$C$1:$C$1000,'[2]ANTICIPOS SAN FERMÍN'!$N$1:$N$1000))</f>
        <v/>
      </c>
      <c r="R76" s="39"/>
    </row>
    <row r="77" spans="1:18" hidden="1" x14ac:dyDescent="0.2">
      <c r="A77" s="34"/>
      <c r="B77" s="35" t="str">
        <f>IF(A77="","",_xlfn.XLOOKUP($A77,'[2]ANTICIPOS SAN FERMÍN'!$B$1:$B$1000,'[2]ANTICIPOS SAN FERMÍN'!$I$1:$I$1000))</f>
        <v/>
      </c>
      <c r="C77" s="36" t="str">
        <f>IF(A77="","",IF(_xlfn.XLOOKUP($A77,'[2]ANTICIPOS SAN FERMÍN'!$B$1:$B$1000,'[2]ANTICIPOS SAN FERMÍN'!$K$1:$K$1000)="","",_xlfn.XLOOKUP($A77,'[2]ANTICIPOS SAN FERMÍN'!$B$1:$B$1000,'[2]ANTICIPOS SAN FERMÍN'!$K$1:$K$1000)))</f>
        <v/>
      </c>
      <c r="D77" s="37" t="str">
        <f>IF(A77="","",_xlfn.XLOOKUP($A77,'[2]ANTICIPOS SAN FERMÍN'!$B$1:$B$1000,'[2]ANTICIPOS SAN FERMÍN'!$M$1:$M$1000))</f>
        <v/>
      </c>
      <c r="E77" s="37" t="str">
        <f>IF(A77="","",_xlfn.XLOOKUP($A77,'[2]ANTICIPOS SAN FERMÍN'!$B$1:$B$1000,'[2]ANTICIPOS SAN FERMÍN'!$O$1:$O$1000))</f>
        <v/>
      </c>
      <c r="F77" s="52"/>
      <c r="G77" s="52"/>
      <c r="H77" s="53"/>
      <c r="I77" s="38" t="str">
        <f>IF(A77="","",_xlfn.XLOOKUP($A77,'[2]ANTICIPOS SAN FERMÍN'!$C$1:$C$1000,'[2]ANTICIPOS SAN FERMÍN'!$H$1:$H$1000))</f>
        <v/>
      </c>
      <c r="J77" s="39"/>
      <c r="K77" s="38" t="str">
        <f>IF(A77="","",_xlfn.XLOOKUP($A77,'[2]ANTICIPOS SAN FERMÍN'!$C$1:$C$1000,'[2]ANTICIPOS SAN FERMÍN'!$I$1:$I$1000))</f>
        <v/>
      </c>
      <c r="L77" s="39"/>
      <c r="M77" s="38" t="str">
        <f>IF(A77="","",_xlfn.XLOOKUP($A77,'[2]ANTICIPOS SAN FERMÍN'!$C$1:$C$1000,'[2]ANTICIPOS SAN FERMÍN'!$J$1:$J$1000))</f>
        <v/>
      </c>
      <c r="N77" s="39"/>
      <c r="O77" s="38" t="str">
        <f>IF(A77="","",_xlfn.XLOOKUP($A77,'[2]ANTICIPOS SAN FERMÍN'!$C$1:$C$1000,'[2]ANTICIPOS SAN FERMÍN'!$L$1:$L$1000))</f>
        <v/>
      </c>
      <c r="P77" s="39"/>
      <c r="Q77" s="38" t="str">
        <f>IF(A77="","",_xlfn.XLOOKUP($A77,'[2]ANTICIPOS SAN FERMÍN'!$C$1:$C$1000,'[2]ANTICIPOS SAN FERMÍN'!$N$1:$N$1000))</f>
        <v/>
      </c>
      <c r="R77" s="39"/>
    </row>
    <row r="78" spans="1:18" hidden="1" x14ac:dyDescent="0.2">
      <c r="A78" s="34"/>
      <c r="B78" s="35" t="str">
        <f>IF(A78="","",_xlfn.XLOOKUP($A78,'[2]ANTICIPOS SAN FERMÍN'!$B$1:$B$1000,'[2]ANTICIPOS SAN FERMÍN'!$I$1:$I$1000))</f>
        <v/>
      </c>
      <c r="C78" s="36" t="str">
        <f>IF(A78="","",IF(_xlfn.XLOOKUP($A78,'[2]ANTICIPOS SAN FERMÍN'!$B$1:$B$1000,'[2]ANTICIPOS SAN FERMÍN'!$K$1:$K$1000)="","",_xlfn.XLOOKUP($A78,'[2]ANTICIPOS SAN FERMÍN'!$B$1:$B$1000,'[2]ANTICIPOS SAN FERMÍN'!$K$1:$K$1000)))</f>
        <v/>
      </c>
      <c r="D78" s="37" t="str">
        <f>IF(A78="","",_xlfn.XLOOKUP($A78,'[2]ANTICIPOS SAN FERMÍN'!$B$1:$B$1000,'[2]ANTICIPOS SAN FERMÍN'!$M$1:$M$1000))</f>
        <v/>
      </c>
      <c r="E78" s="37" t="str">
        <f>IF(A78="","",_xlfn.XLOOKUP($A78,'[2]ANTICIPOS SAN FERMÍN'!$B$1:$B$1000,'[2]ANTICIPOS SAN FERMÍN'!$O$1:$O$1000))</f>
        <v/>
      </c>
      <c r="F78" s="52"/>
      <c r="G78" s="52"/>
      <c r="H78" s="53"/>
      <c r="I78" s="38" t="str">
        <f>IF(A78="","",_xlfn.XLOOKUP($A78,'[2]ANTICIPOS SAN FERMÍN'!$C$1:$C$1000,'[2]ANTICIPOS SAN FERMÍN'!$H$1:$H$1000))</f>
        <v/>
      </c>
      <c r="J78" s="39"/>
      <c r="K78" s="38" t="str">
        <f>IF(A78="","",_xlfn.XLOOKUP($A78,'[2]ANTICIPOS SAN FERMÍN'!$C$1:$C$1000,'[2]ANTICIPOS SAN FERMÍN'!$I$1:$I$1000))</f>
        <v/>
      </c>
      <c r="L78" s="39"/>
      <c r="M78" s="38" t="str">
        <f>IF(A78="","",_xlfn.XLOOKUP($A78,'[2]ANTICIPOS SAN FERMÍN'!$C$1:$C$1000,'[2]ANTICIPOS SAN FERMÍN'!$J$1:$J$1000))</f>
        <v/>
      </c>
      <c r="N78" s="39"/>
      <c r="O78" s="38" t="str">
        <f>IF(A78="","",_xlfn.XLOOKUP($A78,'[2]ANTICIPOS SAN FERMÍN'!$C$1:$C$1000,'[2]ANTICIPOS SAN FERMÍN'!$L$1:$L$1000))</f>
        <v/>
      </c>
      <c r="P78" s="39"/>
      <c r="Q78" s="38" t="str">
        <f>IF(A78="","",_xlfn.XLOOKUP($A78,'[2]ANTICIPOS SAN FERMÍN'!$C$1:$C$1000,'[2]ANTICIPOS SAN FERMÍN'!$N$1:$N$1000))</f>
        <v/>
      </c>
      <c r="R78" s="39"/>
    </row>
    <row r="79" spans="1:18" hidden="1" x14ac:dyDescent="0.2">
      <c r="A79" s="34"/>
      <c r="B79" s="35" t="str">
        <f>IF(A79="","",_xlfn.XLOOKUP($A79,'[2]ANTICIPOS SAN FERMÍN'!$B$1:$B$1000,'[2]ANTICIPOS SAN FERMÍN'!$I$1:$I$1000))</f>
        <v/>
      </c>
      <c r="C79" s="36" t="str">
        <f>IF(A79="","",IF(_xlfn.XLOOKUP($A79,'[2]ANTICIPOS SAN FERMÍN'!$B$1:$B$1000,'[2]ANTICIPOS SAN FERMÍN'!$K$1:$K$1000)="","",_xlfn.XLOOKUP($A79,'[2]ANTICIPOS SAN FERMÍN'!$B$1:$B$1000,'[2]ANTICIPOS SAN FERMÍN'!$K$1:$K$1000)))</f>
        <v/>
      </c>
      <c r="D79" s="37" t="str">
        <f>IF(A79="","",_xlfn.XLOOKUP($A79,'[2]ANTICIPOS SAN FERMÍN'!$B$1:$B$1000,'[2]ANTICIPOS SAN FERMÍN'!$M$1:$M$1000))</f>
        <v/>
      </c>
      <c r="E79" s="37" t="str">
        <f>IF(A79="","",_xlfn.XLOOKUP($A79,'[2]ANTICIPOS SAN FERMÍN'!$B$1:$B$1000,'[2]ANTICIPOS SAN FERMÍN'!$O$1:$O$1000))</f>
        <v/>
      </c>
      <c r="F79" s="52"/>
      <c r="G79" s="52"/>
      <c r="H79" s="53"/>
      <c r="I79" s="38" t="str">
        <f>IF(A79="","",_xlfn.XLOOKUP($A79,'[2]ANTICIPOS SAN FERMÍN'!$C$1:$C$1000,'[2]ANTICIPOS SAN FERMÍN'!$H$1:$H$1000))</f>
        <v/>
      </c>
      <c r="J79" s="39"/>
      <c r="K79" s="38" t="str">
        <f>IF(A79="","",_xlfn.XLOOKUP($A79,'[2]ANTICIPOS SAN FERMÍN'!$C$1:$C$1000,'[2]ANTICIPOS SAN FERMÍN'!$I$1:$I$1000))</f>
        <v/>
      </c>
      <c r="L79" s="39"/>
      <c r="M79" s="38" t="str">
        <f>IF(A79="","",_xlfn.XLOOKUP($A79,'[2]ANTICIPOS SAN FERMÍN'!$C$1:$C$1000,'[2]ANTICIPOS SAN FERMÍN'!$J$1:$J$1000))</f>
        <v/>
      </c>
      <c r="N79" s="39"/>
      <c r="O79" s="38" t="str">
        <f>IF(A79="","",_xlfn.XLOOKUP($A79,'[2]ANTICIPOS SAN FERMÍN'!$C$1:$C$1000,'[2]ANTICIPOS SAN FERMÍN'!$L$1:$L$1000))</f>
        <v/>
      </c>
      <c r="P79" s="39"/>
      <c r="Q79" s="38" t="str">
        <f>IF(A79="","",_xlfn.XLOOKUP($A79,'[2]ANTICIPOS SAN FERMÍN'!$C$1:$C$1000,'[2]ANTICIPOS SAN FERMÍN'!$N$1:$N$1000))</f>
        <v/>
      </c>
      <c r="R79" s="39"/>
    </row>
    <row r="80" spans="1:18" hidden="1" x14ac:dyDescent="0.2">
      <c r="A80" s="34"/>
      <c r="B80" s="35" t="str">
        <f>IF(A80="","",_xlfn.XLOOKUP($A80,'[2]ANTICIPOS SAN FERMÍN'!$B$1:$B$1000,'[2]ANTICIPOS SAN FERMÍN'!$I$1:$I$1000))</f>
        <v/>
      </c>
      <c r="C80" s="36" t="str">
        <f>IF(A80="","",IF(_xlfn.XLOOKUP($A80,'[2]ANTICIPOS SAN FERMÍN'!$B$1:$B$1000,'[2]ANTICIPOS SAN FERMÍN'!$K$1:$K$1000)="","",_xlfn.XLOOKUP($A80,'[2]ANTICIPOS SAN FERMÍN'!$B$1:$B$1000,'[2]ANTICIPOS SAN FERMÍN'!$K$1:$K$1000)))</f>
        <v/>
      </c>
      <c r="D80" s="37" t="str">
        <f>IF(A80="","",_xlfn.XLOOKUP($A80,'[2]ANTICIPOS SAN FERMÍN'!$B$1:$B$1000,'[2]ANTICIPOS SAN FERMÍN'!$M$1:$M$1000))</f>
        <v/>
      </c>
      <c r="E80" s="37" t="str">
        <f>IF(A80="","",_xlfn.XLOOKUP($A80,'[2]ANTICIPOS SAN FERMÍN'!$B$1:$B$1000,'[2]ANTICIPOS SAN FERMÍN'!$O$1:$O$1000))</f>
        <v/>
      </c>
      <c r="F80" s="52"/>
      <c r="G80" s="52"/>
      <c r="H80" s="53"/>
      <c r="I80" s="38" t="str">
        <f>IF(A80="","",_xlfn.XLOOKUP($A80,'[2]ANTICIPOS SAN FERMÍN'!$C$1:$C$1000,'[2]ANTICIPOS SAN FERMÍN'!$H$1:$H$1000))</f>
        <v/>
      </c>
      <c r="J80" s="39"/>
      <c r="K80" s="38" t="str">
        <f>IF(A80="","",_xlfn.XLOOKUP($A80,'[2]ANTICIPOS SAN FERMÍN'!$C$1:$C$1000,'[2]ANTICIPOS SAN FERMÍN'!$I$1:$I$1000))</f>
        <v/>
      </c>
      <c r="L80" s="39"/>
      <c r="M80" s="38" t="str">
        <f>IF(A80="","",_xlfn.XLOOKUP($A80,'[2]ANTICIPOS SAN FERMÍN'!$C$1:$C$1000,'[2]ANTICIPOS SAN FERMÍN'!$J$1:$J$1000))</f>
        <v/>
      </c>
      <c r="N80" s="39"/>
      <c r="O80" s="38" t="str">
        <f>IF(A80="","",_xlfn.XLOOKUP($A80,'[2]ANTICIPOS SAN FERMÍN'!$C$1:$C$1000,'[2]ANTICIPOS SAN FERMÍN'!$L$1:$L$1000))</f>
        <v/>
      </c>
      <c r="P80" s="39"/>
      <c r="Q80" s="38" t="str">
        <f>IF(A80="","",_xlfn.XLOOKUP($A80,'[2]ANTICIPOS SAN FERMÍN'!$C$1:$C$1000,'[2]ANTICIPOS SAN FERMÍN'!$N$1:$N$1000))</f>
        <v/>
      </c>
      <c r="R80" s="39"/>
    </row>
    <row r="81" spans="1:18" hidden="1" x14ac:dyDescent="0.2">
      <c r="A81" s="34"/>
      <c r="B81" s="35" t="str">
        <f>IF(A81="","",_xlfn.XLOOKUP($A81,'[2]ANTICIPOS SAN FERMÍN'!$B$1:$B$1000,'[2]ANTICIPOS SAN FERMÍN'!$I$1:$I$1000))</f>
        <v/>
      </c>
      <c r="C81" s="36" t="str">
        <f>IF(A81="","",IF(_xlfn.XLOOKUP($A81,'[2]ANTICIPOS SAN FERMÍN'!$B$1:$B$1000,'[2]ANTICIPOS SAN FERMÍN'!$K$1:$K$1000)="","",_xlfn.XLOOKUP($A81,'[2]ANTICIPOS SAN FERMÍN'!$B$1:$B$1000,'[2]ANTICIPOS SAN FERMÍN'!$K$1:$K$1000)))</f>
        <v/>
      </c>
      <c r="D81" s="37" t="str">
        <f>IF(A81="","",_xlfn.XLOOKUP($A81,'[2]ANTICIPOS SAN FERMÍN'!$B$1:$B$1000,'[2]ANTICIPOS SAN FERMÍN'!$M$1:$M$1000))</f>
        <v/>
      </c>
      <c r="E81" s="37" t="str">
        <f>IF(A81="","",_xlfn.XLOOKUP($A81,'[2]ANTICIPOS SAN FERMÍN'!$B$1:$B$1000,'[2]ANTICIPOS SAN FERMÍN'!$O$1:$O$1000))</f>
        <v/>
      </c>
      <c r="F81" s="52"/>
      <c r="G81" s="52"/>
      <c r="H81" s="53"/>
      <c r="I81" s="38" t="str">
        <f>IF(A81="","",_xlfn.XLOOKUP($A81,'[2]ANTICIPOS SAN FERMÍN'!$C$1:$C$1000,'[2]ANTICIPOS SAN FERMÍN'!$H$1:$H$1000))</f>
        <v/>
      </c>
      <c r="J81" s="39"/>
      <c r="K81" s="38" t="str">
        <f>IF(A81="","",_xlfn.XLOOKUP($A81,'[2]ANTICIPOS SAN FERMÍN'!$C$1:$C$1000,'[2]ANTICIPOS SAN FERMÍN'!$I$1:$I$1000))</f>
        <v/>
      </c>
      <c r="L81" s="39"/>
      <c r="M81" s="38" t="str">
        <f>IF(A81="","",_xlfn.XLOOKUP($A81,'[2]ANTICIPOS SAN FERMÍN'!$C$1:$C$1000,'[2]ANTICIPOS SAN FERMÍN'!$J$1:$J$1000))</f>
        <v/>
      </c>
      <c r="N81" s="39"/>
      <c r="O81" s="38" t="str">
        <f>IF(A81="","",_xlfn.XLOOKUP($A81,'[2]ANTICIPOS SAN FERMÍN'!$C$1:$C$1000,'[2]ANTICIPOS SAN FERMÍN'!$L$1:$L$1000))</f>
        <v/>
      </c>
      <c r="P81" s="39"/>
      <c r="Q81" s="38" t="str">
        <f>IF(A81="","",_xlfn.XLOOKUP($A81,'[2]ANTICIPOS SAN FERMÍN'!$C$1:$C$1000,'[2]ANTICIPOS SAN FERMÍN'!$N$1:$N$1000))</f>
        <v/>
      </c>
      <c r="R81" s="39"/>
    </row>
    <row r="82" spans="1:18" hidden="1" x14ac:dyDescent="0.2">
      <c r="A82" s="34"/>
      <c r="B82" s="35" t="str">
        <f>IF(A82="","",_xlfn.XLOOKUP($A82,'[2]ANTICIPOS SAN FERMÍN'!$B$1:$B$1000,'[2]ANTICIPOS SAN FERMÍN'!$I$1:$I$1000))</f>
        <v/>
      </c>
      <c r="C82" s="36" t="str">
        <f>IF(A82="","",IF(_xlfn.XLOOKUP($A82,'[2]ANTICIPOS SAN FERMÍN'!$B$1:$B$1000,'[2]ANTICIPOS SAN FERMÍN'!$K$1:$K$1000)="","",_xlfn.XLOOKUP($A82,'[2]ANTICIPOS SAN FERMÍN'!$B$1:$B$1000,'[2]ANTICIPOS SAN FERMÍN'!$K$1:$K$1000)))</f>
        <v/>
      </c>
      <c r="D82" s="37" t="str">
        <f>IF(A82="","",_xlfn.XLOOKUP($A82,'[2]ANTICIPOS SAN FERMÍN'!$B$1:$B$1000,'[2]ANTICIPOS SAN FERMÍN'!$M$1:$M$1000))</f>
        <v/>
      </c>
      <c r="E82" s="37" t="str">
        <f>IF(A82="","",_xlfn.XLOOKUP($A82,'[2]ANTICIPOS SAN FERMÍN'!$B$1:$B$1000,'[2]ANTICIPOS SAN FERMÍN'!$O$1:$O$1000))</f>
        <v/>
      </c>
      <c r="F82" s="52"/>
      <c r="G82" s="52"/>
      <c r="H82" s="53"/>
      <c r="I82" s="38" t="str">
        <f>IF(A82="","",_xlfn.XLOOKUP($A82,'[2]ANTICIPOS SAN FERMÍN'!$C$1:$C$1000,'[2]ANTICIPOS SAN FERMÍN'!$H$1:$H$1000))</f>
        <v/>
      </c>
      <c r="J82" s="39"/>
      <c r="K82" s="38" t="str">
        <f>IF(A82="","",_xlfn.XLOOKUP($A82,'[2]ANTICIPOS SAN FERMÍN'!$C$1:$C$1000,'[2]ANTICIPOS SAN FERMÍN'!$I$1:$I$1000))</f>
        <v/>
      </c>
      <c r="L82" s="39"/>
      <c r="M82" s="38" t="str">
        <f>IF(A82="","",_xlfn.XLOOKUP($A82,'[2]ANTICIPOS SAN FERMÍN'!$C$1:$C$1000,'[2]ANTICIPOS SAN FERMÍN'!$J$1:$J$1000))</f>
        <v/>
      </c>
      <c r="N82" s="39"/>
      <c r="O82" s="38" t="str">
        <f>IF(A82="","",_xlfn.XLOOKUP($A82,'[2]ANTICIPOS SAN FERMÍN'!$C$1:$C$1000,'[2]ANTICIPOS SAN FERMÍN'!$L$1:$L$1000))</f>
        <v/>
      </c>
      <c r="P82" s="39"/>
      <c r="Q82" s="38" t="str">
        <f>IF(A82="","",_xlfn.XLOOKUP($A82,'[2]ANTICIPOS SAN FERMÍN'!$C$1:$C$1000,'[2]ANTICIPOS SAN FERMÍN'!$N$1:$N$1000))</f>
        <v/>
      </c>
      <c r="R82" s="39"/>
    </row>
    <row r="83" spans="1:18" hidden="1" x14ac:dyDescent="0.2">
      <c r="A83" s="34"/>
      <c r="B83" s="35" t="str">
        <f>IF(A83="","",_xlfn.XLOOKUP($A83,'[2]ANTICIPOS SAN FERMÍN'!$B$1:$B$1000,'[2]ANTICIPOS SAN FERMÍN'!$I$1:$I$1000))</f>
        <v/>
      </c>
      <c r="C83" s="36" t="str">
        <f>IF(A83="","",IF(_xlfn.XLOOKUP($A83,'[2]ANTICIPOS SAN FERMÍN'!$B$1:$B$1000,'[2]ANTICIPOS SAN FERMÍN'!$K$1:$K$1000)="","",_xlfn.XLOOKUP($A83,'[2]ANTICIPOS SAN FERMÍN'!$B$1:$B$1000,'[2]ANTICIPOS SAN FERMÍN'!$K$1:$K$1000)))</f>
        <v/>
      </c>
      <c r="D83" s="37" t="str">
        <f>IF(A83="","",_xlfn.XLOOKUP($A83,'[2]ANTICIPOS SAN FERMÍN'!$B$1:$B$1000,'[2]ANTICIPOS SAN FERMÍN'!$M$1:$M$1000))</f>
        <v/>
      </c>
      <c r="E83" s="37" t="str">
        <f>IF(A83="","",_xlfn.XLOOKUP($A83,'[2]ANTICIPOS SAN FERMÍN'!$B$1:$B$1000,'[2]ANTICIPOS SAN FERMÍN'!$O$1:$O$1000))</f>
        <v/>
      </c>
      <c r="F83" s="52"/>
      <c r="G83" s="52"/>
      <c r="H83" s="53"/>
      <c r="I83" s="38" t="str">
        <f>IF(A83="","",_xlfn.XLOOKUP($A83,'[2]ANTICIPOS SAN FERMÍN'!$C$1:$C$1000,'[2]ANTICIPOS SAN FERMÍN'!$H$1:$H$1000))</f>
        <v/>
      </c>
      <c r="J83" s="39"/>
      <c r="K83" s="38" t="str">
        <f>IF(A83="","",_xlfn.XLOOKUP($A83,'[2]ANTICIPOS SAN FERMÍN'!$C$1:$C$1000,'[2]ANTICIPOS SAN FERMÍN'!$I$1:$I$1000))</f>
        <v/>
      </c>
      <c r="L83" s="39"/>
      <c r="M83" s="38" t="str">
        <f>IF(A83="","",_xlfn.XLOOKUP($A83,'[2]ANTICIPOS SAN FERMÍN'!$C$1:$C$1000,'[2]ANTICIPOS SAN FERMÍN'!$J$1:$J$1000))</f>
        <v/>
      </c>
      <c r="N83" s="39"/>
      <c r="O83" s="38" t="str">
        <f>IF(A83="","",_xlfn.XLOOKUP($A83,'[2]ANTICIPOS SAN FERMÍN'!$C$1:$C$1000,'[2]ANTICIPOS SAN FERMÍN'!$L$1:$L$1000))</f>
        <v/>
      </c>
      <c r="P83" s="39"/>
      <c r="Q83" s="38" t="str">
        <f>IF(A83="","",_xlfn.XLOOKUP($A83,'[2]ANTICIPOS SAN FERMÍN'!$C$1:$C$1000,'[2]ANTICIPOS SAN FERMÍN'!$N$1:$N$1000))</f>
        <v/>
      </c>
      <c r="R83" s="39"/>
    </row>
    <row r="84" spans="1:18" hidden="1" x14ac:dyDescent="0.2">
      <c r="A84" s="34"/>
      <c r="B84" s="35" t="str">
        <f>IF(A84="","",_xlfn.XLOOKUP($A84,'[2]ANTICIPOS SAN FERMÍN'!$B$1:$B$1000,'[2]ANTICIPOS SAN FERMÍN'!$I$1:$I$1000))</f>
        <v/>
      </c>
      <c r="C84" s="36" t="str">
        <f>IF(A84="","",IF(_xlfn.XLOOKUP($A84,'[2]ANTICIPOS SAN FERMÍN'!$B$1:$B$1000,'[2]ANTICIPOS SAN FERMÍN'!$K$1:$K$1000)="","",_xlfn.XLOOKUP($A84,'[2]ANTICIPOS SAN FERMÍN'!$B$1:$B$1000,'[2]ANTICIPOS SAN FERMÍN'!$K$1:$K$1000)))</f>
        <v/>
      </c>
      <c r="D84" s="37" t="str">
        <f>IF(A84="","",_xlfn.XLOOKUP($A84,'[2]ANTICIPOS SAN FERMÍN'!$B$1:$B$1000,'[2]ANTICIPOS SAN FERMÍN'!$M$1:$M$1000))</f>
        <v/>
      </c>
      <c r="E84" s="37" t="str">
        <f>IF(A84="","",_xlfn.XLOOKUP($A84,'[2]ANTICIPOS SAN FERMÍN'!$B$1:$B$1000,'[2]ANTICIPOS SAN FERMÍN'!$O$1:$O$1000))</f>
        <v/>
      </c>
      <c r="F84" s="52"/>
      <c r="G84" s="52"/>
      <c r="H84" s="53"/>
      <c r="I84" s="38" t="str">
        <f>IF(A84="","",_xlfn.XLOOKUP($A84,'[2]ANTICIPOS SAN FERMÍN'!$C$1:$C$1000,'[2]ANTICIPOS SAN FERMÍN'!$H$1:$H$1000))</f>
        <v/>
      </c>
      <c r="J84" s="39"/>
      <c r="K84" s="38" t="str">
        <f>IF(A84="","",_xlfn.XLOOKUP($A84,'[2]ANTICIPOS SAN FERMÍN'!$C$1:$C$1000,'[2]ANTICIPOS SAN FERMÍN'!$I$1:$I$1000))</f>
        <v/>
      </c>
      <c r="L84" s="39"/>
      <c r="M84" s="38" t="str">
        <f>IF(A84="","",_xlfn.XLOOKUP($A84,'[2]ANTICIPOS SAN FERMÍN'!$C$1:$C$1000,'[2]ANTICIPOS SAN FERMÍN'!$J$1:$J$1000))</f>
        <v/>
      </c>
      <c r="N84" s="39"/>
      <c r="O84" s="38" t="str">
        <f>IF(A84="","",_xlfn.XLOOKUP($A84,'[2]ANTICIPOS SAN FERMÍN'!$C$1:$C$1000,'[2]ANTICIPOS SAN FERMÍN'!$L$1:$L$1000))</f>
        <v/>
      </c>
      <c r="P84" s="39"/>
      <c r="Q84" s="38" t="str">
        <f>IF(A84="","",_xlfn.XLOOKUP($A84,'[2]ANTICIPOS SAN FERMÍN'!$C$1:$C$1000,'[2]ANTICIPOS SAN FERMÍN'!$N$1:$N$1000))</f>
        <v/>
      </c>
      <c r="R84" s="39"/>
    </row>
    <row r="85" spans="1:18" hidden="1" x14ac:dyDescent="0.2">
      <c r="A85" s="34"/>
      <c r="B85" s="35" t="str">
        <f>IF(A85="","",_xlfn.XLOOKUP($A85,'[2]ANTICIPOS SAN FERMÍN'!$B$1:$B$1000,'[2]ANTICIPOS SAN FERMÍN'!$I$1:$I$1000))</f>
        <v/>
      </c>
      <c r="C85" s="36" t="str">
        <f>IF(A85="","",IF(_xlfn.XLOOKUP($A85,'[2]ANTICIPOS SAN FERMÍN'!$B$1:$B$1000,'[2]ANTICIPOS SAN FERMÍN'!$K$1:$K$1000)="","",_xlfn.XLOOKUP($A85,'[2]ANTICIPOS SAN FERMÍN'!$B$1:$B$1000,'[2]ANTICIPOS SAN FERMÍN'!$K$1:$K$1000)))</f>
        <v/>
      </c>
      <c r="D85" s="37" t="str">
        <f>IF(A85="","",_xlfn.XLOOKUP($A85,'[2]ANTICIPOS SAN FERMÍN'!$B$1:$B$1000,'[2]ANTICIPOS SAN FERMÍN'!$M$1:$M$1000))</f>
        <v/>
      </c>
      <c r="E85" s="37" t="str">
        <f>IF(A85="","",_xlfn.XLOOKUP($A85,'[2]ANTICIPOS SAN FERMÍN'!$B$1:$B$1000,'[2]ANTICIPOS SAN FERMÍN'!$O$1:$O$1000))</f>
        <v/>
      </c>
      <c r="F85" s="52"/>
      <c r="G85" s="52"/>
      <c r="H85" s="53"/>
      <c r="I85" s="38" t="str">
        <f>IF(A85="","",_xlfn.XLOOKUP($A85,'[2]ANTICIPOS SAN FERMÍN'!$C$1:$C$1000,'[2]ANTICIPOS SAN FERMÍN'!$H$1:$H$1000))</f>
        <v/>
      </c>
      <c r="J85" s="39"/>
      <c r="K85" s="38" t="str">
        <f>IF(A85="","",_xlfn.XLOOKUP($A85,'[2]ANTICIPOS SAN FERMÍN'!$C$1:$C$1000,'[2]ANTICIPOS SAN FERMÍN'!$I$1:$I$1000))</f>
        <v/>
      </c>
      <c r="L85" s="39"/>
      <c r="M85" s="38" t="str">
        <f>IF(A85="","",_xlfn.XLOOKUP($A85,'[2]ANTICIPOS SAN FERMÍN'!$C$1:$C$1000,'[2]ANTICIPOS SAN FERMÍN'!$J$1:$J$1000))</f>
        <v/>
      </c>
      <c r="N85" s="39"/>
      <c r="O85" s="38" t="str">
        <f>IF(A85="","",_xlfn.XLOOKUP($A85,'[2]ANTICIPOS SAN FERMÍN'!$C$1:$C$1000,'[2]ANTICIPOS SAN FERMÍN'!$L$1:$L$1000))</f>
        <v/>
      </c>
      <c r="P85" s="39"/>
      <c r="Q85" s="38" t="str">
        <f>IF(A85="","",_xlfn.XLOOKUP($A85,'[2]ANTICIPOS SAN FERMÍN'!$C$1:$C$1000,'[2]ANTICIPOS SAN FERMÍN'!$N$1:$N$1000))</f>
        <v/>
      </c>
      <c r="R85" s="39"/>
    </row>
    <row r="86" spans="1:18" hidden="1" x14ac:dyDescent="0.2">
      <c r="A86" s="34"/>
      <c r="B86" s="35" t="str">
        <f>IF(A86="","",_xlfn.XLOOKUP($A86,'[2]ANTICIPOS SAN FERMÍN'!$B$1:$B$1000,'[2]ANTICIPOS SAN FERMÍN'!$I$1:$I$1000))</f>
        <v/>
      </c>
      <c r="C86" s="36" t="str">
        <f>IF(A86="","",IF(_xlfn.XLOOKUP($A86,'[2]ANTICIPOS SAN FERMÍN'!$B$1:$B$1000,'[2]ANTICIPOS SAN FERMÍN'!$K$1:$K$1000)="","",_xlfn.XLOOKUP($A86,'[2]ANTICIPOS SAN FERMÍN'!$B$1:$B$1000,'[2]ANTICIPOS SAN FERMÍN'!$K$1:$K$1000)))</f>
        <v/>
      </c>
      <c r="D86" s="37" t="str">
        <f>IF(A86="","",_xlfn.XLOOKUP($A86,'[2]ANTICIPOS SAN FERMÍN'!$B$1:$B$1000,'[2]ANTICIPOS SAN FERMÍN'!$M$1:$M$1000))</f>
        <v/>
      </c>
      <c r="E86" s="37" t="str">
        <f>IF(A86="","",_xlfn.XLOOKUP($A86,'[2]ANTICIPOS SAN FERMÍN'!$B$1:$B$1000,'[2]ANTICIPOS SAN FERMÍN'!$O$1:$O$1000))</f>
        <v/>
      </c>
      <c r="F86" s="52"/>
      <c r="G86" s="52"/>
      <c r="H86" s="53"/>
      <c r="I86" s="38" t="str">
        <f>IF(A86="","",_xlfn.XLOOKUP($A86,'[2]ANTICIPOS SAN FERMÍN'!$C$1:$C$1000,'[2]ANTICIPOS SAN FERMÍN'!$H$1:$H$1000))</f>
        <v/>
      </c>
      <c r="J86" s="39"/>
      <c r="K86" s="38" t="str">
        <f>IF(A86="","",_xlfn.XLOOKUP($A86,'[2]ANTICIPOS SAN FERMÍN'!$C$1:$C$1000,'[2]ANTICIPOS SAN FERMÍN'!$I$1:$I$1000))</f>
        <v/>
      </c>
      <c r="L86" s="39"/>
      <c r="M86" s="38" t="str">
        <f>IF(A86="","",_xlfn.XLOOKUP($A86,'[2]ANTICIPOS SAN FERMÍN'!$C$1:$C$1000,'[2]ANTICIPOS SAN FERMÍN'!$J$1:$J$1000))</f>
        <v/>
      </c>
      <c r="N86" s="39"/>
      <c r="O86" s="38" t="str">
        <f>IF(A86="","",_xlfn.XLOOKUP($A86,'[2]ANTICIPOS SAN FERMÍN'!$C$1:$C$1000,'[2]ANTICIPOS SAN FERMÍN'!$L$1:$L$1000))</f>
        <v/>
      </c>
      <c r="P86" s="39"/>
      <c r="Q86" s="38" t="str">
        <f>IF(A86="","",_xlfn.XLOOKUP($A86,'[2]ANTICIPOS SAN FERMÍN'!$C$1:$C$1000,'[2]ANTICIPOS SAN FERMÍN'!$N$1:$N$1000))</f>
        <v/>
      </c>
      <c r="R86" s="39"/>
    </row>
    <row r="87" spans="1:18" hidden="1" x14ac:dyDescent="0.2">
      <c r="A87" s="34"/>
      <c r="B87" s="35" t="str">
        <f>IF(A87="","",_xlfn.XLOOKUP($A87,'[2]ANTICIPOS SAN FERMÍN'!$B$1:$B$1000,'[2]ANTICIPOS SAN FERMÍN'!$I$1:$I$1000))</f>
        <v/>
      </c>
      <c r="C87" s="36" t="str">
        <f>IF(A87="","",IF(_xlfn.XLOOKUP($A87,'[2]ANTICIPOS SAN FERMÍN'!$B$1:$B$1000,'[2]ANTICIPOS SAN FERMÍN'!$K$1:$K$1000)="","",_xlfn.XLOOKUP($A87,'[2]ANTICIPOS SAN FERMÍN'!$B$1:$B$1000,'[2]ANTICIPOS SAN FERMÍN'!$K$1:$K$1000)))</f>
        <v/>
      </c>
      <c r="D87" s="37" t="str">
        <f>IF(A87="","",_xlfn.XLOOKUP($A87,'[2]ANTICIPOS SAN FERMÍN'!$B$1:$B$1000,'[2]ANTICIPOS SAN FERMÍN'!$M$1:$M$1000))</f>
        <v/>
      </c>
      <c r="E87" s="37" t="str">
        <f>IF(A87="","",_xlfn.XLOOKUP($A87,'[2]ANTICIPOS SAN FERMÍN'!$B$1:$B$1000,'[2]ANTICIPOS SAN FERMÍN'!$O$1:$O$1000))</f>
        <v/>
      </c>
      <c r="F87" s="52"/>
      <c r="G87" s="52"/>
      <c r="H87" s="53"/>
      <c r="I87" s="38" t="str">
        <f>IF(A87="","",_xlfn.XLOOKUP($A87,'[2]ANTICIPOS SAN FERMÍN'!$C$1:$C$1000,'[2]ANTICIPOS SAN FERMÍN'!$H$1:$H$1000))</f>
        <v/>
      </c>
      <c r="J87" s="39"/>
      <c r="K87" s="38" t="str">
        <f>IF(A87="","",_xlfn.XLOOKUP($A87,'[2]ANTICIPOS SAN FERMÍN'!$C$1:$C$1000,'[2]ANTICIPOS SAN FERMÍN'!$I$1:$I$1000))</f>
        <v/>
      </c>
      <c r="L87" s="39"/>
      <c r="M87" s="38" t="str">
        <f>IF(A87="","",_xlfn.XLOOKUP($A87,'[2]ANTICIPOS SAN FERMÍN'!$C$1:$C$1000,'[2]ANTICIPOS SAN FERMÍN'!$J$1:$J$1000))</f>
        <v/>
      </c>
      <c r="N87" s="39"/>
      <c r="O87" s="38" t="str">
        <f>IF(A87="","",_xlfn.XLOOKUP($A87,'[2]ANTICIPOS SAN FERMÍN'!$C$1:$C$1000,'[2]ANTICIPOS SAN FERMÍN'!$L$1:$L$1000))</f>
        <v/>
      </c>
      <c r="P87" s="39"/>
      <c r="Q87" s="38" t="str">
        <f>IF(A87="","",_xlfn.XLOOKUP($A87,'[2]ANTICIPOS SAN FERMÍN'!$C$1:$C$1000,'[2]ANTICIPOS SAN FERMÍN'!$N$1:$N$1000))</f>
        <v/>
      </c>
      <c r="R87" s="39"/>
    </row>
    <row r="88" spans="1:18" hidden="1" x14ac:dyDescent="0.2">
      <c r="A88" s="34"/>
      <c r="B88" s="35" t="str">
        <f>IF(A88="","",_xlfn.XLOOKUP($A88,'[2]ANTICIPOS SAN FERMÍN'!$B$1:$B$1000,'[2]ANTICIPOS SAN FERMÍN'!$I$1:$I$1000))</f>
        <v/>
      </c>
      <c r="C88" s="36" t="str">
        <f>IF(A88="","",IF(_xlfn.XLOOKUP($A88,'[2]ANTICIPOS SAN FERMÍN'!$B$1:$B$1000,'[2]ANTICIPOS SAN FERMÍN'!$K$1:$K$1000)="","",_xlfn.XLOOKUP($A88,'[2]ANTICIPOS SAN FERMÍN'!$B$1:$B$1000,'[2]ANTICIPOS SAN FERMÍN'!$K$1:$K$1000)))</f>
        <v/>
      </c>
      <c r="D88" s="37" t="str">
        <f>IF(A88="","",_xlfn.XLOOKUP($A88,'[2]ANTICIPOS SAN FERMÍN'!$B$1:$B$1000,'[2]ANTICIPOS SAN FERMÍN'!$M$1:$M$1000))</f>
        <v/>
      </c>
      <c r="E88" s="37" t="str">
        <f>IF(A88="","",_xlfn.XLOOKUP($A88,'[2]ANTICIPOS SAN FERMÍN'!$B$1:$B$1000,'[2]ANTICIPOS SAN FERMÍN'!$O$1:$O$1000))</f>
        <v/>
      </c>
      <c r="F88" s="52"/>
      <c r="G88" s="52"/>
      <c r="H88" s="53"/>
      <c r="I88" s="38" t="str">
        <f>IF(A88="","",_xlfn.XLOOKUP($A88,'[2]ANTICIPOS SAN FERMÍN'!$C$1:$C$1000,'[2]ANTICIPOS SAN FERMÍN'!$H$1:$H$1000))</f>
        <v/>
      </c>
      <c r="J88" s="39"/>
      <c r="K88" s="38" t="str">
        <f>IF(A88="","",_xlfn.XLOOKUP($A88,'[2]ANTICIPOS SAN FERMÍN'!$C$1:$C$1000,'[2]ANTICIPOS SAN FERMÍN'!$I$1:$I$1000))</f>
        <v/>
      </c>
      <c r="L88" s="39"/>
      <c r="M88" s="38" t="str">
        <f>IF(A88="","",_xlfn.XLOOKUP($A88,'[2]ANTICIPOS SAN FERMÍN'!$C$1:$C$1000,'[2]ANTICIPOS SAN FERMÍN'!$J$1:$J$1000))</f>
        <v/>
      </c>
      <c r="N88" s="39"/>
      <c r="O88" s="38" t="str">
        <f>IF(A88="","",_xlfn.XLOOKUP($A88,'[2]ANTICIPOS SAN FERMÍN'!$C$1:$C$1000,'[2]ANTICIPOS SAN FERMÍN'!$L$1:$L$1000))</f>
        <v/>
      </c>
      <c r="P88" s="39"/>
      <c r="Q88" s="38" t="str">
        <f>IF(A88="","",_xlfn.XLOOKUP($A88,'[2]ANTICIPOS SAN FERMÍN'!$C$1:$C$1000,'[2]ANTICIPOS SAN FERMÍN'!$N$1:$N$1000))</f>
        <v/>
      </c>
      <c r="R88" s="39"/>
    </row>
    <row r="89" spans="1:18" hidden="1" x14ac:dyDescent="0.2">
      <c r="A89" s="34"/>
      <c r="B89" s="35" t="str">
        <f>IF(A89="","",_xlfn.XLOOKUP($A89,'[2]ANTICIPOS SAN FERMÍN'!$B$1:$B$1000,'[2]ANTICIPOS SAN FERMÍN'!$I$1:$I$1000))</f>
        <v/>
      </c>
      <c r="C89" s="36" t="str">
        <f>IF(A89="","",IF(_xlfn.XLOOKUP($A89,'[2]ANTICIPOS SAN FERMÍN'!$B$1:$B$1000,'[2]ANTICIPOS SAN FERMÍN'!$K$1:$K$1000)="","",_xlfn.XLOOKUP($A89,'[2]ANTICIPOS SAN FERMÍN'!$B$1:$B$1000,'[2]ANTICIPOS SAN FERMÍN'!$K$1:$K$1000)))</f>
        <v/>
      </c>
      <c r="D89" s="37" t="str">
        <f>IF(A89="","",_xlfn.XLOOKUP($A89,'[2]ANTICIPOS SAN FERMÍN'!$B$1:$B$1000,'[2]ANTICIPOS SAN FERMÍN'!$M$1:$M$1000))</f>
        <v/>
      </c>
      <c r="E89" s="37" t="str">
        <f>IF(A89="","",_xlfn.XLOOKUP($A89,'[2]ANTICIPOS SAN FERMÍN'!$B$1:$B$1000,'[2]ANTICIPOS SAN FERMÍN'!$O$1:$O$1000))</f>
        <v/>
      </c>
      <c r="F89" s="52"/>
      <c r="G89" s="52"/>
      <c r="H89" s="53"/>
      <c r="I89" s="38" t="str">
        <f>IF(A89="","",_xlfn.XLOOKUP($A89,'[2]ANTICIPOS SAN FERMÍN'!$C$1:$C$1000,'[2]ANTICIPOS SAN FERMÍN'!$H$1:$H$1000))</f>
        <v/>
      </c>
      <c r="J89" s="39"/>
      <c r="K89" s="38" t="str">
        <f>IF(A89="","",_xlfn.XLOOKUP($A89,'[2]ANTICIPOS SAN FERMÍN'!$C$1:$C$1000,'[2]ANTICIPOS SAN FERMÍN'!$I$1:$I$1000))</f>
        <v/>
      </c>
      <c r="L89" s="39"/>
      <c r="M89" s="38" t="str">
        <f>IF(A89="","",_xlfn.XLOOKUP($A89,'[2]ANTICIPOS SAN FERMÍN'!$C$1:$C$1000,'[2]ANTICIPOS SAN FERMÍN'!$J$1:$J$1000))</f>
        <v/>
      </c>
      <c r="N89" s="39"/>
      <c r="O89" s="38" t="str">
        <f>IF(A89="","",_xlfn.XLOOKUP($A89,'[2]ANTICIPOS SAN FERMÍN'!$C$1:$C$1000,'[2]ANTICIPOS SAN FERMÍN'!$L$1:$L$1000))</f>
        <v/>
      </c>
      <c r="P89" s="39"/>
      <c r="Q89" s="38" t="str">
        <f>IF(A89="","",_xlfn.XLOOKUP($A89,'[2]ANTICIPOS SAN FERMÍN'!$C$1:$C$1000,'[2]ANTICIPOS SAN FERMÍN'!$N$1:$N$1000))</f>
        <v/>
      </c>
      <c r="R89" s="39"/>
    </row>
    <row r="90" spans="1:18" hidden="1" x14ac:dyDescent="0.2">
      <c r="A90" s="34"/>
      <c r="B90" s="35" t="str">
        <f>IF(A90="","",_xlfn.XLOOKUP($A90,'[2]ANTICIPOS SAN FERMÍN'!$B$1:$B$1000,'[2]ANTICIPOS SAN FERMÍN'!$I$1:$I$1000))</f>
        <v/>
      </c>
      <c r="C90" s="36" t="str">
        <f>IF(A90="","",IF(_xlfn.XLOOKUP($A90,'[2]ANTICIPOS SAN FERMÍN'!$B$1:$B$1000,'[2]ANTICIPOS SAN FERMÍN'!$K$1:$K$1000)="","",_xlfn.XLOOKUP($A90,'[2]ANTICIPOS SAN FERMÍN'!$B$1:$B$1000,'[2]ANTICIPOS SAN FERMÍN'!$K$1:$K$1000)))</f>
        <v/>
      </c>
      <c r="D90" s="37" t="str">
        <f>IF(A90="","",_xlfn.XLOOKUP($A90,'[2]ANTICIPOS SAN FERMÍN'!$B$1:$B$1000,'[2]ANTICIPOS SAN FERMÍN'!$M$1:$M$1000))</f>
        <v/>
      </c>
      <c r="E90" s="37" t="str">
        <f>IF(A90="","",_xlfn.XLOOKUP($A90,'[2]ANTICIPOS SAN FERMÍN'!$B$1:$B$1000,'[2]ANTICIPOS SAN FERMÍN'!$O$1:$O$1000))</f>
        <v/>
      </c>
      <c r="F90" s="52"/>
      <c r="G90" s="52"/>
      <c r="H90" s="53"/>
      <c r="I90" s="38" t="str">
        <f>IF(A90="","",_xlfn.XLOOKUP($A90,'[2]ANTICIPOS SAN FERMÍN'!$C$1:$C$1000,'[2]ANTICIPOS SAN FERMÍN'!$H$1:$H$1000))</f>
        <v/>
      </c>
      <c r="J90" s="39"/>
      <c r="K90" s="38" t="str">
        <f>IF(A90="","",_xlfn.XLOOKUP($A90,'[2]ANTICIPOS SAN FERMÍN'!$C$1:$C$1000,'[2]ANTICIPOS SAN FERMÍN'!$I$1:$I$1000))</f>
        <v/>
      </c>
      <c r="L90" s="39"/>
      <c r="M90" s="38" t="str">
        <f>IF(A90="","",_xlfn.XLOOKUP($A90,'[2]ANTICIPOS SAN FERMÍN'!$C$1:$C$1000,'[2]ANTICIPOS SAN FERMÍN'!$J$1:$J$1000))</f>
        <v/>
      </c>
      <c r="N90" s="39"/>
      <c r="O90" s="38" t="str">
        <f>IF(A90="","",_xlfn.XLOOKUP($A90,'[2]ANTICIPOS SAN FERMÍN'!$C$1:$C$1000,'[2]ANTICIPOS SAN FERMÍN'!$L$1:$L$1000))</f>
        <v/>
      </c>
      <c r="P90" s="39"/>
      <c r="Q90" s="38" t="str">
        <f>IF(A90="","",_xlfn.XLOOKUP($A90,'[2]ANTICIPOS SAN FERMÍN'!$C$1:$C$1000,'[2]ANTICIPOS SAN FERMÍN'!$N$1:$N$1000))</f>
        <v/>
      </c>
      <c r="R90" s="39"/>
    </row>
    <row r="91" spans="1:18" hidden="1" x14ac:dyDescent="0.2">
      <c r="A91" s="34"/>
      <c r="B91" s="35" t="str">
        <f>IF(A91="","",_xlfn.XLOOKUP($A91,'[2]ANTICIPOS SAN FERMÍN'!$B$1:$B$1000,'[2]ANTICIPOS SAN FERMÍN'!$I$1:$I$1000))</f>
        <v/>
      </c>
      <c r="C91" s="36" t="str">
        <f>IF(A91="","",IF(_xlfn.XLOOKUP($A91,'[2]ANTICIPOS SAN FERMÍN'!$B$1:$B$1000,'[2]ANTICIPOS SAN FERMÍN'!$K$1:$K$1000)="","",_xlfn.XLOOKUP($A91,'[2]ANTICIPOS SAN FERMÍN'!$B$1:$B$1000,'[2]ANTICIPOS SAN FERMÍN'!$K$1:$K$1000)))</f>
        <v/>
      </c>
      <c r="D91" s="37" t="str">
        <f>IF(A91="","",_xlfn.XLOOKUP($A91,'[2]ANTICIPOS SAN FERMÍN'!$B$1:$B$1000,'[2]ANTICIPOS SAN FERMÍN'!$M$1:$M$1000))</f>
        <v/>
      </c>
      <c r="E91" s="37" t="str">
        <f>IF(A91="","",_xlfn.XLOOKUP($A91,'[2]ANTICIPOS SAN FERMÍN'!$B$1:$B$1000,'[2]ANTICIPOS SAN FERMÍN'!$O$1:$O$1000))</f>
        <v/>
      </c>
      <c r="F91" s="52"/>
      <c r="G91" s="52"/>
      <c r="H91" s="53"/>
      <c r="I91" s="38" t="str">
        <f>IF(A91="","",_xlfn.XLOOKUP($A91,'[2]ANTICIPOS SAN FERMÍN'!$C$1:$C$1000,'[2]ANTICIPOS SAN FERMÍN'!$H$1:$H$1000))</f>
        <v/>
      </c>
      <c r="J91" s="39"/>
      <c r="K91" s="38" t="str">
        <f>IF(A91="","",_xlfn.XLOOKUP($A91,'[2]ANTICIPOS SAN FERMÍN'!$C$1:$C$1000,'[2]ANTICIPOS SAN FERMÍN'!$I$1:$I$1000))</f>
        <v/>
      </c>
      <c r="L91" s="39"/>
      <c r="M91" s="38" t="str">
        <f>IF(A91="","",_xlfn.XLOOKUP($A91,'[2]ANTICIPOS SAN FERMÍN'!$C$1:$C$1000,'[2]ANTICIPOS SAN FERMÍN'!$J$1:$J$1000))</f>
        <v/>
      </c>
      <c r="N91" s="39"/>
      <c r="O91" s="38" t="str">
        <f>IF(A91="","",_xlfn.XLOOKUP($A91,'[2]ANTICIPOS SAN FERMÍN'!$C$1:$C$1000,'[2]ANTICIPOS SAN FERMÍN'!$L$1:$L$1000))</f>
        <v/>
      </c>
      <c r="P91" s="39"/>
      <c r="Q91" s="38" t="str">
        <f>IF(A91="","",_xlfn.XLOOKUP($A91,'[2]ANTICIPOS SAN FERMÍN'!$C$1:$C$1000,'[2]ANTICIPOS SAN FERMÍN'!$N$1:$N$1000))</f>
        <v/>
      </c>
      <c r="R91" s="39"/>
    </row>
    <row r="92" spans="1:18" hidden="1" x14ac:dyDescent="0.2">
      <c r="A92" s="34"/>
      <c r="B92" s="35" t="str">
        <f>IF(A92="","",_xlfn.XLOOKUP($A92,'[2]ANTICIPOS SAN FERMÍN'!$B$1:$B$1000,'[2]ANTICIPOS SAN FERMÍN'!$I$1:$I$1000))</f>
        <v/>
      </c>
      <c r="C92" s="36" t="str">
        <f>IF(A92="","",IF(_xlfn.XLOOKUP($A92,'[2]ANTICIPOS SAN FERMÍN'!$B$1:$B$1000,'[2]ANTICIPOS SAN FERMÍN'!$K$1:$K$1000)="","",_xlfn.XLOOKUP($A92,'[2]ANTICIPOS SAN FERMÍN'!$B$1:$B$1000,'[2]ANTICIPOS SAN FERMÍN'!$K$1:$K$1000)))</f>
        <v/>
      </c>
      <c r="D92" s="37" t="str">
        <f>IF(A92="","",_xlfn.XLOOKUP($A92,'[2]ANTICIPOS SAN FERMÍN'!$B$1:$B$1000,'[2]ANTICIPOS SAN FERMÍN'!$M$1:$M$1000))</f>
        <v/>
      </c>
      <c r="E92" s="37" t="str">
        <f>IF(A92="","",_xlfn.XLOOKUP($A92,'[2]ANTICIPOS SAN FERMÍN'!$B$1:$B$1000,'[2]ANTICIPOS SAN FERMÍN'!$O$1:$O$1000))</f>
        <v/>
      </c>
      <c r="F92" s="52"/>
      <c r="G92" s="52"/>
      <c r="H92" s="53"/>
      <c r="I92" s="38" t="str">
        <f>IF(A92="","",_xlfn.XLOOKUP($A92,'[2]ANTICIPOS SAN FERMÍN'!$C$1:$C$1000,'[2]ANTICIPOS SAN FERMÍN'!$H$1:$H$1000))</f>
        <v/>
      </c>
      <c r="J92" s="39"/>
      <c r="K92" s="38" t="str">
        <f>IF(A92="","",_xlfn.XLOOKUP($A92,'[2]ANTICIPOS SAN FERMÍN'!$C$1:$C$1000,'[2]ANTICIPOS SAN FERMÍN'!$I$1:$I$1000))</f>
        <v/>
      </c>
      <c r="L92" s="39"/>
      <c r="M92" s="38" t="str">
        <f>IF(A92="","",_xlfn.XLOOKUP($A92,'[2]ANTICIPOS SAN FERMÍN'!$C$1:$C$1000,'[2]ANTICIPOS SAN FERMÍN'!$J$1:$J$1000))</f>
        <v/>
      </c>
      <c r="N92" s="39"/>
      <c r="O92" s="38" t="str">
        <f>IF(A92="","",_xlfn.XLOOKUP($A92,'[2]ANTICIPOS SAN FERMÍN'!$C$1:$C$1000,'[2]ANTICIPOS SAN FERMÍN'!$L$1:$L$1000))</f>
        <v/>
      </c>
      <c r="P92" s="39"/>
      <c r="Q92" s="38" t="str">
        <f>IF(A92="","",_xlfn.XLOOKUP($A92,'[2]ANTICIPOS SAN FERMÍN'!$C$1:$C$1000,'[2]ANTICIPOS SAN FERMÍN'!$N$1:$N$1000))</f>
        <v/>
      </c>
      <c r="R92" s="39"/>
    </row>
    <row r="93" spans="1:18" hidden="1" x14ac:dyDescent="0.2">
      <c r="A93" s="34"/>
      <c r="B93" s="35" t="str">
        <f>IF(A93="","",_xlfn.XLOOKUP($A93,'[2]ANTICIPOS SAN FERMÍN'!$B$1:$B$1000,'[2]ANTICIPOS SAN FERMÍN'!$I$1:$I$1000))</f>
        <v/>
      </c>
      <c r="C93" s="36" t="str">
        <f>IF(A93="","",IF(_xlfn.XLOOKUP($A93,'[2]ANTICIPOS SAN FERMÍN'!$B$1:$B$1000,'[2]ANTICIPOS SAN FERMÍN'!$K$1:$K$1000)="","",_xlfn.XLOOKUP($A93,'[2]ANTICIPOS SAN FERMÍN'!$B$1:$B$1000,'[2]ANTICIPOS SAN FERMÍN'!$K$1:$K$1000)))</f>
        <v/>
      </c>
      <c r="D93" s="37" t="str">
        <f>IF(A93="","",_xlfn.XLOOKUP($A93,'[2]ANTICIPOS SAN FERMÍN'!$B$1:$B$1000,'[2]ANTICIPOS SAN FERMÍN'!$M$1:$M$1000))</f>
        <v/>
      </c>
      <c r="E93" s="37" t="str">
        <f>IF(A93="","",_xlfn.XLOOKUP($A93,'[2]ANTICIPOS SAN FERMÍN'!$B$1:$B$1000,'[2]ANTICIPOS SAN FERMÍN'!$O$1:$O$1000))</f>
        <v/>
      </c>
      <c r="F93" s="52"/>
      <c r="G93" s="52"/>
      <c r="H93" s="53"/>
      <c r="I93" s="38" t="str">
        <f>IF(A93="","",_xlfn.XLOOKUP($A93,'[2]ANTICIPOS SAN FERMÍN'!$C$1:$C$1000,'[2]ANTICIPOS SAN FERMÍN'!$H$1:$H$1000))</f>
        <v/>
      </c>
      <c r="J93" s="39"/>
      <c r="K93" s="38" t="str">
        <f>IF(A93="","",_xlfn.XLOOKUP($A93,'[2]ANTICIPOS SAN FERMÍN'!$C$1:$C$1000,'[2]ANTICIPOS SAN FERMÍN'!$I$1:$I$1000))</f>
        <v/>
      </c>
      <c r="L93" s="39"/>
      <c r="M93" s="38" t="str">
        <f>IF(A93="","",_xlfn.XLOOKUP($A93,'[2]ANTICIPOS SAN FERMÍN'!$C$1:$C$1000,'[2]ANTICIPOS SAN FERMÍN'!$J$1:$J$1000))</f>
        <v/>
      </c>
      <c r="N93" s="39"/>
      <c r="O93" s="38" t="str">
        <f>IF(A93="","",_xlfn.XLOOKUP($A93,'[2]ANTICIPOS SAN FERMÍN'!$C$1:$C$1000,'[2]ANTICIPOS SAN FERMÍN'!$L$1:$L$1000))</f>
        <v/>
      </c>
      <c r="P93" s="39"/>
      <c r="Q93" s="38" t="str">
        <f>IF(A93="","",_xlfn.XLOOKUP($A93,'[2]ANTICIPOS SAN FERMÍN'!$C$1:$C$1000,'[2]ANTICIPOS SAN FERMÍN'!$N$1:$N$1000))</f>
        <v/>
      </c>
      <c r="R93" s="39"/>
    </row>
    <row r="94" spans="1:18" hidden="1" x14ac:dyDescent="0.2">
      <c r="A94" s="34"/>
      <c r="B94" s="35" t="str">
        <f>IF(A94="","",_xlfn.XLOOKUP($A94,'[2]ANTICIPOS SAN FERMÍN'!$B$1:$B$1000,'[2]ANTICIPOS SAN FERMÍN'!$I$1:$I$1000))</f>
        <v/>
      </c>
      <c r="C94" s="36" t="str">
        <f>IF(A94="","",IF(_xlfn.XLOOKUP($A94,'[2]ANTICIPOS SAN FERMÍN'!$B$1:$B$1000,'[2]ANTICIPOS SAN FERMÍN'!$K$1:$K$1000)="","",_xlfn.XLOOKUP($A94,'[2]ANTICIPOS SAN FERMÍN'!$B$1:$B$1000,'[2]ANTICIPOS SAN FERMÍN'!$K$1:$K$1000)))</f>
        <v/>
      </c>
      <c r="D94" s="37" t="str">
        <f>IF(A94="","",_xlfn.XLOOKUP($A94,'[2]ANTICIPOS SAN FERMÍN'!$B$1:$B$1000,'[2]ANTICIPOS SAN FERMÍN'!$M$1:$M$1000))</f>
        <v/>
      </c>
      <c r="E94" s="37" t="str">
        <f>IF(A94="","",_xlfn.XLOOKUP($A94,'[2]ANTICIPOS SAN FERMÍN'!$B$1:$B$1000,'[2]ANTICIPOS SAN FERMÍN'!$O$1:$O$1000))</f>
        <v/>
      </c>
      <c r="F94" s="52"/>
      <c r="G94" s="52"/>
      <c r="H94" s="53"/>
      <c r="I94" s="38" t="str">
        <f>IF(A94="","",_xlfn.XLOOKUP($A94,'[2]ANTICIPOS SAN FERMÍN'!$C$1:$C$1000,'[2]ANTICIPOS SAN FERMÍN'!$H$1:$H$1000))</f>
        <v/>
      </c>
      <c r="J94" s="39"/>
      <c r="K94" s="38" t="str">
        <f>IF(A94="","",_xlfn.XLOOKUP($A94,'[2]ANTICIPOS SAN FERMÍN'!$C$1:$C$1000,'[2]ANTICIPOS SAN FERMÍN'!$I$1:$I$1000))</f>
        <v/>
      </c>
      <c r="L94" s="39"/>
      <c r="M94" s="38" t="str">
        <f>IF(A94="","",_xlfn.XLOOKUP($A94,'[2]ANTICIPOS SAN FERMÍN'!$C$1:$C$1000,'[2]ANTICIPOS SAN FERMÍN'!$J$1:$J$1000))</f>
        <v/>
      </c>
      <c r="N94" s="39"/>
      <c r="O94" s="38" t="str">
        <f>IF(A94="","",_xlfn.XLOOKUP($A94,'[2]ANTICIPOS SAN FERMÍN'!$C$1:$C$1000,'[2]ANTICIPOS SAN FERMÍN'!$L$1:$L$1000))</f>
        <v/>
      </c>
      <c r="P94" s="39"/>
      <c r="Q94" s="38" t="str">
        <f>IF(A94="","",_xlfn.XLOOKUP($A94,'[2]ANTICIPOS SAN FERMÍN'!$C$1:$C$1000,'[2]ANTICIPOS SAN FERMÍN'!$N$1:$N$1000))</f>
        <v/>
      </c>
      <c r="R94" s="39"/>
    </row>
    <row r="95" spans="1:18" hidden="1" x14ac:dyDescent="0.2">
      <c r="A95" s="34"/>
      <c r="B95" s="35" t="str">
        <f>IF(A95="","",_xlfn.XLOOKUP($A95,'[2]ANTICIPOS SAN FERMÍN'!$B$1:$B$1000,'[2]ANTICIPOS SAN FERMÍN'!$I$1:$I$1000))</f>
        <v/>
      </c>
      <c r="C95" s="36" t="str">
        <f>IF(A95="","",IF(_xlfn.XLOOKUP($A95,'[2]ANTICIPOS SAN FERMÍN'!$B$1:$B$1000,'[2]ANTICIPOS SAN FERMÍN'!$K$1:$K$1000)="","",_xlfn.XLOOKUP($A95,'[2]ANTICIPOS SAN FERMÍN'!$B$1:$B$1000,'[2]ANTICIPOS SAN FERMÍN'!$K$1:$K$1000)))</f>
        <v/>
      </c>
      <c r="D95" s="37" t="str">
        <f>IF(A95="","",_xlfn.XLOOKUP($A95,'[2]ANTICIPOS SAN FERMÍN'!$B$1:$B$1000,'[2]ANTICIPOS SAN FERMÍN'!$M$1:$M$1000))</f>
        <v/>
      </c>
      <c r="E95" s="37" t="str">
        <f>IF(A95="","",_xlfn.XLOOKUP($A95,'[2]ANTICIPOS SAN FERMÍN'!$B$1:$B$1000,'[2]ANTICIPOS SAN FERMÍN'!$O$1:$O$1000))</f>
        <v/>
      </c>
      <c r="F95" s="52"/>
      <c r="G95" s="52"/>
      <c r="H95" s="53"/>
      <c r="I95" s="38" t="str">
        <f>IF(A95="","",_xlfn.XLOOKUP($A95,'[2]ANTICIPOS SAN FERMÍN'!$C$1:$C$1000,'[2]ANTICIPOS SAN FERMÍN'!$H$1:$H$1000))</f>
        <v/>
      </c>
      <c r="J95" s="39"/>
      <c r="K95" s="38" t="str">
        <f>IF(A95="","",_xlfn.XLOOKUP($A95,'[2]ANTICIPOS SAN FERMÍN'!$C$1:$C$1000,'[2]ANTICIPOS SAN FERMÍN'!$I$1:$I$1000))</f>
        <v/>
      </c>
      <c r="L95" s="39"/>
      <c r="M95" s="38" t="str">
        <f>IF(A95="","",_xlfn.XLOOKUP($A95,'[2]ANTICIPOS SAN FERMÍN'!$C$1:$C$1000,'[2]ANTICIPOS SAN FERMÍN'!$J$1:$J$1000))</f>
        <v/>
      </c>
      <c r="N95" s="39"/>
      <c r="O95" s="38" t="str">
        <f>IF(A95="","",_xlfn.XLOOKUP($A95,'[2]ANTICIPOS SAN FERMÍN'!$C$1:$C$1000,'[2]ANTICIPOS SAN FERMÍN'!$L$1:$L$1000))</f>
        <v/>
      </c>
      <c r="P95" s="39"/>
      <c r="Q95" s="38" t="str">
        <f>IF(A95="","",_xlfn.XLOOKUP($A95,'[2]ANTICIPOS SAN FERMÍN'!$C$1:$C$1000,'[2]ANTICIPOS SAN FERMÍN'!$N$1:$N$1000))</f>
        <v/>
      </c>
      <c r="R95" s="39"/>
    </row>
    <row r="96" spans="1:18" hidden="1" x14ac:dyDescent="0.2">
      <c r="A96" s="34"/>
      <c r="B96" s="35" t="str">
        <f>IF(A96="","",_xlfn.XLOOKUP($A96,'[2]ANTICIPOS SAN FERMÍN'!$B$1:$B$1000,'[2]ANTICIPOS SAN FERMÍN'!$I$1:$I$1000))</f>
        <v/>
      </c>
      <c r="C96" s="36" t="str">
        <f>IF(A96="","",IF(_xlfn.XLOOKUP($A96,'[2]ANTICIPOS SAN FERMÍN'!$B$1:$B$1000,'[2]ANTICIPOS SAN FERMÍN'!$K$1:$K$1000)="","",_xlfn.XLOOKUP($A96,'[2]ANTICIPOS SAN FERMÍN'!$B$1:$B$1000,'[2]ANTICIPOS SAN FERMÍN'!$K$1:$K$1000)))</f>
        <v/>
      </c>
      <c r="D96" s="37" t="str">
        <f>IF(A96="","",_xlfn.XLOOKUP($A96,'[2]ANTICIPOS SAN FERMÍN'!$B$1:$B$1000,'[2]ANTICIPOS SAN FERMÍN'!$M$1:$M$1000))</f>
        <v/>
      </c>
      <c r="E96" s="37" t="str">
        <f>IF(A96="","",_xlfn.XLOOKUP($A96,'[2]ANTICIPOS SAN FERMÍN'!$B$1:$B$1000,'[2]ANTICIPOS SAN FERMÍN'!$O$1:$O$1000))</f>
        <v/>
      </c>
      <c r="F96" s="52"/>
      <c r="G96" s="52"/>
      <c r="H96" s="53"/>
      <c r="I96" s="38" t="str">
        <f>IF(A96="","",_xlfn.XLOOKUP($A96,'[2]ANTICIPOS SAN FERMÍN'!$C$1:$C$1000,'[2]ANTICIPOS SAN FERMÍN'!$H$1:$H$1000))</f>
        <v/>
      </c>
      <c r="J96" s="39"/>
      <c r="K96" s="38" t="str">
        <f>IF(A96="","",_xlfn.XLOOKUP($A96,'[2]ANTICIPOS SAN FERMÍN'!$C$1:$C$1000,'[2]ANTICIPOS SAN FERMÍN'!$I$1:$I$1000))</f>
        <v/>
      </c>
      <c r="L96" s="39"/>
      <c r="M96" s="38" t="str">
        <f>IF(A96="","",_xlfn.XLOOKUP($A96,'[2]ANTICIPOS SAN FERMÍN'!$C$1:$C$1000,'[2]ANTICIPOS SAN FERMÍN'!$J$1:$J$1000))</f>
        <v/>
      </c>
      <c r="N96" s="39"/>
      <c r="O96" s="38" t="str">
        <f>IF(A96="","",_xlfn.XLOOKUP($A96,'[2]ANTICIPOS SAN FERMÍN'!$C$1:$C$1000,'[2]ANTICIPOS SAN FERMÍN'!$L$1:$L$1000))</f>
        <v/>
      </c>
      <c r="P96" s="39"/>
      <c r="Q96" s="38" t="str">
        <f>IF(A96="","",_xlfn.XLOOKUP($A96,'[2]ANTICIPOS SAN FERMÍN'!$C$1:$C$1000,'[2]ANTICIPOS SAN FERMÍN'!$N$1:$N$1000))</f>
        <v/>
      </c>
      <c r="R96" s="39"/>
    </row>
    <row r="97" spans="1:18" hidden="1" x14ac:dyDescent="0.2">
      <c r="A97" s="34"/>
      <c r="B97" s="35" t="str">
        <f>IF(A97="","",_xlfn.XLOOKUP($A97,'[2]ANTICIPOS SAN FERMÍN'!$B$1:$B$1000,'[2]ANTICIPOS SAN FERMÍN'!$I$1:$I$1000))</f>
        <v/>
      </c>
      <c r="C97" s="36" t="str">
        <f>IF(A97="","",IF(_xlfn.XLOOKUP($A97,'[2]ANTICIPOS SAN FERMÍN'!$B$1:$B$1000,'[2]ANTICIPOS SAN FERMÍN'!$K$1:$K$1000)="","",_xlfn.XLOOKUP($A97,'[2]ANTICIPOS SAN FERMÍN'!$B$1:$B$1000,'[2]ANTICIPOS SAN FERMÍN'!$K$1:$K$1000)))</f>
        <v/>
      </c>
      <c r="D97" s="37" t="str">
        <f>IF(A97="","",_xlfn.XLOOKUP($A97,'[2]ANTICIPOS SAN FERMÍN'!$B$1:$B$1000,'[2]ANTICIPOS SAN FERMÍN'!$M$1:$M$1000))</f>
        <v/>
      </c>
      <c r="E97" s="37" t="str">
        <f>IF(A97="","",_xlfn.XLOOKUP($A97,'[2]ANTICIPOS SAN FERMÍN'!$B$1:$B$1000,'[2]ANTICIPOS SAN FERMÍN'!$O$1:$O$1000))</f>
        <v/>
      </c>
      <c r="F97" s="52"/>
      <c r="G97" s="52"/>
      <c r="H97" s="53"/>
      <c r="I97" s="38" t="str">
        <f>IF(A97="","",_xlfn.XLOOKUP($A97,'[2]ANTICIPOS SAN FERMÍN'!$C$1:$C$1000,'[2]ANTICIPOS SAN FERMÍN'!$H$1:$H$1000))</f>
        <v/>
      </c>
      <c r="J97" s="39"/>
      <c r="K97" s="38" t="str">
        <f>IF(A97="","",_xlfn.XLOOKUP($A97,'[2]ANTICIPOS SAN FERMÍN'!$C$1:$C$1000,'[2]ANTICIPOS SAN FERMÍN'!$I$1:$I$1000))</f>
        <v/>
      </c>
      <c r="L97" s="39"/>
      <c r="M97" s="38" t="str">
        <f>IF(A97="","",_xlfn.XLOOKUP($A97,'[2]ANTICIPOS SAN FERMÍN'!$C$1:$C$1000,'[2]ANTICIPOS SAN FERMÍN'!$J$1:$J$1000))</f>
        <v/>
      </c>
      <c r="N97" s="39"/>
      <c r="O97" s="38" t="str">
        <f>IF(A97="","",_xlfn.XLOOKUP($A97,'[2]ANTICIPOS SAN FERMÍN'!$C$1:$C$1000,'[2]ANTICIPOS SAN FERMÍN'!$L$1:$L$1000))</f>
        <v/>
      </c>
      <c r="P97" s="39"/>
      <c r="Q97" s="38" t="str">
        <f>IF(A97="","",_xlfn.XLOOKUP($A97,'[2]ANTICIPOS SAN FERMÍN'!$C$1:$C$1000,'[2]ANTICIPOS SAN FERMÍN'!$N$1:$N$1000))</f>
        <v/>
      </c>
      <c r="R97" s="39"/>
    </row>
    <row r="98" spans="1:18" hidden="1" x14ac:dyDescent="0.2">
      <c r="A98" s="34"/>
      <c r="B98" s="35" t="str">
        <f>IF(A98="","",_xlfn.XLOOKUP($A98,'[2]ANTICIPOS SAN FERMÍN'!$B$1:$B$1000,'[2]ANTICIPOS SAN FERMÍN'!$I$1:$I$1000))</f>
        <v/>
      </c>
      <c r="C98" s="36" t="str">
        <f>IF(A98="","",IF(_xlfn.XLOOKUP($A98,'[2]ANTICIPOS SAN FERMÍN'!$B$1:$B$1000,'[2]ANTICIPOS SAN FERMÍN'!$K$1:$K$1000)="","",_xlfn.XLOOKUP($A98,'[2]ANTICIPOS SAN FERMÍN'!$B$1:$B$1000,'[2]ANTICIPOS SAN FERMÍN'!$K$1:$K$1000)))</f>
        <v/>
      </c>
      <c r="D98" s="37" t="str">
        <f>IF(A98="","",_xlfn.XLOOKUP($A98,'[2]ANTICIPOS SAN FERMÍN'!$B$1:$B$1000,'[2]ANTICIPOS SAN FERMÍN'!$M$1:$M$1000))</f>
        <v/>
      </c>
      <c r="E98" s="37" t="str">
        <f>IF(A98="","",_xlfn.XLOOKUP($A98,'[2]ANTICIPOS SAN FERMÍN'!$B$1:$B$1000,'[2]ANTICIPOS SAN FERMÍN'!$O$1:$O$1000))</f>
        <v/>
      </c>
      <c r="F98" s="52"/>
      <c r="G98" s="52"/>
      <c r="H98" s="53"/>
      <c r="I98" s="38" t="str">
        <f>IF(A98="","",_xlfn.XLOOKUP($A98,'[2]ANTICIPOS SAN FERMÍN'!$C$1:$C$1000,'[2]ANTICIPOS SAN FERMÍN'!$H$1:$H$1000))</f>
        <v/>
      </c>
      <c r="J98" s="39"/>
      <c r="K98" s="38" t="str">
        <f>IF(A98="","",_xlfn.XLOOKUP($A98,'[2]ANTICIPOS SAN FERMÍN'!$C$1:$C$1000,'[2]ANTICIPOS SAN FERMÍN'!$I$1:$I$1000))</f>
        <v/>
      </c>
      <c r="L98" s="39"/>
      <c r="M98" s="38" t="str">
        <f>IF(A98="","",_xlfn.XLOOKUP($A98,'[2]ANTICIPOS SAN FERMÍN'!$C$1:$C$1000,'[2]ANTICIPOS SAN FERMÍN'!$J$1:$J$1000))</f>
        <v/>
      </c>
      <c r="N98" s="39"/>
      <c r="O98" s="38" t="str">
        <f>IF(A98="","",_xlfn.XLOOKUP($A98,'[2]ANTICIPOS SAN FERMÍN'!$C$1:$C$1000,'[2]ANTICIPOS SAN FERMÍN'!$L$1:$L$1000))</f>
        <v/>
      </c>
      <c r="P98" s="39"/>
      <c r="Q98" s="38" t="str">
        <f>IF(A98="","",_xlfn.XLOOKUP($A98,'[2]ANTICIPOS SAN FERMÍN'!$C$1:$C$1000,'[2]ANTICIPOS SAN FERMÍN'!$N$1:$N$1000))</f>
        <v/>
      </c>
      <c r="R98" s="39"/>
    </row>
    <row r="99" spans="1:18" hidden="1" x14ac:dyDescent="0.2">
      <c r="A99" s="34"/>
      <c r="B99" s="35" t="str">
        <f>IF(A99="","",_xlfn.XLOOKUP($A99,'[2]ANTICIPOS SAN FERMÍN'!$B$1:$B$1000,'[2]ANTICIPOS SAN FERMÍN'!$I$1:$I$1000))</f>
        <v/>
      </c>
      <c r="C99" s="36" t="str">
        <f>IF(A99="","",IF(_xlfn.XLOOKUP($A99,'[2]ANTICIPOS SAN FERMÍN'!$B$1:$B$1000,'[2]ANTICIPOS SAN FERMÍN'!$K$1:$K$1000)="","",_xlfn.XLOOKUP($A99,'[2]ANTICIPOS SAN FERMÍN'!$B$1:$B$1000,'[2]ANTICIPOS SAN FERMÍN'!$K$1:$K$1000)))</f>
        <v/>
      </c>
      <c r="D99" s="37" t="str">
        <f>IF(A99="","",_xlfn.XLOOKUP($A99,'[2]ANTICIPOS SAN FERMÍN'!$B$1:$B$1000,'[2]ANTICIPOS SAN FERMÍN'!$M$1:$M$1000))</f>
        <v/>
      </c>
      <c r="E99" s="37" t="str">
        <f>IF(A99="","",_xlfn.XLOOKUP($A99,'[2]ANTICIPOS SAN FERMÍN'!$B$1:$B$1000,'[2]ANTICIPOS SAN FERMÍN'!$O$1:$O$1000))</f>
        <v/>
      </c>
      <c r="F99" s="52"/>
      <c r="G99" s="52"/>
      <c r="H99" s="53"/>
      <c r="I99" s="38" t="str">
        <f>IF(A99="","",_xlfn.XLOOKUP($A99,'[2]ANTICIPOS SAN FERMÍN'!$C$1:$C$1000,'[2]ANTICIPOS SAN FERMÍN'!$H$1:$H$1000))</f>
        <v/>
      </c>
      <c r="J99" s="39"/>
      <c r="K99" s="38" t="str">
        <f>IF(A99="","",_xlfn.XLOOKUP($A99,'[2]ANTICIPOS SAN FERMÍN'!$C$1:$C$1000,'[2]ANTICIPOS SAN FERMÍN'!$I$1:$I$1000))</f>
        <v/>
      </c>
      <c r="L99" s="39"/>
      <c r="M99" s="38" t="str">
        <f>IF(A99="","",_xlfn.XLOOKUP($A99,'[2]ANTICIPOS SAN FERMÍN'!$C$1:$C$1000,'[2]ANTICIPOS SAN FERMÍN'!$J$1:$J$1000))</f>
        <v/>
      </c>
      <c r="N99" s="39"/>
      <c r="O99" s="38" t="str">
        <f>IF(A99="","",_xlfn.XLOOKUP($A99,'[2]ANTICIPOS SAN FERMÍN'!$C$1:$C$1000,'[2]ANTICIPOS SAN FERMÍN'!$L$1:$L$1000))</f>
        <v/>
      </c>
      <c r="P99" s="39"/>
      <c r="Q99" s="38" t="str">
        <f>IF(A99="","",_xlfn.XLOOKUP($A99,'[2]ANTICIPOS SAN FERMÍN'!$C$1:$C$1000,'[2]ANTICIPOS SAN FERMÍN'!$N$1:$N$1000))</f>
        <v/>
      </c>
      <c r="R99" s="39"/>
    </row>
    <row r="100" spans="1:18" hidden="1" x14ac:dyDescent="0.2">
      <c r="A100" s="34"/>
      <c r="B100" s="35" t="str">
        <f>IF(A100="","",_xlfn.XLOOKUP($A100,'[2]ANTICIPOS SAN FERMÍN'!$B$1:$B$1000,'[2]ANTICIPOS SAN FERMÍN'!$I$1:$I$1000))</f>
        <v/>
      </c>
      <c r="C100" s="36" t="str">
        <f>IF(A100="","",IF(_xlfn.XLOOKUP($A100,'[2]ANTICIPOS SAN FERMÍN'!$B$1:$B$1000,'[2]ANTICIPOS SAN FERMÍN'!$K$1:$K$1000)="","",_xlfn.XLOOKUP($A100,'[2]ANTICIPOS SAN FERMÍN'!$B$1:$B$1000,'[2]ANTICIPOS SAN FERMÍN'!$K$1:$K$1000)))</f>
        <v/>
      </c>
      <c r="D100" s="37" t="str">
        <f>IF(A100="","",_xlfn.XLOOKUP($A100,'[2]ANTICIPOS SAN FERMÍN'!$B$1:$B$1000,'[2]ANTICIPOS SAN FERMÍN'!$M$1:$M$1000))</f>
        <v/>
      </c>
      <c r="E100" s="37" t="str">
        <f>IF(A100="","",_xlfn.XLOOKUP($A100,'[2]ANTICIPOS SAN FERMÍN'!$B$1:$B$1000,'[2]ANTICIPOS SAN FERMÍN'!$O$1:$O$1000))</f>
        <v/>
      </c>
      <c r="F100" s="52"/>
      <c r="G100" s="52"/>
      <c r="H100" s="53"/>
      <c r="I100" s="38" t="str">
        <f>IF(A100="","",_xlfn.XLOOKUP($A100,'[2]ANTICIPOS SAN FERMÍN'!$C$1:$C$1000,'[2]ANTICIPOS SAN FERMÍN'!$H$1:$H$1000))</f>
        <v/>
      </c>
      <c r="J100" s="39"/>
      <c r="K100" s="38" t="str">
        <f>IF(A100="","",_xlfn.XLOOKUP($A100,'[2]ANTICIPOS SAN FERMÍN'!$C$1:$C$1000,'[2]ANTICIPOS SAN FERMÍN'!$I$1:$I$1000))</f>
        <v/>
      </c>
      <c r="L100" s="39"/>
      <c r="M100" s="38" t="str">
        <f>IF(A100="","",_xlfn.XLOOKUP($A100,'[2]ANTICIPOS SAN FERMÍN'!$C$1:$C$1000,'[2]ANTICIPOS SAN FERMÍN'!$J$1:$J$1000))</f>
        <v/>
      </c>
      <c r="N100" s="39"/>
      <c r="O100" s="38" t="str">
        <f>IF(A100="","",_xlfn.XLOOKUP($A100,'[2]ANTICIPOS SAN FERMÍN'!$C$1:$C$1000,'[2]ANTICIPOS SAN FERMÍN'!$L$1:$L$1000))</f>
        <v/>
      </c>
      <c r="P100" s="39"/>
      <c r="Q100" s="38" t="str">
        <f>IF(A100="","",_xlfn.XLOOKUP($A100,'[2]ANTICIPOS SAN FERMÍN'!$C$1:$C$1000,'[2]ANTICIPOS SAN FERMÍN'!$N$1:$N$1000))</f>
        <v/>
      </c>
      <c r="R100" s="39"/>
    </row>
    <row r="101" spans="1:18" hidden="1" x14ac:dyDescent="0.2">
      <c r="A101" s="34"/>
      <c r="B101" s="35" t="str">
        <f>IF(A101="","",_xlfn.XLOOKUP($A101,'[2]ANTICIPOS SAN FERMÍN'!$B$1:$B$1000,'[2]ANTICIPOS SAN FERMÍN'!$I$1:$I$1000))</f>
        <v/>
      </c>
      <c r="C101" s="36" t="str">
        <f>IF(A101="","",IF(_xlfn.XLOOKUP($A101,'[2]ANTICIPOS SAN FERMÍN'!$B$1:$B$1000,'[2]ANTICIPOS SAN FERMÍN'!$K$1:$K$1000)="","",_xlfn.XLOOKUP($A101,'[2]ANTICIPOS SAN FERMÍN'!$B$1:$B$1000,'[2]ANTICIPOS SAN FERMÍN'!$K$1:$K$1000)))</f>
        <v/>
      </c>
      <c r="D101" s="37" t="str">
        <f>IF(A101="","",_xlfn.XLOOKUP($A101,'[2]ANTICIPOS SAN FERMÍN'!$B$1:$B$1000,'[2]ANTICIPOS SAN FERMÍN'!$M$1:$M$1000))</f>
        <v/>
      </c>
      <c r="E101" s="37" t="str">
        <f>IF(A101="","",_xlfn.XLOOKUP($A101,'[2]ANTICIPOS SAN FERMÍN'!$B$1:$B$1000,'[2]ANTICIPOS SAN FERMÍN'!$O$1:$O$1000))</f>
        <v/>
      </c>
      <c r="F101" s="52"/>
      <c r="G101" s="52"/>
      <c r="H101" s="53"/>
      <c r="I101" s="38" t="str">
        <f>IF(A101="","",_xlfn.XLOOKUP($A101,'[2]ANTICIPOS SAN FERMÍN'!$C$1:$C$1000,'[2]ANTICIPOS SAN FERMÍN'!$H$1:$H$1000))</f>
        <v/>
      </c>
      <c r="J101" s="39"/>
      <c r="K101" s="38" t="str">
        <f>IF(A101="","",_xlfn.XLOOKUP($A101,'[2]ANTICIPOS SAN FERMÍN'!$C$1:$C$1000,'[2]ANTICIPOS SAN FERMÍN'!$I$1:$I$1000))</f>
        <v/>
      </c>
      <c r="L101" s="39"/>
      <c r="M101" s="38" t="str">
        <f>IF(A101="","",_xlfn.XLOOKUP($A101,'[2]ANTICIPOS SAN FERMÍN'!$C$1:$C$1000,'[2]ANTICIPOS SAN FERMÍN'!$J$1:$J$1000))</f>
        <v/>
      </c>
      <c r="N101" s="39"/>
      <c r="O101" s="38" t="str">
        <f>IF(A101="","",_xlfn.XLOOKUP($A101,'[2]ANTICIPOS SAN FERMÍN'!$C$1:$C$1000,'[2]ANTICIPOS SAN FERMÍN'!$L$1:$L$1000))</f>
        <v/>
      </c>
      <c r="P101" s="39"/>
      <c r="Q101" s="38" t="str">
        <f>IF(A101="","",_xlfn.XLOOKUP($A101,'[2]ANTICIPOS SAN FERMÍN'!$C$1:$C$1000,'[2]ANTICIPOS SAN FERMÍN'!$N$1:$N$1000))</f>
        <v/>
      </c>
      <c r="R101" s="39"/>
    </row>
    <row r="102" spans="1:18" hidden="1" x14ac:dyDescent="0.2">
      <c r="A102" s="34"/>
      <c r="B102" s="35" t="str">
        <f>IF(A102="","",_xlfn.XLOOKUP($A102,'[2]ANTICIPOS SAN FERMÍN'!$B$1:$B$1000,'[2]ANTICIPOS SAN FERMÍN'!$I$1:$I$1000))</f>
        <v/>
      </c>
      <c r="C102" s="36" t="str">
        <f>IF(A102="","",IF(_xlfn.XLOOKUP($A102,'[2]ANTICIPOS SAN FERMÍN'!$B$1:$B$1000,'[2]ANTICIPOS SAN FERMÍN'!$K$1:$K$1000)="","",_xlfn.XLOOKUP($A102,'[2]ANTICIPOS SAN FERMÍN'!$B$1:$B$1000,'[2]ANTICIPOS SAN FERMÍN'!$K$1:$K$1000)))</f>
        <v/>
      </c>
      <c r="D102" s="37" t="str">
        <f>IF(A102="","",_xlfn.XLOOKUP($A102,'[2]ANTICIPOS SAN FERMÍN'!$B$1:$B$1000,'[2]ANTICIPOS SAN FERMÍN'!$M$1:$M$1000))</f>
        <v/>
      </c>
      <c r="E102" s="37" t="str">
        <f>IF(A102="","",_xlfn.XLOOKUP($A102,'[2]ANTICIPOS SAN FERMÍN'!$B$1:$B$1000,'[2]ANTICIPOS SAN FERMÍN'!$O$1:$O$1000))</f>
        <v/>
      </c>
      <c r="F102" s="52"/>
      <c r="G102" s="52"/>
      <c r="H102" s="53"/>
      <c r="I102" s="38" t="str">
        <f>IF(A102="","",_xlfn.XLOOKUP($A102,'[2]ANTICIPOS SAN FERMÍN'!$C$1:$C$1000,'[2]ANTICIPOS SAN FERMÍN'!$H$1:$H$1000))</f>
        <v/>
      </c>
      <c r="J102" s="39"/>
      <c r="K102" s="38" t="str">
        <f>IF(A102="","",_xlfn.XLOOKUP($A102,'[2]ANTICIPOS SAN FERMÍN'!$C$1:$C$1000,'[2]ANTICIPOS SAN FERMÍN'!$I$1:$I$1000))</f>
        <v/>
      </c>
      <c r="L102" s="39"/>
      <c r="M102" s="38" t="str">
        <f>IF(A102="","",_xlfn.XLOOKUP($A102,'[2]ANTICIPOS SAN FERMÍN'!$C$1:$C$1000,'[2]ANTICIPOS SAN FERMÍN'!$J$1:$J$1000))</f>
        <v/>
      </c>
      <c r="N102" s="39"/>
      <c r="O102" s="38" t="str">
        <f>IF(A102="","",_xlfn.XLOOKUP($A102,'[2]ANTICIPOS SAN FERMÍN'!$C$1:$C$1000,'[2]ANTICIPOS SAN FERMÍN'!$L$1:$L$1000))</f>
        <v/>
      </c>
      <c r="P102" s="39"/>
      <c r="Q102" s="38" t="str">
        <f>IF(A102="","",_xlfn.XLOOKUP($A102,'[2]ANTICIPOS SAN FERMÍN'!$C$1:$C$1000,'[2]ANTICIPOS SAN FERMÍN'!$N$1:$N$1000))</f>
        <v/>
      </c>
      <c r="R102" s="39"/>
    </row>
    <row r="103" spans="1:18" hidden="1" x14ac:dyDescent="0.2">
      <c r="A103" s="34"/>
      <c r="B103" s="35" t="str">
        <f>IF(A103="","",_xlfn.XLOOKUP($A103,'[2]ANTICIPOS SAN FERMÍN'!$B$1:$B$1000,'[2]ANTICIPOS SAN FERMÍN'!$I$1:$I$1000))</f>
        <v/>
      </c>
      <c r="C103" s="36" t="str">
        <f>IF(A103="","",IF(_xlfn.XLOOKUP($A103,'[2]ANTICIPOS SAN FERMÍN'!$B$1:$B$1000,'[2]ANTICIPOS SAN FERMÍN'!$K$1:$K$1000)="","",_xlfn.XLOOKUP($A103,'[2]ANTICIPOS SAN FERMÍN'!$B$1:$B$1000,'[2]ANTICIPOS SAN FERMÍN'!$K$1:$K$1000)))</f>
        <v/>
      </c>
      <c r="D103" s="37" t="str">
        <f>IF(A103="","",_xlfn.XLOOKUP($A103,'[2]ANTICIPOS SAN FERMÍN'!$B$1:$B$1000,'[2]ANTICIPOS SAN FERMÍN'!$M$1:$M$1000))</f>
        <v/>
      </c>
      <c r="E103" s="37" t="str">
        <f>IF(A103="","",_xlfn.XLOOKUP($A103,'[2]ANTICIPOS SAN FERMÍN'!$B$1:$B$1000,'[2]ANTICIPOS SAN FERMÍN'!$O$1:$O$1000))</f>
        <v/>
      </c>
      <c r="F103" s="52"/>
      <c r="G103" s="52"/>
      <c r="H103" s="53"/>
      <c r="I103" s="38" t="str">
        <f>IF(A103="","",_xlfn.XLOOKUP($A103,'[2]ANTICIPOS SAN FERMÍN'!$C$1:$C$1000,'[2]ANTICIPOS SAN FERMÍN'!$H$1:$H$1000))</f>
        <v/>
      </c>
      <c r="J103" s="39"/>
      <c r="K103" s="38" t="str">
        <f>IF(A103="","",_xlfn.XLOOKUP($A103,'[2]ANTICIPOS SAN FERMÍN'!$C$1:$C$1000,'[2]ANTICIPOS SAN FERMÍN'!$I$1:$I$1000))</f>
        <v/>
      </c>
      <c r="L103" s="39"/>
      <c r="M103" s="38" t="str">
        <f>IF(A103="","",_xlfn.XLOOKUP($A103,'[2]ANTICIPOS SAN FERMÍN'!$C$1:$C$1000,'[2]ANTICIPOS SAN FERMÍN'!$J$1:$J$1000))</f>
        <v/>
      </c>
      <c r="N103" s="39"/>
      <c r="O103" s="38" t="str">
        <f>IF(A103="","",_xlfn.XLOOKUP($A103,'[2]ANTICIPOS SAN FERMÍN'!$C$1:$C$1000,'[2]ANTICIPOS SAN FERMÍN'!$L$1:$L$1000))</f>
        <v/>
      </c>
      <c r="P103" s="39"/>
      <c r="Q103" s="38" t="str">
        <f>IF(A103="","",_xlfn.XLOOKUP($A103,'[2]ANTICIPOS SAN FERMÍN'!$C$1:$C$1000,'[2]ANTICIPOS SAN FERMÍN'!$N$1:$N$1000))</f>
        <v/>
      </c>
      <c r="R103" s="39"/>
    </row>
    <row r="104" spans="1:18" hidden="1" x14ac:dyDescent="0.2">
      <c r="A104" s="34"/>
      <c r="B104" s="35" t="str">
        <f>IF(A104="","",_xlfn.XLOOKUP($A104,'[2]ANTICIPOS SAN FERMÍN'!$B$1:$B$1000,'[2]ANTICIPOS SAN FERMÍN'!$I$1:$I$1000))</f>
        <v/>
      </c>
      <c r="C104" s="36" t="str">
        <f>IF(A104="","",IF(_xlfn.XLOOKUP($A104,'[2]ANTICIPOS SAN FERMÍN'!$B$1:$B$1000,'[2]ANTICIPOS SAN FERMÍN'!$K$1:$K$1000)="","",_xlfn.XLOOKUP($A104,'[2]ANTICIPOS SAN FERMÍN'!$B$1:$B$1000,'[2]ANTICIPOS SAN FERMÍN'!$K$1:$K$1000)))</f>
        <v/>
      </c>
      <c r="D104" s="37" t="str">
        <f>IF(A104="","",_xlfn.XLOOKUP($A104,'[2]ANTICIPOS SAN FERMÍN'!$B$1:$B$1000,'[2]ANTICIPOS SAN FERMÍN'!$M$1:$M$1000))</f>
        <v/>
      </c>
      <c r="E104" s="37" t="str">
        <f>IF(A104="","",_xlfn.XLOOKUP($A104,'[2]ANTICIPOS SAN FERMÍN'!$B$1:$B$1000,'[2]ANTICIPOS SAN FERMÍN'!$O$1:$O$1000))</f>
        <v/>
      </c>
      <c r="F104" s="52"/>
      <c r="G104" s="52"/>
      <c r="H104" s="53"/>
      <c r="I104" s="38" t="str">
        <f>IF(A104="","",_xlfn.XLOOKUP($A104,'[2]ANTICIPOS SAN FERMÍN'!$C$1:$C$1000,'[2]ANTICIPOS SAN FERMÍN'!$H$1:$H$1000))</f>
        <v/>
      </c>
      <c r="J104" s="39"/>
      <c r="K104" s="38" t="str">
        <f>IF(A104="","",_xlfn.XLOOKUP($A104,'[2]ANTICIPOS SAN FERMÍN'!$C$1:$C$1000,'[2]ANTICIPOS SAN FERMÍN'!$I$1:$I$1000))</f>
        <v/>
      </c>
      <c r="L104" s="39"/>
      <c r="M104" s="38" t="str">
        <f>IF(A104="","",_xlfn.XLOOKUP($A104,'[2]ANTICIPOS SAN FERMÍN'!$C$1:$C$1000,'[2]ANTICIPOS SAN FERMÍN'!$J$1:$J$1000))</f>
        <v/>
      </c>
      <c r="N104" s="39"/>
      <c r="O104" s="38" t="str">
        <f>IF(A104="","",_xlfn.XLOOKUP($A104,'[2]ANTICIPOS SAN FERMÍN'!$C$1:$C$1000,'[2]ANTICIPOS SAN FERMÍN'!$L$1:$L$1000))</f>
        <v/>
      </c>
      <c r="P104" s="39"/>
      <c r="Q104" s="38" t="str">
        <f>IF(A104="","",_xlfn.XLOOKUP($A104,'[2]ANTICIPOS SAN FERMÍN'!$C$1:$C$1000,'[2]ANTICIPOS SAN FERMÍN'!$N$1:$N$1000))</f>
        <v/>
      </c>
      <c r="R104" s="39"/>
    </row>
    <row r="105" spans="1:18" hidden="1" x14ac:dyDescent="0.2">
      <c r="A105" s="34"/>
      <c r="B105" s="35" t="str">
        <f>IF(A105="","",_xlfn.XLOOKUP($A105,'[2]ANTICIPOS SAN FERMÍN'!$B$1:$B$1000,'[2]ANTICIPOS SAN FERMÍN'!$I$1:$I$1000))</f>
        <v/>
      </c>
      <c r="C105" s="36" t="str">
        <f>IF(A105="","",IF(_xlfn.XLOOKUP($A105,'[2]ANTICIPOS SAN FERMÍN'!$B$1:$B$1000,'[2]ANTICIPOS SAN FERMÍN'!$K$1:$K$1000)="","",_xlfn.XLOOKUP($A105,'[2]ANTICIPOS SAN FERMÍN'!$B$1:$B$1000,'[2]ANTICIPOS SAN FERMÍN'!$K$1:$K$1000)))</f>
        <v/>
      </c>
      <c r="D105" s="37" t="str">
        <f>IF(A105="","",_xlfn.XLOOKUP($A105,'[2]ANTICIPOS SAN FERMÍN'!$B$1:$B$1000,'[2]ANTICIPOS SAN FERMÍN'!$M$1:$M$1000))</f>
        <v/>
      </c>
      <c r="E105" s="37" t="str">
        <f>IF(A105="","",_xlfn.XLOOKUP($A105,'[2]ANTICIPOS SAN FERMÍN'!$B$1:$B$1000,'[2]ANTICIPOS SAN FERMÍN'!$O$1:$O$1000))</f>
        <v/>
      </c>
      <c r="F105" s="52"/>
      <c r="G105" s="52"/>
      <c r="H105" s="53"/>
      <c r="I105" s="38" t="str">
        <f>IF(A105="","",_xlfn.XLOOKUP($A105,'[2]ANTICIPOS SAN FERMÍN'!$C$1:$C$1000,'[2]ANTICIPOS SAN FERMÍN'!$H$1:$H$1000))</f>
        <v/>
      </c>
      <c r="J105" s="39"/>
      <c r="K105" s="38" t="str">
        <f>IF(A105="","",_xlfn.XLOOKUP($A105,'[2]ANTICIPOS SAN FERMÍN'!$C$1:$C$1000,'[2]ANTICIPOS SAN FERMÍN'!$I$1:$I$1000))</f>
        <v/>
      </c>
      <c r="L105" s="39"/>
      <c r="M105" s="38" t="str">
        <f>IF(A105="","",_xlfn.XLOOKUP($A105,'[2]ANTICIPOS SAN FERMÍN'!$C$1:$C$1000,'[2]ANTICIPOS SAN FERMÍN'!$J$1:$J$1000))</f>
        <v/>
      </c>
      <c r="N105" s="39"/>
      <c r="O105" s="38" t="str">
        <f>IF(A105="","",_xlfn.XLOOKUP($A105,'[2]ANTICIPOS SAN FERMÍN'!$C$1:$C$1000,'[2]ANTICIPOS SAN FERMÍN'!$L$1:$L$1000))</f>
        <v/>
      </c>
      <c r="P105" s="39"/>
      <c r="Q105" s="38" t="str">
        <f>IF(A105="","",_xlfn.XLOOKUP($A105,'[2]ANTICIPOS SAN FERMÍN'!$C$1:$C$1000,'[2]ANTICIPOS SAN FERMÍN'!$N$1:$N$1000))</f>
        <v/>
      </c>
      <c r="R105" s="39"/>
    </row>
    <row r="106" spans="1:18" hidden="1" x14ac:dyDescent="0.2">
      <c r="A106" s="34"/>
      <c r="B106" s="35" t="str">
        <f>IF(A106="","",_xlfn.XLOOKUP($A106,'[2]ANTICIPOS SAN FERMÍN'!$B$1:$B$1000,'[2]ANTICIPOS SAN FERMÍN'!$I$1:$I$1000))</f>
        <v/>
      </c>
      <c r="C106" s="36" t="str">
        <f>IF(A106="","",IF(_xlfn.XLOOKUP($A106,'[2]ANTICIPOS SAN FERMÍN'!$B$1:$B$1000,'[2]ANTICIPOS SAN FERMÍN'!$K$1:$K$1000)="","",_xlfn.XLOOKUP($A106,'[2]ANTICIPOS SAN FERMÍN'!$B$1:$B$1000,'[2]ANTICIPOS SAN FERMÍN'!$K$1:$K$1000)))</f>
        <v/>
      </c>
      <c r="D106" s="37" t="str">
        <f>IF(A106="","",_xlfn.XLOOKUP($A106,'[2]ANTICIPOS SAN FERMÍN'!$B$1:$B$1000,'[2]ANTICIPOS SAN FERMÍN'!$M$1:$M$1000))</f>
        <v/>
      </c>
      <c r="E106" s="37" t="str">
        <f>IF(A106="","",_xlfn.XLOOKUP($A106,'[2]ANTICIPOS SAN FERMÍN'!$B$1:$B$1000,'[2]ANTICIPOS SAN FERMÍN'!$O$1:$O$1000))</f>
        <v/>
      </c>
      <c r="F106" s="52"/>
      <c r="G106" s="52"/>
      <c r="H106" s="53"/>
      <c r="I106" s="38" t="str">
        <f>IF(A106="","",_xlfn.XLOOKUP($A106,'[2]ANTICIPOS SAN FERMÍN'!$C$1:$C$1000,'[2]ANTICIPOS SAN FERMÍN'!$H$1:$H$1000))</f>
        <v/>
      </c>
      <c r="J106" s="39"/>
      <c r="K106" s="38" t="str">
        <f>IF(A106="","",_xlfn.XLOOKUP($A106,'[2]ANTICIPOS SAN FERMÍN'!$C$1:$C$1000,'[2]ANTICIPOS SAN FERMÍN'!$I$1:$I$1000))</f>
        <v/>
      </c>
      <c r="L106" s="39"/>
      <c r="M106" s="38" t="str">
        <f>IF(A106="","",_xlfn.XLOOKUP($A106,'[2]ANTICIPOS SAN FERMÍN'!$C$1:$C$1000,'[2]ANTICIPOS SAN FERMÍN'!$J$1:$J$1000))</f>
        <v/>
      </c>
      <c r="N106" s="39"/>
      <c r="O106" s="38" t="str">
        <f>IF(A106="","",_xlfn.XLOOKUP($A106,'[2]ANTICIPOS SAN FERMÍN'!$C$1:$C$1000,'[2]ANTICIPOS SAN FERMÍN'!$L$1:$L$1000))</f>
        <v/>
      </c>
      <c r="P106" s="39"/>
      <c r="Q106" s="38" t="str">
        <f>IF(A106="","",_xlfn.XLOOKUP($A106,'[2]ANTICIPOS SAN FERMÍN'!$C$1:$C$1000,'[2]ANTICIPOS SAN FERMÍN'!$N$1:$N$1000))</f>
        <v/>
      </c>
      <c r="R106" s="39"/>
    </row>
    <row r="107" spans="1:18" hidden="1" x14ac:dyDescent="0.2">
      <c r="A107" s="34"/>
      <c r="B107" s="35" t="str">
        <f>IF(A107="","",_xlfn.XLOOKUP($A107,'[2]ANTICIPOS SAN FERMÍN'!$B$1:$B$1000,'[2]ANTICIPOS SAN FERMÍN'!$I$1:$I$1000))</f>
        <v/>
      </c>
      <c r="C107" s="36" t="str">
        <f>IF(A107="","",IF(_xlfn.XLOOKUP($A107,'[2]ANTICIPOS SAN FERMÍN'!$B$1:$B$1000,'[2]ANTICIPOS SAN FERMÍN'!$K$1:$K$1000)="","",_xlfn.XLOOKUP($A107,'[2]ANTICIPOS SAN FERMÍN'!$B$1:$B$1000,'[2]ANTICIPOS SAN FERMÍN'!$K$1:$K$1000)))</f>
        <v/>
      </c>
      <c r="D107" s="37" t="str">
        <f>IF(A107="","",_xlfn.XLOOKUP($A107,'[2]ANTICIPOS SAN FERMÍN'!$B$1:$B$1000,'[2]ANTICIPOS SAN FERMÍN'!$M$1:$M$1000))</f>
        <v/>
      </c>
      <c r="E107" s="37" t="str">
        <f>IF(A107="","",_xlfn.XLOOKUP($A107,'[2]ANTICIPOS SAN FERMÍN'!$B$1:$B$1000,'[2]ANTICIPOS SAN FERMÍN'!$O$1:$O$1000))</f>
        <v/>
      </c>
      <c r="F107" s="52"/>
      <c r="G107" s="52"/>
      <c r="H107" s="53"/>
      <c r="I107" s="38" t="str">
        <f>IF(A107="","",_xlfn.XLOOKUP($A107,'[2]ANTICIPOS SAN FERMÍN'!$C$1:$C$1000,'[2]ANTICIPOS SAN FERMÍN'!$H$1:$H$1000))</f>
        <v/>
      </c>
      <c r="J107" s="39"/>
      <c r="K107" s="38" t="str">
        <f>IF(A107="","",_xlfn.XLOOKUP($A107,'[2]ANTICIPOS SAN FERMÍN'!$C$1:$C$1000,'[2]ANTICIPOS SAN FERMÍN'!$I$1:$I$1000))</f>
        <v/>
      </c>
      <c r="L107" s="39"/>
      <c r="M107" s="38" t="str">
        <f>IF(A107="","",_xlfn.XLOOKUP($A107,'[2]ANTICIPOS SAN FERMÍN'!$C$1:$C$1000,'[2]ANTICIPOS SAN FERMÍN'!$J$1:$J$1000))</f>
        <v/>
      </c>
      <c r="N107" s="39"/>
      <c r="O107" s="38" t="str">
        <f>IF(A107="","",_xlfn.XLOOKUP($A107,'[2]ANTICIPOS SAN FERMÍN'!$C$1:$C$1000,'[2]ANTICIPOS SAN FERMÍN'!$L$1:$L$1000))</f>
        <v/>
      </c>
      <c r="P107" s="39"/>
      <c r="Q107" s="38" t="str">
        <f>IF(A107="","",_xlfn.XLOOKUP($A107,'[2]ANTICIPOS SAN FERMÍN'!$C$1:$C$1000,'[2]ANTICIPOS SAN FERMÍN'!$N$1:$N$1000))</f>
        <v/>
      </c>
      <c r="R107" s="39"/>
    </row>
    <row r="108" spans="1:18" hidden="1" x14ac:dyDescent="0.2">
      <c r="A108" s="34"/>
      <c r="B108" s="35" t="str">
        <f>IF(A108="","",_xlfn.XLOOKUP($A108,'[2]ANTICIPOS SAN FERMÍN'!$B$1:$B$1000,'[2]ANTICIPOS SAN FERMÍN'!$I$1:$I$1000))</f>
        <v/>
      </c>
      <c r="C108" s="36" t="str">
        <f>IF(A108="","",IF(_xlfn.XLOOKUP($A108,'[2]ANTICIPOS SAN FERMÍN'!$B$1:$B$1000,'[2]ANTICIPOS SAN FERMÍN'!$K$1:$K$1000)="","",_xlfn.XLOOKUP($A108,'[2]ANTICIPOS SAN FERMÍN'!$B$1:$B$1000,'[2]ANTICIPOS SAN FERMÍN'!$K$1:$K$1000)))</f>
        <v/>
      </c>
      <c r="D108" s="37" t="str">
        <f>IF(A108="","",_xlfn.XLOOKUP($A108,'[2]ANTICIPOS SAN FERMÍN'!$B$1:$B$1000,'[2]ANTICIPOS SAN FERMÍN'!$M$1:$M$1000))</f>
        <v/>
      </c>
      <c r="E108" s="37" t="str">
        <f>IF(A108="","",_xlfn.XLOOKUP($A108,'[2]ANTICIPOS SAN FERMÍN'!$B$1:$B$1000,'[2]ANTICIPOS SAN FERMÍN'!$O$1:$O$1000))</f>
        <v/>
      </c>
      <c r="F108" s="52"/>
      <c r="G108" s="52"/>
      <c r="H108" s="53"/>
      <c r="I108" s="38" t="str">
        <f>IF(A108="","",_xlfn.XLOOKUP($A108,'[2]ANTICIPOS SAN FERMÍN'!$C$1:$C$1000,'[2]ANTICIPOS SAN FERMÍN'!$H$1:$H$1000))</f>
        <v/>
      </c>
      <c r="J108" s="39"/>
      <c r="K108" s="38" t="str">
        <f>IF(A108="","",_xlfn.XLOOKUP($A108,'[2]ANTICIPOS SAN FERMÍN'!$C$1:$C$1000,'[2]ANTICIPOS SAN FERMÍN'!$I$1:$I$1000))</f>
        <v/>
      </c>
      <c r="L108" s="39"/>
      <c r="M108" s="38" t="str">
        <f>IF(A108="","",_xlfn.XLOOKUP($A108,'[2]ANTICIPOS SAN FERMÍN'!$C$1:$C$1000,'[2]ANTICIPOS SAN FERMÍN'!$J$1:$J$1000))</f>
        <v/>
      </c>
      <c r="N108" s="39"/>
      <c r="O108" s="38" t="str">
        <f>IF(A108="","",_xlfn.XLOOKUP($A108,'[2]ANTICIPOS SAN FERMÍN'!$C$1:$C$1000,'[2]ANTICIPOS SAN FERMÍN'!$L$1:$L$1000))</f>
        <v/>
      </c>
      <c r="P108" s="39"/>
      <c r="Q108" s="38" t="str">
        <f>IF(A108="","",_xlfn.XLOOKUP($A108,'[2]ANTICIPOS SAN FERMÍN'!$C$1:$C$1000,'[2]ANTICIPOS SAN FERMÍN'!$N$1:$N$1000))</f>
        <v/>
      </c>
      <c r="R108" s="39"/>
    </row>
    <row r="109" spans="1:18" hidden="1" x14ac:dyDescent="0.2">
      <c r="A109" s="34"/>
      <c r="B109" s="35" t="str">
        <f>IF(A109="","",_xlfn.XLOOKUP($A109,'[2]ANTICIPOS SAN FERMÍN'!$B$1:$B$1000,'[2]ANTICIPOS SAN FERMÍN'!$I$1:$I$1000))</f>
        <v/>
      </c>
      <c r="C109" s="36" t="str">
        <f>IF(A109="","",IF(_xlfn.XLOOKUP($A109,'[2]ANTICIPOS SAN FERMÍN'!$B$1:$B$1000,'[2]ANTICIPOS SAN FERMÍN'!$K$1:$K$1000)="","",_xlfn.XLOOKUP($A109,'[2]ANTICIPOS SAN FERMÍN'!$B$1:$B$1000,'[2]ANTICIPOS SAN FERMÍN'!$K$1:$K$1000)))</f>
        <v/>
      </c>
      <c r="D109" s="37" t="str">
        <f>IF(A109="","",_xlfn.XLOOKUP($A109,'[2]ANTICIPOS SAN FERMÍN'!$B$1:$B$1000,'[2]ANTICIPOS SAN FERMÍN'!$M$1:$M$1000))</f>
        <v/>
      </c>
      <c r="E109" s="37" t="str">
        <f>IF(A109="","",_xlfn.XLOOKUP($A109,'[2]ANTICIPOS SAN FERMÍN'!$B$1:$B$1000,'[2]ANTICIPOS SAN FERMÍN'!$O$1:$O$1000))</f>
        <v/>
      </c>
      <c r="F109" s="52"/>
      <c r="G109" s="52"/>
      <c r="H109" s="53"/>
      <c r="I109" s="38" t="str">
        <f>IF(A109="","",_xlfn.XLOOKUP($A109,'[2]ANTICIPOS SAN FERMÍN'!$C$1:$C$1000,'[2]ANTICIPOS SAN FERMÍN'!$H$1:$H$1000))</f>
        <v/>
      </c>
      <c r="J109" s="39"/>
      <c r="K109" s="38" t="str">
        <f>IF(A109="","",_xlfn.XLOOKUP($A109,'[2]ANTICIPOS SAN FERMÍN'!$C$1:$C$1000,'[2]ANTICIPOS SAN FERMÍN'!$I$1:$I$1000))</f>
        <v/>
      </c>
      <c r="L109" s="39"/>
      <c r="M109" s="38" t="str">
        <f>IF(A109="","",_xlfn.XLOOKUP($A109,'[2]ANTICIPOS SAN FERMÍN'!$C$1:$C$1000,'[2]ANTICIPOS SAN FERMÍN'!$J$1:$J$1000))</f>
        <v/>
      </c>
      <c r="N109" s="39"/>
      <c r="O109" s="38" t="str">
        <f>IF(A109="","",_xlfn.XLOOKUP($A109,'[2]ANTICIPOS SAN FERMÍN'!$C$1:$C$1000,'[2]ANTICIPOS SAN FERMÍN'!$L$1:$L$1000))</f>
        <v/>
      </c>
      <c r="P109" s="39"/>
      <c r="Q109" s="38" t="str">
        <f>IF(A109="","",_xlfn.XLOOKUP($A109,'[2]ANTICIPOS SAN FERMÍN'!$C$1:$C$1000,'[2]ANTICIPOS SAN FERMÍN'!$N$1:$N$1000))</f>
        <v/>
      </c>
      <c r="R109" s="39"/>
    </row>
    <row r="110" spans="1:18" hidden="1" x14ac:dyDescent="0.2">
      <c r="A110" s="34"/>
      <c r="B110" s="35" t="str">
        <f>IF(A110="","",_xlfn.XLOOKUP($A110,'[2]ANTICIPOS SAN FERMÍN'!$B$1:$B$1000,'[2]ANTICIPOS SAN FERMÍN'!$I$1:$I$1000))</f>
        <v/>
      </c>
      <c r="C110" s="36" t="str">
        <f>IF(A110="","",IF(_xlfn.XLOOKUP($A110,'[2]ANTICIPOS SAN FERMÍN'!$B$1:$B$1000,'[2]ANTICIPOS SAN FERMÍN'!$K$1:$K$1000)="","",_xlfn.XLOOKUP($A110,'[2]ANTICIPOS SAN FERMÍN'!$B$1:$B$1000,'[2]ANTICIPOS SAN FERMÍN'!$K$1:$K$1000)))</f>
        <v/>
      </c>
      <c r="D110" s="37" t="str">
        <f>IF(A110="","",_xlfn.XLOOKUP($A110,'[2]ANTICIPOS SAN FERMÍN'!$B$1:$B$1000,'[2]ANTICIPOS SAN FERMÍN'!$M$1:$M$1000))</f>
        <v/>
      </c>
      <c r="E110" s="37" t="str">
        <f>IF(A110="","",_xlfn.XLOOKUP($A110,'[2]ANTICIPOS SAN FERMÍN'!$B$1:$B$1000,'[2]ANTICIPOS SAN FERMÍN'!$O$1:$O$1000))</f>
        <v/>
      </c>
      <c r="F110" s="52"/>
      <c r="G110" s="52"/>
      <c r="H110" s="53"/>
      <c r="I110" s="38" t="str">
        <f>IF(A110="","",_xlfn.XLOOKUP($A110,'[2]ANTICIPOS SAN FERMÍN'!$C$1:$C$1000,'[2]ANTICIPOS SAN FERMÍN'!$H$1:$H$1000))</f>
        <v/>
      </c>
      <c r="J110" s="39"/>
      <c r="K110" s="38" t="str">
        <f>IF(A110="","",_xlfn.XLOOKUP($A110,'[2]ANTICIPOS SAN FERMÍN'!$C$1:$C$1000,'[2]ANTICIPOS SAN FERMÍN'!$I$1:$I$1000))</f>
        <v/>
      </c>
      <c r="L110" s="39"/>
      <c r="M110" s="38" t="str">
        <f>IF(A110="","",_xlfn.XLOOKUP($A110,'[2]ANTICIPOS SAN FERMÍN'!$C$1:$C$1000,'[2]ANTICIPOS SAN FERMÍN'!$J$1:$J$1000))</f>
        <v/>
      </c>
      <c r="N110" s="39"/>
      <c r="O110" s="38" t="str">
        <f>IF(A110="","",_xlfn.XLOOKUP($A110,'[2]ANTICIPOS SAN FERMÍN'!$C$1:$C$1000,'[2]ANTICIPOS SAN FERMÍN'!$L$1:$L$1000))</f>
        <v/>
      </c>
      <c r="P110" s="39"/>
      <c r="Q110" s="38" t="str">
        <f>IF(A110="","",_xlfn.XLOOKUP($A110,'[2]ANTICIPOS SAN FERMÍN'!$C$1:$C$1000,'[2]ANTICIPOS SAN FERMÍN'!$N$1:$N$1000))</f>
        <v/>
      </c>
      <c r="R110" s="39"/>
    </row>
    <row r="111" spans="1:18" hidden="1" x14ac:dyDescent="0.2">
      <c r="A111" s="34"/>
      <c r="B111" s="35" t="str">
        <f>IF(A111="","",_xlfn.XLOOKUP($A111,'[2]ANTICIPOS SAN FERMÍN'!$B$1:$B$1000,'[2]ANTICIPOS SAN FERMÍN'!$I$1:$I$1000))</f>
        <v/>
      </c>
      <c r="C111" s="36" t="str">
        <f>IF(A111="","",IF(_xlfn.XLOOKUP($A111,'[2]ANTICIPOS SAN FERMÍN'!$B$1:$B$1000,'[2]ANTICIPOS SAN FERMÍN'!$K$1:$K$1000)="","",_xlfn.XLOOKUP($A111,'[2]ANTICIPOS SAN FERMÍN'!$B$1:$B$1000,'[2]ANTICIPOS SAN FERMÍN'!$K$1:$K$1000)))</f>
        <v/>
      </c>
      <c r="D111" s="37" t="str">
        <f>IF(A111="","",_xlfn.XLOOKUP($A111,'[2]ANTICIPOS SAN FERMÍN'!$B$1:$B$1000,'[2]ANTICIPOS SAN FERMÍN'!$M$1:$M$1000))</f>
        <v/>
      </c>
      <c r="E111" s="37" t="str">
        <f>IF(A111="","",_xlfn.XLOOKUP($A111,'[2]ANTICIPOS SAN FERMÍN'!$B$1:$B$1000,'[2]ANTICIPOS SAN FERMÍN'!$O$1:$O$1000))</f>
        <v/>
      </c>
      <c r="F111" s="52"/>
      <c r="G111" s="52"/>
      <c r="H111" s="53"/>
      <c r="I111" s="38" t="str">
        <f>IF(A111="","",_xlfn.XLOOKUP($A111,'[2]ANTICIPOS SAN FERMÍN'!$C$1:$C$1000,'[2]ANTICIPOS SAN FERMÍN'!$H$1:$H$1000))</f>
        <v/>
      </c>
      <c r="J111" s="39"/>
      <c r="K111" s="38" t="str">
        <f>IF(A111="","",_xlfn.XLOOKUP($A111,'[2]ANTICIPOS SAN FERMÍN'!$C$1:$C$1000,'[2]ANTICIPOS SAN FERMÍN'!$I$1:$I$1000))</f>
        <v/>
      </c>
      <c r="L111" s="39"/>
      <c r="M111" s="38" t="str">
        <f>IF(A111="","",_xlfn.XLOOKUP($A111,'[2]ANTICIPOS SAN FERMÍN'!$C$1:$C$1000,'[2]ANTICIPOS SAN FERMÍN'!$J$1:$J$1000))</f>
        <v/>
      </c>
      <c r="N111" s="39"/>
      <c r="O111" s="38" t="str">
        <f>IF(A111="","",_xlfn.XLOOKUP($A111,'[2]ANTICIPOS SAN FERMÍN'!$C$1:$C$1000,'[2]ANTICIPOS SAN FERMÍN'!$L$1:$L$1000))</f>
        <v/>
      </c>
      <c r="P111" s="39"/>
      <c r="Q111" s="38" t="str">
        <f>IF(A111="","",_xlfn.XLOOKUP($A111,'[2]ANTICIPOS SAN FERMÍN'!$C$1:$C$1000,'[2]ANTICIPOS SAN FERMÍN'!$N$1:$N$1000))</f>
        <v/>
      </c>
      <c r="R111" s="39"/>
    </row>
    <row r="112" spans="1:18" hidden="1" x14ac:dyDescent="0.2">
      <c r="A112" s="34"/>
      <c r="B112" s="35" t="str">
        <f>IF(A112="","",_xlfn.XLOOKUP($A112,'[2]ANTICIPOS SAN FERMÍN'!$B$1:$B$1000,'[2]ANTICIPOS SAN FERMÍN'!$I$1:$I$1000))</f>
        <v/>
      </c>
      <c r="C112" s="36" t="str">
        <f>IF(A112="","",IF(_xlfn.XLOOKUP($A112,'[2]ANTICIPOS SAN FERMÍN'!$B$1:$B$1000,'[2]ANTICIPOS SAN FERMÍN'!$K$1:$K$1000)="","",_xlfn.XLOOKUP($A112,'[2]ANTICIPOS SAN FERMÍN'!$B$1:$B$1000,'[2]ANTICIPOS SAN FERMÍN'!$K$1:$K$1000)))</f>
        <v/>
      </c>
      <c r="D112" s="37" t="str">
        <f>IF(A112="","",_xlfn.XLOOKUP($A112,'[2]ANTICIPOS SAN FERMÍN'!$B$1:$B$1000,'[2]ANTICIPOS SAN FERMÍN'!$M$1:$M$1000))</f>
        <v/>
      </c>
      <c r="E112" s="37" t="str">
        <f>IF(A112="","",_xlfn.XLOOKUP($A112,'[2]ANTICIPOS SAN FERMÍN'!$B$1:$B$1000,'[2]ANTICIPOS SAN FERMÍN'!$O$1:$O$1000))</f>
        <v/>
      </c>
      <c r="F112" s="52"/>
      <c r="G112" s="52"/>
      <c r="H112" s="53"/>
      <c r="I112" s="38" t="str">
        <f>IF(A112="","",_xlfn.XLOOKUP($A112,'[2]ANTICIPOS SAN FERMÍN'!$C$1:$C$1000,'[2]ANTICIPOS SAN FERMÍN'!$H$1:$H$1000))</f>
        <v/>
      </c>
      <c r="J112" s="39"/>
      <c r="K112" s="38" t="str">
        <f>IF(A112="","",_xlfn.XLOOKUP($A112,'[2]ANTICIPOS SAN FERMÍN'!$C$1:$C$1000,'[2]ANTICIPOS SAN FERMÍN'!$I$1:$I$1000))</f>
        <v/>
      </c>
      <c r="L112" s="39"/>
      <c r="M112" s="38" t="str">
        <f>IF(A112="","",_xlfn.XLOOKUP($A112,'[2]ANTICIPOS SAN FERMÍN'!$C$1:$C$1000,'[2]ANTICIPOS SAN FERMÍN'!$J$1:$J$1000))</f>
        <v/>
      </c>
      <c r="N112" s="39"/>
      <c r="O112" s="38" t="str">
        <f>IF(A112="","",_xlfn.XLOOKUP($A112,'[2]ANTICIPOS SAN FERMÍN'!$C$1:$C$1000,'[2]ANTICIPOS SAN FERMÍN'!$L$1:$L$1000))</f>
        <v/>
      </c>
      <c r="P112" s="39"/>
      <c r="Q112" s="38" t="str">
        <f>IF(A112="","",_xlfn.XLOOKUP($A112,'[2]ANTICIPOS SAN FERMÍN'!$C$1:$C$1000,'[2]ANTICIPOS SAN FERMÍN'!$N$1:$N$1000))</f>
        <v/>
      </c>
      <c r="R112" s="39"/>
    </row>
    <row r="113" spans="1:18" hidden="1" x14ac:dyDescent="0.2">
      <c r="A113" s="34"/>
      <c r="B113" s="35" t="str">
        <f>IF(A113="","",_xlfn.XLOOKUP($A113,'[2]ANTICIPOS SAN FERMÍN'!$B$1:$B$1000,'[2]ANTICIPOS SAN FERMÍN'!$I$1:$I$1000))</f>
        <v/>
      </c>
      <c r="C113" s="36" t="str">
        <f>IF(A113="","",IF(_xlfn.XLOOKUP($A113,'[2]ANTICIPOS SAN FERMÍN'!$B$1:$B$1000,'[2]ANTICIPOS SAN FERMÍN'!$K$1:$K$1000)="","",_xlfn.XLOOKUP($A113,'[2]ANTICIPOS SAN FERMÍN'!$B$1:$B$1000,'[2]ANTICIPOS SAN FERMÍN'!$K$1:$K$1000)))</f>
        <v/>
      </c>
      <c r="D113" s="37" t="str">
        <f>IF(A113="","",_xlfn.XLOOKUP($A113,'[2]ANTICIPOS SAN FERMÍN'!$B$1:$B$1000,'[2]ANTICIPOS SAN FERMÍN'!$M$1:$M$1000))</f>
        <v/>
      </c>
      <c r="E113" s="37" t="str">
        <f>IF(A113="","",_xlfn.XLOOKUP($A113,'[2]ANTICIPOS SAN FERMÍN'!$B$1:$B$1000,'[2]ANTICIPOS SAN FERMÍN'!$O$1:$O$1000))</f>
        <v/>
      </c>
      <c r="F113" s="52"/>
      <c r="G113" s="52"/>
      <c r="H113" s="53"/>
      <c r="I113" s="38" t="str">
        <f>IF(A113="","",_xlfn.XLOOKUP($A113,'[2]ANTICIPOS SAN FERMÍN'!$C$1:$C$1000,'[2]ANTICIPOS SAN FERMÍN'!$H$1:$H$1000))</f>
        <v/>
      </c>
      <c r="J113" s="39"/>
      <c r="K113" s="38" t="str">
        <f>IF(A113="","",_xlfn.XLOOKUP($A113,'[2]ANTICIPOS SAN FERMÍN'!$C$1:$C$1000,'[2]ANTICIPOS SAN FERMÍN'!$I$1:$I$1000))</f>
        <v/>
      </c>
      <c r="L113" s="39"/>
      <c r="M113" s="38" t="str">
        <f>IF(A113="","",_xlfn.XLOOKUP($A113,'[2]ANTICIPOS SAN FERMÍN'!$C$1:$C$1000,'[2]ANTICIPOS SAN FERMÍN'!$J$1:$J$1000))</f>
        <v/>
      </c>
      <c r="N113" s="39"/>
      <c r="O113" s="38" t="str">
        <f>IF(A113="","",_xlfn.XLOOKUP($A113,'[2]ANTICIPOS SAN FERMÍN'!$C$1:$C$1000,'[2]ANTICIPOS SAN FERMÍN'!$L$1:$L$1000))</f>
        <v/>
      </c>
      <c r="P113" s="39"/>
      <c r="Q113" s="38" t="str">
        <f>IF(A113="","",_xlfn.XLOOKUP($A113,'[2]ANTICIPOS SAN FERMÍN'!$C$1:$C$1000,'[2]ANTICIPOS SAN FERMÍN'!$N$1:$N$1000))</f>
        <v/>
      </c>
      <c r="R113" s="39"/>
    </row>
    <row r="114" spans="1:18" hidden="1" x14ac:dyDescent="0.2">
      <c r="A114" s="34"/>
      <c r="B114" s="35" t="str">
        <f>IF(A114="","",_xlfn.XLOOKUP($A114,'[2]ANTICIPOS SAN FERMÍN'!$B$1:$B$1000,'[2]ANTICIPOS SAN FERMÍN'!$I$1:$I$1000))</f>
        <v/>
      </c>
      <c r="C114" s="36" t="str">
        <f>IF(A114="","",IF(_xlfn.XLOOKUP($A114,'[2]ANTICIPOS SAN FERMÍN'!$B$1:$B$1000,'[2]ANTICIPOS SAN FERMÍN'!$K$1:$K$1000)="","",_xlfn.XLOOKUP($A114,'[2]ANTICIPOS SAN FERMÍN'!$B$1:$B$1000,'[2]ANTICIPOS SAN FERMÍN'!$K$1:$K$1000)))</f>
        <v/>
      </c>
      <c r="D114" s="37" t="str">
        <f>IF(A114="","",_xlfn.XLOOKUP($A114,'[2]ANTICIPOS SAN FERMÍN'!$B$1:$B$1000,'[2]ANTICIPOS SAN FERMÍN'!$M$1:$M$1000))</f>
        <v/>
      </c>
      <c r="E114" s="37" t="str">
        <f>IF(A114="","",_xlfn.XLOOKUP($A114,'[2]ANTICIPOS SAN FERMÍN'!$B$1:$B$1000,'[2]ANTICIPOS SAN FERMÍN'!$O$1:$O$1000))</f>
        <v/>
      </c>
      <c r="F114" s="52"/>
      <c r="G114" s="52"/>
      <c r="H114" s="53"/>
      <c r="I114" s="38" t="str">
        <f>IF(A114="","",_xlfn.XLOOKUP($A114,'[2]ANTICIPOS SAN FERMÍN'!$C$1:$C$1000,'[2]ANTICIPOS SAN FERMÍN'!$H$1:$H$1000))</f>
        <v/>
      </c>
      <c r="J114" s="39"/>
      <c r="K114" s="38" t="str">
        <f>IF(A114="","",_xlfn.XLOOKUP($A114,'[2]ANTICIPOS SAN FERMÍN'!$C$1:$C$1000,'[2]ANTICIPOS SAN FERMÍN'!$I$1:$I$1000))</f>
        <v/>
      </c>
      <c r="L114" s="39"/>
      <c r="M114" s="38" t="str">
        <f>IF(A114="","",_xlfn.XLOOKUP($A114,'[2]ANTICIPOS SAN FERMÍN'!$C$1:$C$1000,'[2]ANTICIPOS SAN FERMÍN'!$J$1:$J$1000))</f>
        <v/>
      </c>
      <c r="N114" s="39"/>
      <c r="O114" s="38" t="str">
        <f>IF(A114="","",_xlfn.XLOOKUP($A114,'[2]ANTICIPOS SAN FERMÍN'!$C$1:$C$1000,'[2]ANTICIPOS SAN FERMÍN'!$L$1:$L$1000))</f>
        <v/>
      </c>
      <c r="P114" s="39"/>
      <c r="Q114" s="38" t="str">
        <f>IF(A114="","",_xlfn.XLOOKUP($A114,'[2]ANTICIPOS SAN FERMÍN'!$C$1:$C$1000,'[2]ANTICIPOS SAN FERMÍN'!$N$1:$N$1000))</f>
        <v/>
      </c>
      <c r="R114" s="39"/>
    </row>
    <row r="115" spans="1:18" hidden="1" x14ac:dyDescent="0.2">
      <c r="A115" s="34"/>
      <c r="B115" s="35" t="str">
        <f>IF(A115="","",_xlfn.XLOOKUP($A115,'[2]ANTICIPOS SAN FERMÍN'!$B$1:$B$1000,'[2]ANTICIPOS SAN FERMÍN'!$I$1:$I$1000))</f>
        <v/>
      </c>
      <c r="C115" s="36" t="str">
        <f>IF(A115="","",IF(_xlfn.XLOOKUP($A115,'[2]ANTICIPOS SAN FERMÍN'!$B$1:$B$1000,'[2]ANTICIPOS SAN FERMÍN'!$K$1:$K$1000)="","",_xlfn.XLOOKUP($A115,'[2]ANTICIPOS SAN FERMÍN'!$B$1:$B$1000,'[2]ANTICIPOS SAN FERMÍN'!$K$1:$K$1000)))</f>
        <v/>
      </c>
      <c r="D115" s="37" t="str">
        <f>IF(A115="","",_xlfn.XLOOKUP($A115,'[2]ANTICIPOS SAN FERMÍN'!$B$1:$B$1000,'[2]ANTICIPOS SAN FERMÍN'!$M$1:$M$1000))</f>
        <v/>
      </c>
      <c r="E115" s="37" t="str">
        <f>IF(A115="","",_xlfn.XLOOKUP($A115,'[2]ANTICIPOS SAN FERMÍN'!$B$1:$B$1000,'[2]ANTICIPOS SAN FERMÍN'!$O$1:$O$1000))</f>
        <v/>
      </c>
      <c r="F115" s="52"/>
      <c r="G115" s="52"/>
      <c r="H115" s="53"/>
      <c r="I115" s="38" t="str">
        <f>IF(A115="","",_xlfn.XLOOKUP($A115,'[2]ANTICIPOS SAN FERMÍN'!$C$1:$C$1000,'[2]ANTICIPOS SAN FERMÍN'!$H$1:$H$1000))</f>
        <v/>
      </c>
      <c r="J115" s="39"/>
      <c r="K115" s="38" t="str">
        <f>IF(A115="","",_xlfn.XLOOKUP($A115,'[2]ANTICIPOS SAN FERMÍN'!$C$1:$C$1000,'[2]ANTICIPOS SAN FERMÍN'!$I$1:$I$1000))</f>
        <v/>
      </c>
      <c r="L115" s="39"/>
      <c r="M115" s="38" t="str">
        <f>IF(A115="","",_xlfn.XLOOKUP($A115,'[2]ANTICIPOS SAN FERMÍN'!$C$1:$C$1000,'[2]ANTICIPOS SAN FERMÍN'!$J$1:$J$1000))</f>
        <v/>
      </c>
      <c r="N115" s="39"/>
      <c r="O115" s="38" t="str">
        <f>IF(A115="","",_xlfn.XLOOKUP($A115,'[2]ANTICIPOS SAN FERMÍN'!$C$1:$C$1000,'[2]ANTICIPOS SAN FERMÍN'!$L$1:$L$1000))</f>
        <v/>
      </c>
      <c r="P115" s="39"/>
      <c r="Q115" s="38" t="str">
        <f>IF(A115="","",_xlfn.XLOOKUP($A115,'[2]ANTICIPOS SAN FERMÍN'!$C$1:$C$1000,'[2]ANTICIPOS SAN FERMÍN'!$N$1:$N$1000))</f>
        <v/>
      </c>
      <c r="R115" s="39"/>
    </row>
    <row r="116" spans="1:18" hidden="1" x14ac:dyDescent="0.2">
      <c r="A116" s="34"/>
      <c r="B116" s="35" t="str">
        <f>IF(A116="","",_xlfn.XLOOKUP($A116,'[2]ANTICIPOS SAN FERMÍN'!$B$1:$B$1000,'[2]ANTICIPOS SAN FERMÍN'!$I$1:$I$1000))</f>
        <v/>
      </c>
      <c r="C116" s="36" t="str">
        <f>IF(A116="","",IF(_xlfn.XLOOKUP($A116,'[2]ANTICIPOS SAN FERMÍN'!$B$1:$B$1000,'[2]ANTICIPOS SAN FERMÍN'!$K$1:$K$1000)="","",_xlfn.XLOOKUP($A116,'[2]ANTICIPOS SAN FERMÍN'!$B$1:$B$1000,'[2]ANTICIPOS SAN FERMÍN'!$K$1:$K$1000)))</f>
        <v/>
      </c>
      <c r="D116" s="37" t="str">
        <f>IF(A116="","",_xlfn.XLOOKUP($A116,'[2]ANTICIPOS SAN FERMÍN'!$B$1:$B$1000,'[2]ANTICIPOS SAN FERMÍN'!$M$1:$M$1000))</f>
        <v/>
      </c>
      <c r="E116" s="37" t="str">
        <f>IF(A116="","",_xlfn.XLOOKUP($A116,'[2]ANTICIPOS SAN FERMÍN'!$B$1:$B$1000,'[2]ANTICIPOS SAN FERMÍN'!$O$1:$O$1000))</f>
        <v/>
      </c>
      <c r="F116" s="52"/>
      <c r="G116" s="52"/>
      <c r="H116" s="53"/>
      <c r="I116" s="38" t="str">
        <f>IF(A116="","",_xlfn.XLOOKUP($A116,'[2]ANTICIPOS SAN FERMÍN'!$C$1:$C$1000,'[2]ANTICIPOS SAN FERMÍN'!$H$1:$H$1000))</f>
        <v/>
      </c>
      <c r="J116" s="39"/>
      <c r="K116" s="38" t="str">
        <f>IF(A116="","",_xlfn.XLOOKUP($A116,'[2]ANTICIPOS SAN FERMÍN'!$C$1:$C$1000,'[2]ANTICIPOS SAN FERMÍN'!$I$1:$I$1000))</f>
        <v/>
      </c>
      <c r="L116" s="39"/>
      <c r="M116" s="38" t="str">
        <f>IF(A116="","",_xlfn.XLOOKUP($A116,'[2]ANTICIPOS SAN FERMÍN'!$C$1:$C$1000,'[2]ANTICIPOS SAN FERMÍN'!$J$1:$J$1000))</f>
        <v/>
      </c>
      <c r="N116" s="39"/>
      <c r="O116" s="38" t="str">
        <f>IF(A116="","",_xlfn.XLOOKUP($A116,'[2]ANTICIPOS SAN FERMÍN'!$C$1:$C$1000,'[2]ANTICIPOS SAN FERMÍN'!$L$1:$L$1000))</f>
        <v/>
      </c>
      <c r="P116" s="39"/>
      <c r="Q116" s="38" t="str">
        <f>IF(A116="","",_xlfn.XLOOKUP($A116,'[2]ANTICIPOS SAN FERMÍN'!$C$1:$C$1000,'[2]ANTICIPOS SAN FERMÍN'!$N$1:$N$1000))</f>
        <v/>
      </c>
      <c r="R116" s="39"/>
    </row>
    <row r="117" spans="1:18" hidden="1" x14ac:dyDescent="0.2">
      <c r="A117" s="34"/>
      <c r="B117" s="35" t="str">
        <f>IF(A117="","",_xlfn.XLOOKUP($A117,'[2]ANTICIPOS SAN FERMÍN'!$B$1:$B$1000,'[2]ANTICIPOS SAN FERMÍN'!$I$1:$I$1000))</f>
        <v/>
      </c>
      <c r="C117" s="36" t="str">
        <f>IF(A117="","",IF(_xlfn.XLOOKUP($A117,'[2]ANTICIPOS SAN FERMÍN'!$B$1:$B$1000,'[2]ANTICIPOS SAN FERMÍN'!$K$1:$K$1000)="","",_xlfn.XLOOKUP($A117,'[2]ANTICIPOS SAN FERMÍN'!$B$1:$B$1000,'[2]ANTICIPOS SAN FERMÍN'!$K$1:$K$1000)))</f>
        <v/>
      </c>
      <c r="D117" s="37" t="str">
        <f>IF(A117="","",_xlfn.XLOOKUP($A117,'[2]ANTICIPOS SAN FERMÍN'!$B$1:$B$1000,'[2]ANTICIPOS SAN FERMÍN'!$M$1:$M$1000))</f>
        <v/>
      </c>
      <c r="E117" s="37" t="str">
        <f>IF(A117="","",_xlfn.XLOOKUP($A117,'[2]ANTICIPOS SAN FERMÍN'!$B$1:$B$1000,'[2]ANTICIPOS SAN FERMÍN'!$O$1:$O$1000))</f>
        <v/>
      </c>
      <c r="F117" s="52"/>
      <c r="G117" s="52"/>
      <c r="H117" s="53"/>
      <c r="I117" s="38" t="str">
        <f>IF(A117="","",_xlfn.XLOOKUP($A117,'[2]ANTICIPOS SAN FERMÍN'!$C$1:$C$1000,'[2]ANTICIPOS SAN FERMÍN'!$H$1:$H$1000))</f>
        <v/>
      </c>
      <c r="J117" s="39"/>
      <c r="K117" s="38" t="str">
        <f>IF(A117="","",_xlfn.XLOOKUP($A117,'[2]ANTICIPOS SAN FERMÍN'!$C$1:$C$1000,'[2]ANTICIPOS SAN FERMÍN'!$I$1:$I$1000))</f>
        <v/>
      </c>
      <c r="L117" s="39"/>
      <c r="M117" s="38" t="str">
        <f>IF(A117="","",_xlfn.XLOOKUP($A117,'[2]ANTICIPOS SAN FERMÍN'!$C$1:$C$1000,'[2]ANTICIPOS SAN FERMÍN'!$J$1:$J$1000))</f>
        <v/>
      </c>
      <c r="N117" s="39"/>
      <c r="O117" s="38" t="str">
        <f>IF(A117="","",_xlfn.XLOOKUP($A117,'[2]ANTICIPOS SAN FERMÍN'!$C$1:$C$1000,'[2]ANTICIPOS SAN FERMÍN'!$L$1:$L$1000))</f>
        <v/>
      </c>
      <c r="P117" s="39"/>
      <c r="Q117" s="38" t="str">
        <f>IF(A117="","",_xlfn.XLOOKUP($A117,'[2]ANTICIPOS SAN FERMÍN'!$C$1:$C$1000,'[2]ANTICIPOS SAN FERMÍN'!$N$1:$N$1000))</f>
        <v/>
      </c>
      <c r="R117" s="39"/>
    </row>
    <row r="118" spans="1:18" hidden="1" x14ac:dyDescent="0.2">
      <c r="A118" s="34"/>
      <c r="B118" s="35" t="str">
        <f>IF(A118="","",_xlfn.XLOOKUP($A118,'[2]ANTICIPOS SAN FERMÍN'!$B$1:$B$1000,'[2]ANTICIPOS SAN FERMÍN'!$I$1:$I$1000))</f>
        <v/>
      </c>
      <c r="C118" s="36" t="str">
        <f>IF(A118="","",IF(_xlfn.XLOOKUP($A118,'[2]ANTICIPOS SAN FERMÍN'!$B$1:$B$1000,'[2]ANTICIPOS SAN FERMÍN'!$K$1:$K$1000)="","",_xlfn.XLOOKUP($A118,'[2]ANTICIPOS SAN FERMÍN'!$B$1:$B$1000,'[2]ANTICIPOS SAN FERMÍN'!$K$1:$K$1000)))</f>
        <v/>
      </c>
      <c r="D118" s="37" t="str">
        <f>IF(A118="","",_xlfn.XLOOKUP($A118,'[2]ANTICIPOS SAN FERMÍN'!$B$1:$B$1000,'[2]ANTICIPOS SAN FERMÍN'!$M$1:$M$1000))</f>
        <v/>
      </c>
      <c r="E118" s="37" t="str">
        <f>IF(A118="","",_xlfn.XLOOKUP($A118,'[2]ANTICIPOS SAN FERMÍN'!$B$1:$B$1000,'[2]ANTICIPOS SAN FERMÍN'!$O$1:$O$1000))</f>
        <v/>
      </c>
      <c r="F118" s="52"/>
      <c r="G118" s="52"/>
      <c r="H118" s="53"/>
      <c r="I118" s="38" t="str">
        <f>IF(A118="","",_xlfn.XLOOKUP($A118,'[2]ANTICIPOS SAN FERMÍN'!$C$1:$C$1000,'[2]ANTICIPOS SAN FERMÍN'!$H$1:$H$1000))</f>
        <v/>
      </c>
      <c r="J118" s="39"/>
      <c r="K118" s="38" t="str">
        <f>IF(A118="","",_xlfn.XLOOKUP($A118,'[2]ANTICIPOS SAN FERMÍN'!$C$1:$C$1000,'[2]ANTICIPOS SAN FERMÍN'!$I$1:$I$1000))</f>
        <v/>
      </c>
      <c r="L118" s="39"/>
      <c r="M118" s="38" t="str">
        <f>IF(A118="","",_xlfn.XLOOKUP($A118,'[2]ANTICIPOS SAN FERMÍN'!$C$1:$C$1000,'[2]ANTICIPOS SAN FERMÍN'!$J$1:$J$1000))</f>
        <v/>
      </c>
      <c r="N118" s="39"/>
      <c r="O118" s="38" t="str">
        <f>IF(A118="","",_xlfn.XLOOKUP($A118,'[2]ANTICIPOS SAN FERMÍN'!$C$1:$C$1000,'[2]ANTICIPOS SAN FERMÍN'!$L$1:$L$1000))</f>
        <v/>
      </c>
      <c r="P118" s="39"/>
      <c r="Q118" s="38" t="str">
        <f>IF(A118="","",_xlfn.XLOOKUP($A118,'[2]ANTICIPOS SAN FERMÍN'!$C$1:$C$1000,'[2]ANTICIPOS SAN FERMÍN'!$N$1:$N$1000))</f>
        <v/>
      </c>
      <c r="R118" s="39"/>
    </row>
    <row r="119" spans="1:18" hidden="1" x14ac:dyDescent="0.2">
      <c r="A119" s="34"/>
      <c r="B119" s="35" t="str">
        <f>IF(A119="","",_xlfn.XLOOKUP($A119,'[2]ANTICIPOS SAN FERMÍN'!$B$1:$B$1000,'[2]ANTICIPOS SAN FERMÍN'!$I$1:$I$1000))</f>
        <v/>
      </c>
      <c r="C119" s="36" t="str">
        <f>IF(A119="","",IF(_xlfn.XLOOKUP($A119,'[2]ANTICIPOS SAN FERMÍN'!$B$1:$B$1000,'[2]ANTICIPOS SAN FERMÍN'!$K$1:$K$1000)="","",_xlfn.XLOOKUP($A119,'[2]ANTICIPOS SAN FERMÍN'!$B$1:$B$1000,'[2]ANTICIPOS SAN FERMÍN'!$K$1:$K$1000)))</f>
        <v/>
      </c>
      <c r="D119" s="37" t="str">
        <f>IF(A119="","",_xlfn.XLOOKUP($A119,'[2]ANTICIPOS SAN FERMÍN'!$B$1:$B$1000,'[2]ANTICIPOS SAN FERMÍN'!$M$1:$M$1000))</f>
        <v/>
      </c>
      <c r="E119" s="37" t="str">
        <f>IF(A119="","",_xlfn.XLOOKUP($A119,'[2]ANTICIPOS SAN FERMÍN'!$B$1:$B$1000,'[2]ANTICIPOS SAN FERMÍN'!$O$1:$O$1000))</f>
        <v/>
      </c>
      <c r="F119" s="52"/>
      <c r="G119" s="52"/>
      <c r="H119" s="53"/>
      <c r="I119" s="38" t="str">
        <f>IF(A119="","",_xlfn.XLOOKUP($A119,'[2]ANTICIPOS SAN FERMÍN'!$C$1:$C$1000,'[2]ANTICIPOS SAN FERMÍN'!$H$1:$H$1000))</f>
        <v/>
      </c>
      <c r="J119" s="39"/>
      <c r="K119" s="38" t="str">
        <f>IF(A119="","",_xlfn.XLOOKUP($A119,'[2]ANTICIPOS SAN FERMÍN'!$C$1:$C$1000,'[2]ANTICIPOS SAN FERMÍN'!$I$1:$I$1000))</f>
        <v/>
      </c>
      <c r="L119" s="39"/>
      <c r="M119" s="38" t="str">
        <f>IF(A119="","",_xlfn.XLOOKUP($A119,'[2]ANTICIPOS SAN FERMÍN'!$C$1:$C$1000,'[2]ANTICIPOS SAN FERMÍN'!$J$1:$J$1000))</f>
        <v/>
      </c>
      <c r="N119" s="39"/>
      <c r="O119" s="38" t="str">
        <f>IF(A119="","",_xlfn.XLOOKUP($A119,'[2]ANTICIPOS SAN FERMÍN'!$C$1:$C$1000,'[2]ANTICIPOS SAN FERMÍN'!$L$1:$L$1000))</f>
        <v/>
      </c>
      <c r="P119" s="39"/>
      <c r="Q119" s="38" t="str">
        <f>IF(A119="","",_xlfn.XLOOKUP($A119,'[2]ANTICIPOS SAN FERMÍN'!$C$1:$C$1000,'[2]ANTICIPOS SAN FERMÍN'!$N$1:$N$1000))</f>
        <v/>
      </c>
      <c r="R119" s="39"/>
    </row>
    <row r="120" spans="1:18" hidden="1" x14ac:dyDescent="0.2">
      <c r="A120" s="34"/>
      <c r="B120" s="35" t="str">
        <f>IF(A120="","",_xlfn.XLOOKUP($A120,'[2]ANTICIPOS SAN FERMÍN'!$B$1:$B$1000,'[2]ANTICIPOS SAN FERMÍN'!$I$1:$I$1000))</f>
        <v/>
      </c>
      <c r="C120" s="36" t="str">
        <f>IF(A120="","",IF(_xlfn.XLOOKUP($A120,'[2]ANTICIPOS SAN FERMÍN'!$B$1:$B$1000,'[2]ANTICIPOS SAN FERMÍN'!$K$1:$K$1000)="","",_xlfn.XLOOKUP($A120,'[2]ANTICIPOS SAN FERMÍN'!$B$1:$B$1000,'[2]ANTICIPOS SAN FERMÍN'!$K$1:$K$1000)))</f>
        <v/>
      </c>
      <c r="D120" s="37" t="str">
        <f>IF(A120="","",_xlfn.XLOOKUP($A120,'[2]ANTICIPOS SAN FERMÍN'!$B$1:$B$1000,'[2]ANTICIPOS SAN FERMÍN'!$M$1:$M$1000))</f>
        <v/>
      </c>
      <c r="E120" s="37" t="str">
        <f>IF(A120="","",_xlfn.XLOOKUP($A120,'[2]ANTICIPOS SAN FERMÍN'!$B$1:$B$1000,'[2]ANTICIPOS SAN FERMÍN'!$O$1:$O$1000))</f>
        <v/>
      </c>
      <c r="F120" s="52"/>
      <c r="G120" s="52"/>
      <c r="H120" s="53"/>
      <c r="I120" s="38" t="str">
        <f>IF(A120="","",_xlfn.XLOOKUP($A120,'[2]ANTICIPOS SAN FERMÍN'!$C$1:$C$1000,'[2]ANTICIPOS SAN FERMÍN'!$H$1:$H$1000))</f>
        <v/>
      </c>
      <c r="J120" s="39"/>
      <c r="K120" s="38" t="str">
        <f>IF(A120="","",_xlfn.XLOOKUP($A120,'[2]ANTICIPOS SAN FERMÍN'!$C$1:$C$1000,'[2]ANTICIPOS SAN FERMÍN'!$I$1:$I$1000))</f>
        <v/>
      </c>
      <c r="L120" s="39"/>
      <c r="M120" s="38" t="str">
        <f>IF(A120="","",_xlfn.XLOOKUP($A120,'[2]ANTICIPOS SAN FERMÍN'!$C$1:$C$1000,'[2]ANTICIPOS SAN FERMÍN'!$J$1:$J$1000))</f>
        <v/>
      </c>
      <c r="N120" s="39"/>
      <c r="O120" s="38" t="str">
        <f>IF(A120="","",_xlfn.XLOOKUP($A120,'[2]ANTICIPOS SAN FERMÍN'!$C$1:$C$1000,'[2]ANTICIPOS SAN FERMÍN'!$L$1:$L$1000))</f>
        <v/>
      </c>
      <c r="P120" s="39"/>
      <c r="Q120" s="38" t="str">
        <f>IF(A120="","",_xlfn.XLOOKUP($A120,'[2]ANTICIPOS SAN FERMÍN'!$C$1:$C$1000,'[2]ANTICIPOS SAN FERMÍN'!$N$1:$N$1000))</f>
        <v/>
      </c>
      <c r="R120" s="39"/>
    </row>
    <row r="121" spans="1:18" hidden="1" x14ac:dyDescent="0.2">
      <c r="A121" s="34"/>
      <c r="B121" s="35" t="str">
        <f>IF(A121="","",_xlfn.XLOOKUP($A121,'[2]ANTICIPOS SAN FERMÍN'!$B$1:$B$1000,'[2]ANTICIPOS SAN FERMÍN'!$I$1:$I$1000))</f>
        <v/>
      </c>
      <c r="C121" s="36" t="str">
        <f>IF(A121="","",IF(_xlfn.XLOOKUP($A121,'[2]ANTICIPOS SAN FERMÍN'!$B$1:$B$1000,'[2]ANTICIPOS SAN FERMÍN'!$K$1:$K$1000)="","",_xlfn.XLOOKUP($A121,'[2]ANTICIPOS SAN FERMÍN'!$B$1:$B$1000,'[2]ANTICIPOS SAN FERMÍN'!$K$1:$K$1000)))</f>
        <v/>
      </c>
      <c r="D121" s="37" t="str">
        <f>IF(A121="","",_xlfn.XLOOKUP($A121,'[2]ANTICIPOS SAN FERMÍN'!$B$1:$B$1000,'[2]ANTICIPOS SAN FERMÍN'!$M$1:$M$1000))</f>
        <v/>
      </c>
      <c r="E121" s="37" t="str">
        <f>IF(A121="","",_xlfn.XLOOKUP($A121,'[2]ANTICIPOS SAN FERMÍN'!$B$1:$B$1000,'[2]ANTICIPOS SAN FERMÍN'!$O$1:$O$1000))</f>
        <v/>
      </c>
      <c r="F121" s="52"/>
      <c r="G121" s="52"/>
      <c r="H121" s="53"/>
      <c r="I121" s="38" t="str">
        <f>IF(A121="","",_xlfn.XLOOKUP($A121,'[2]ANTICIPOS SAN FERMÍN'!$C$1:$C$1000,'[2]ANTICIPOS SAN FERMÍN'!$H$1:$H$1000))</f>
        <v/>
      </c>
      <c r="J121" s="39"/>
      <c r="K121" s="38" t="str">
        <f>IF(A121="","",_xlfn.XLOOKUP($A121,'[2]ANTICIPOS SAN FERMÍN'!$C$1:$C$1000,'[2]ANTICIPOS SAN FERMÍN'!$I$1:$I$1000))</f>
        <v/>
      </c>
      <c r="L121" s="39"/>
      <c r="M121" s="38" t="str">
        <f>IF(A121="","",_xlfn.XLOOKUP($A121,'[2]ANTICIPOS SAN FERMÍN'!$C$1:$C$1000,'[2]ANTICIPOS SAN FERMÍN'!$J$1:$J$1000))</f>
        <v/>
      </c>
      <c r="N121" s="39"/>
      <c r="O121" s="38" t="str">
        <f>IF(A121="","",_xlfn.XLOOKUP($A121,'[2]ANTICIPOS SAN FERMÍN'!$C$1:$C$1000,'[2]ANTICIPOS SAN FERMÍN'!$L$1:$L$1000))</f>
        <v/>
      </c>
      <c r="P121" s="39"/>
      <c r="Q121" s="38" t="str">
        <f>IF(A121="","",_xlfn.XLOOKUP($A121,'[2]ANTICIPOS SAN FERMÍN'!$C$1:$C$1000,'[2]ANTICIPOS SAN FERMÍN'!$N$1:$N$1000))</f>
        <v/>
      </c>
      <c r="R121" s="39"/>
    </row>
    <row r="122" spans="1:18" hidden="1" x14ac:dyDescent="0.2">
      <c r="A122" s="34"/>
      <c r="B122" s="35" t="str">
        <f>IF(A122="","",_xlfn.XLOOKUP($A122,'[2]ANTICIPOS SAN FERMÍN'!$B$1:$B$1000,'[2]ANTICIPOS SAN FERMÍN'!$I$1:$I$1000))</f>
        <v/>
      </c>
      <c r="C122" s="36" t="str">
        <f>IF(A122="","",IF(_xlfn.XLOOKUP($A122,'[2]ANTICIPOS SAN FERMÍN'!$B$1:$B$1000,'[2]ANTICIPOS SAN FERMÍN'!$K$1:$K$1000)="","",_xlfn.XLOOKUP($A122,'[2]ANTICIPOS SAN FERMÍN'!$B$1:$B$1000,'[2]ANTICIPOS SAN FERMÍN'!$K$1:$K$1000)))</f>
        <v/>
      </c>
      <c r="D122" s="37" t="str">
        <f>IF(A122="","",_xlfn.XLOOKUP($A122,'[2]ANTICIPOS SAN FERMÍN'!$B$1:$B$1000,'[2]ANTICIPOS SAN FERMÍN'!$M$1:$M$1000))</f>
        <v/>
      </c>
      <c r="E122" s="37" t="str">
        <f>IF(A122="","",_xlfn.XLOOKUP($A122,'[2]ANTICIPOS SAN FERMÍN'!$B$1:$B$1000,'[2]ANTICIPOS SAN FERMÍN'!$O$1:$O$1000))</f>
        <v/>
      </c>
      <c r="F122" s="52"/>
      <c r="G122" s="52"/>
      <c r="H122" s="53"/>
      <c r="I122" s="38" t="str">
        <f>IF(A122="","",_xlfn.XLOOKUP($A122,'[2]ANTICIPOS SAN FERMÍN'!$C$1:$C$1000,'[2]ANTICIPOS SAN FERMÍN'!$H$1:$H$1000))</f>
        <v/>
      </c>
      <c r="J122" s="39"/>
      <c r="K122" s="38" t="str">
        <f>IF(A122="","",_xlfn.XLOOKUP($A122,'[2]ANTICIPOS SAN FERMÍN'!$C$1:$C$1000,'[2]ANTICIPOS SAN FERMÍN'!$I$1:$I$1000))</f>
        <v/>
      </c>
      <c r="L122" s="39"/>
      <c r="M122" s="38" t="str">
        <f>IF(A122="","",_xlfn.XLOOKUP($A122,'[2]ANTICIPOS SAN FERMÍN'!$C$1:$C$1000,'[2]ANTICIPOS SAN FERMÍN'!$J$1:$J$1000))</f>
        <v/>
      </c>
      <c r="N122" s="39"/>
      <c r="O122" s="38" t="str">
        <f>IF(A122="","",_xlfn.XLOOKUP($A122,'[2]ANTICIPOS SAN FERMÍN'!$C$1:$C$1000,'[2]ANTICIPOS SAN FERMÍN'!$L$1:$L$1000))</f>
        <v/>
      </c>
      <c r="P122" s="39"/>
      <c r="Q122" s="38" t="str">
        <f>IF(A122="","",_xlfn.XLOOKUP($A122,'[2]ANTICIPOS SAN FERMÍN'!$C$1:$C$1000,'[2]ANTICIPOS SAN FERMÍN'!$N$1:$N$1000))</f>
        <v/>
      </c>
      <c r="R122" s="39"/>
    </row>
    <row r="123" spans="1:18" hidden="1" x14ac:dyDescent="0.2">
      <c r="A123" s="34"/>
      <c r="B123" s="35" t="str">
        <f>IF(A123="","",_xlfn.XLOOKUP($A123,'[2]ANTICIPOS SAN FERMÍN'!$B$1:$B$1000,'[2]ANTICIPOS SAN FERMÍN'!$I$1:$I$1000))</f>
        <v/>
      </c>
      <c r="C123" s="36" t="str">
        <f>IF(A123="","",IF(_xlfn.XLOOKUP($A123,'[2]ANTICIPOS SAN FERMÍN'!$B$1:$B$1000,'[2]ANTICIPOS SAN FERMÍN'!$K$1:$K$1000)="","",_xlfn.XLOOKUP($A123,'[2]ANTICIPOS SAN FERMÍN'!$B$1:$B$1000,'[2]ANTICIPOS SAN FERMÍN'!$K$1:$K$1000)))</f>
        <v/>
      </c>
      <c r="D123" s="37" t="str">
        <f>IF(A123="","",_xlfn.XLOOKUP($A123,'[2]ANTICIPOS SAN FERMÍN'!$B$1:$B$1000,'[2]ANTICIPOS SAN FERMÍN'!$M$1:$M$1000))</f>
        <v/>
      </c>
      <c r="E123" s="37" t="str">
        <f>IF(A123="","",_xlfn.XLOOKUP($A123,'[2]ANTICIPOS SAN FERMÍN'!$B$1:$B$1000,'[2]ANTICIPOS SAN FERMÍN'!$O$1:$O$1000))</f>
        <v/>
      </c>
      <c r="F123" s="52"/>
      <c r="G123" s="52"/>
      <c r="H123" s="53"/>
      <c r="I123" s="38" t="str">
        <f>IF(A123="","",_xlfn.XLOOKUP($A123,'[2]ANTICIPOS SAN FERMÍN'!$C$1:$C$1000,'[2]ANTICIPOS SAN FERMÍN'!$H$1:$H$1000))</f>
        <v/>
      </c>
      <c r="J123" s="39"/>
      <c r="K123" s="38" t="str">
        <f>IF(A123="","",_xlfn.XLOOKUP($A123,'[2]ANTICIPOS SAN FERMÍN'!$C$1:$C$1000,'[2]ANTICIPOS SAN FERMÍN'!$I$1:$I$1000))</f>
        <v/>
      </c>
      <c r="L123" s="39"/>
      <c r="M123" s="38" t="str">
        <f>IF(A123="","",_xlfn.XLOOKUP($A123,'[2]ANTICIPOS SAN FERMÍN'!$C$1:$C$1000,'[2]ANTICIPOS SAN FERMÍN'!$J$1:$J$1000))</f>
        <v/>
      </c>
      <c r="N123" s="39"/>
      <c r="O123" s="38" t="str">
        <f>IF(A123="","",_xlfn.XLOOKUP($A123,'[2]ANTICIPOS SAN FERMÍN'!$C$1:$C$1000,'[2]ANTICIPOS SAN FERMÍN'!$L$1:$L$1000))</f>
        <v/>
      </c>
      <c r="P123" s="39"/>
      <c r="Q123" s="38" t="str">
        <f>IF(A123="","",_xlfn.XLOOKUP($A123,'[2]ANTICIPOS SAN FERMÍN'!$C$1:$C$1000,'[2]ANTICIPOS SAN FERMÍN'!$N$1:$N$1000))</f>
        <v/>
      </c>
      <c r="R123" s="39"/>
    </row>
    <row r="124" spans="1:18" hidden="1" x14ac:dyDescent="0.2">
      <c r="A124" s="34"/>
      <c r="B124" s="35" t="str">
        <f>IF(A124="","",_xlfn.XLOOKUP($A124,'[2]ANTICIPOS SAN FERMÍN'!$B$1:$B$1000,'[2]ANTICIPOS SAN FERMÍN'!$I$1:$I$1000))</f>
        <v/>
      </c>
      <c r="C124" s="36" t="str">
        <f>IF(A124="","",IF(_xlfn.XLOOKUP($A124,'[2]ANTICIPOS SAN FERMÍN'!$B$1:$B$1000,'[2]ANTICIPOS SAN FERMÍN'!$K$1:$K$1000)="","",_xlfn.XLOOKUP($A124,'[2]ANTICIPOS SAN FERMÍN'!$B$1:$B$1000,'[2]ANTICIPOS SAN FERMÍN'!$K$1:$K$1000)))</f>
        <v/>
      </c>
      <c r="D124" s="37" t="str">
        <f>IF(A124="","",_xlfn.XLOOKUP($A124,'[2]ANTICIPOS SAN FERMÍN'!$B$1:$B$1000,'[2]ANTICIPOS SAN FERMÍN'!$M$1:$M$1000))</f>
        <v/>
      </c>
      <c r="E124" s="37" t="str">
        <f>IF(A124="","",_xlfn.XLOOKUP($A124,'[2]ANTICIPOS SAN FERMÍN'!$B$1:$B$1000,'[2]ANTICIPOS SAN FERMÍN'!$O$1:$O$1000))</f>
        <v/>
      </c>
      <c r="F124" s="52"/>
      <c r="G124" s="52"/>
      <c r="H124" s="53"/>
      <c r="I124" s="38" t="str">
        <f>IF(A124="","",_xlfn.XLOOKUP($A124,'[2]ANTICIPOS SAN FERMÍN'!$C$1:$C$1000,'[2]ANTICIPOS SAN FERMÍN'!$H$1:$H$1000))</f>
        <v/>
      </c>
      <c r="J124" s="39"/>
      <c r="K124" s="38" t="str">
        <f>IF(A124="","",_xlfn.XLOOKUP($A124,'[2]ANTICIPOS SAN FERMÍN'!$C$1:$C$1000,'[2]ANTICIPOS SAN FERMÍN'!$I$1:$I$1000))</f>
        <v/>
      </c>
      <c r="L124" s="39"/>
      <c r="M124" s="38" t="str">
        <f>IF(A124="","",_xlfn.XLOOKUP($A124,'[2]ANTICIPOS SAN FERMÍN'!$C$1:$C$1000,'[2]ANTICIPOS SAN FERMÍN'!$J$1:$J$1000))</f>
        <v/>
      </c>
      <c r="N124" s="39"/>
      <c r="O124" s="38" t="str">
        <f>IF(A124="","",_xlfn.XLOOKUP($A124,'[2]ANTICIPOS SAN FERMÍN'!$C$1:$C$1000,'[2]ANTICIPOS SAN FERMÍN'!$L$1:$L$1000))</f>
        <v/>
      </c>
      <c r="P124" s="39"/>
      <c r="Q124" s="38" t="str">
        <f>IF(A124="","",_xlfn.XLOOKUP($A124,'[2]ANTICIPOS SAN FERMÍN'!$C$1:$C$1000,'[2]ANTICIPOS SAN FERMÍN'!$N$1:$N$1000))</f>
        <v/>
      </c>
      <c r="R124" s="39"/>
    </row>
    <row r="125" spans="1:18" hidden="1" x14ac:dyDescent="0.2">
      <c r="A125" s="34"/>
      <c r="B125" s="35" t="str">
        <f>IF(A125="","",_xlfn.XLOOKUP($A125,'[2]ANTICIPOS SAN FERMÍN'!$B$1:$B$1000,'[2]ANTICIPOS SAN FERMÍN'!$I$1:$I$1000))</f>
        <v/>
      </c>
      <c r="C125" s="36" t="str">
        <f>IF(A125="","",IF(_xlfn.XLOOKUP($A125,'[2]ANTICIPOS SAN FERMÍN'!$B$1:$B$1000,'[2]ANTICIPOS SAN FERMÍN'!$K$1:$K$1000)="","",_xlfn.XLOOKUP($A125,'[2]ANTICIPOS SAN FERMÍN'!$B$1:$B$1000,'[2]ANTICIPOS SAN FERMÍN'!$K$1:$K$1000)))</f>
        <v/>
      </c>
      <c r="D125" s="37" t="str">
        <f>IF(A125="","",_xlfn.XLOOKUP($A125,'[2]ANTICIPOS SAN FERMÍN'!$B$1:$B$1000,'[2]ANTICIPOS SAN FERMÍN'!$M$1:$M$1000))</f>
        <v/>
      </c>
      <c r="E125" s="37" t="str">
        <f>IF(A125="","",_xlfn.XLOOKUP($A125,'[2]ANTICIPOS SAN FERMÍN'!$B$1:$B$1000,'[2]ANTICIPOS SAN FERMÍN'!$O$1:$O$1000))</f>
        <v/>
      </c>
      <c r="F125" s="52"/>
      <c r="G125" s="52"/>
      <c r="H125" s="53"/>
      <c r="I125" s="38" t="str">
        <f>IF(A125="","",_xlfn.XLOOKUP($A125,'[2]ANTICIPOS SAN FERMÍN'!$C$1:$C$1000,'[2]ANTICIPOS SAN FERMÍN'!$H$1:$H$1000))</f>
        <v/>
      </c>
      <c r="J125" s="39"/>
      <c r="K125" s="38" t="str">
        <f>IF(A125="","",_xlfn.XLOOKUP($A125,'[2]ANTICIPOS SAN FERMÍN'!$C$1:$C$1000,'[2]ANTICIPOS SAN FERMÍN'!$I$1:$I$1000))</f>
        <v/>
      </c>
      <c r="L125" s="39"/>
      <c r="M125" s="38" t="str">
        <f>IF(A125="","",_xlfn.XLOOKUP($A125,'[2]ANTICIPOS SAN FERMÍN'!$C$1:$C$1000,'[2]ANTICIPOS SAN FERMÍN'!$J$1:$J$1000))</f>
        <v/>
      </c>
      <c r="N125" s="39"/>
      <c r="O125" s="38" t="str">
        <f>IF(A125="","",_xlfn.XLOOKUP($A125,'[2]ANTICIPOS SAN FERMÍN'!$C$1:$C$1000,'[2]ANTICIPOS SAN FERMÍN'!$L$1:$L$1000))</f>
        <v/>
      </c>
      <c r="P125" s="39"/>
      <c r="Q125" s="38" t="str">
        <f>IF(A125="","",_xlfn.XLOOKUP($A125,'[2]ANTICIPOS SAN FERMÍN'!$C$1:$C$1000,'[2]ANTICIPOS SAN FERMÍN'!$N$1:$N$1000))</f>
        <v/>
      </c>
      <c r="R125" s="39"/>
    </row>
    <row r="126" spans="1:18" hidden="1" x14ac:dyDescent="0.2">
      <c r="A126" s="34"/>
      <c r="B126" s="35" t="str">
        <f>IF(A126="","",_xlfn.XLOOKUP($A126,'[2]ANTICIPOS SAN FERMÍN'!$B$1:$B$1000,'[2]ANTICIPOS SAN FERMÍN'!$I$1:$I$1000))</f>
        <v/>
      </c>
      <c r="C126" s="36" t="str">
        <f>IF(A126="","",IF(_xlfn.XLOOKUP($A126,'[2]ANTICIPOS SAN FERMÍN'!$B$1:$B$1000,'[2]ANTICIPOS SAN FERMÍN'!$K$1:$K$1000)="","",_xlfn.XLOOKUP($A126,'[2]ANTICIPOS SAN FERMÍN'!$B$1:$B$1000,'[2]ANTICIPOS SAN FERMÍN'!$K$1:$K$1000)))</f>
        <v/>
      </c>
      <c r="D126" s="37" t="str">
        <f>IF(A126="","",_xlfn.XLOOKUP($A126,'[2]ANTICIPOS SAN FERMÍN'!$B$1:$B$1000,'[2]ANTICIPOS SAN FERMÍN'!$M$1:$M$1000))</f>
        <v/>
      </c>
      <c r="E126" s="37" t="str">
        <f>IF(A126="","",_xlfn.XLOOKUP($A126,'[2]ANTICIPOS SAN FERMÍN'!$B$1:$B$1000,'[2]ANTICIPOS SAN FERMÍN'!$O$1:$O$1000))</f>
        <v/>
      </c>
      <c r="F126" s="52"/>
      <c r="G126" s="52"/>
      <c r="H126" s="53"/>
      <c r="I126" s="38" t="str">
        <f>IF(A126="","",_xlfn.XLOOKUP($A126,'[2]ANTICIPOS SAN FERMÍN'!$C$1:$C$1000,'[2]ANTICIPOS SAN FERMÍN'!$H$1:$H$1000))</f>
        <v/>
      </c>
      <c r="J126" s="39"/>
      <c r="K126" s="38" t="str">
        <f>IF(A126="","",_xlfn.XLOOKUP($A126,'[2]ANTICIPOS SAN FERMÍN'!$C$1:$C$1000,'[2]ANTICIPOS SAN FERMÍN'!$I$1:$I$1000))</f>
        <v/>
      </c>
      <c r="L126" s="39"/>
      <c r="M126" s="38" t="str">
        <f>IF(A126="","",_xlfn.XLOOKUP($A126,'[2]ANTICIPOS SAN FERMÍN'!$C$1:$C$1000,'[2]ANTICIPOS SAN FERMÍN'!$J$1:$J$1000))</f>
        <v/>
      </c>
      <c r="N126" s="39"/>
      <c r="O126" s="38" t="str">
        <f>IF(A126="","",_xlfn.XLOOKUP($A126,'[2]ANTICIPOS SAN FERMÍN'!$C$1:$C$1000,'[2]ANTICIPOS SAN FERMÍN'!$L$1:$L$1000))</f>
        <v/>
      </c>
      <c r="P126" s="39"/>
      <c r="Q126" s="38" t="str">
        <f>IF(A126="","",_xlfn.XLOOKUP($A126,'[2]ANTICIPOS SAN FERMÍN'!$C$1:$C$1000,'[2]ANTICIPOS SAN FERMÍN'!$N$1:$N$1000))</f>
        <v/>
      </c>
      <c r="R126" s="39"/>
    </row>
    <row r="127" spans="1:18" hidden="1" x14ac:dyDescent="0.2">
      <c r="A127" s="34"/>
      <c r="B127" s="35" t="str">
        <f>IF(A127="","",_xlfn.XLOOKUP($A127,'[2]ANTICIPOS SAN FERMÍN'!$B$1:$B$1000,'[2]ANTICIPOS SAN FERMÍN'!$I$1:$I$1000))</f>
        <v/>
      </c>
      <c r="C127" s="36" t="str">
        <f>IF(A127="","",IF(_xlfn.XLOOKUP($A127,'[2]ANTICIPOS SAN FERMÍN'!$B$1:$B$1000,'[2]ANTICIPOS SAN FERMÍN'!$K$1:$K$1000)="","",_xlfn.XLOOKUP($A127,'[2]ANTICIPOS SAN FERMÍN'!$B$1:$B$1000,'[2]ANTICIPOS SAN FERMÍN'!$K$1:$K$1000)))</f>
        <v/>
      </c>
      <c r="D127" s="37" t="str">
        <f>IF(A127="","",_xlfn.XLOOKUP($A127,'[2]ANTICIPOS SAN FERMÍN'!$B$1:$B$1000,'[2]ANTICIPOS SAN FERMÍN'!$M$1:$M$1000))</f>
        <v/>
      </c>
      <c r="E127" s="37" t="str">
        <f>IF(A127="","",_xlfn.XLOOKUP($A127,'[2]ANTICIPOS SAN FERMÍN'!$B$1:$B$1000,'[2]ANTICIPOS SAN FERMÍN'!$O$1:$O$1000))</f>
        <v/>
      </c>
      <c r="F127" s="52"/>
      <c r="G127" s="52"/>
      <c r="H127" s="53"/>
      <c r="I127" s="38" t="str">
        <f>IF(A127="","",_xlfn.XLOOKUP($A127,'[2]ANTICIPOS SAN FERMÍN'!$C$1:$C$1000,'[2]ANTICIPOS SAN FERMÍN'!$H$1:$H$1000))</f>
        <v/>
      </c>
      <c r="J127" s="39"/>
      <c r="K127" s="38" t="str">
        <f>IF(A127="","",_xlfn.XLOOKUP($A127,'[2]ANTICIPOS SAN FERMÍN'!$C$1:$C$1000,'[2]ANTICIPOS SAN FERMÍN'!$I$1:$I$1000))</f>
        <v/>
      </c>
      <c r="L127" s="39"/>
      <c r="M127" s="38" t="str">
        <f>IF(A127="","",_xlfn.XLOOKUP($A127,'[2]ANTICIPOS SAN FERMÍN'!$C$1:$C$1000,'[2]ANTICIPOS SAN FERMÍN'!$J$1:$J$1000))</f>
        <v/>
      </c>
      <c r="N127" s="39"/>
      <c r="O127" s="38" t="str">
        <f>IF(A127="","",_xlfn.XLOOKUP($A127,'[2]ANTICIPOS SAN FERMÍN'!$C$1:$C$1000,'[2]ANTICIPOS SAN FERMÍN'!$L$1:$L$1000))</f>
        <v/>
      </c>
      <c r="P127" s="39"/>
      <c r="Q127" s="38" t="str">
        <f>IF(A127="","",_xlfn.XLOOKUP($A127,'[2]ANTICIPOS SAN FERMÍN'!$C$1:$C$1000,'[2]ANTICIPOS SAN FERMÍN'!$N$1:$N$1000))</f>
        <v/>
      </c>
      <c r="R127" s="39"/>
    </row>
    <row r="128" spans="1:18" hidden="1" x14ac:dyDescent="0.2">
      <c r="A128" s="34"/>
      <c r="B128" s="35" t="str">
        <f>IF(A128="","",_xlfn.XLOOKUP($A128,'[2]ANTICIPOS SAN FERMÍN'!$B$1:$B$1000,'[2]ANTICIPOS SAN FERMÍN'!$I$1:$I$1000))</f>
        <v/>
      </c>
      <c r="C128" s="36" t="str">
        <f>IF(A128="","",IF(_xlfn.XLOOKUP($A128,'[2]ANTICIPOS SAN FERMÍN'!$B$1:$B$1000,'[2]ANTICIPOS SAN FERMÍN'!$K$1:$K$1000)="","",_xlfn.XLOOKUP($A128,'[2]ANTICIPOS SAN FERMÍN'!$B$1:$B$1000,'[2]ANTICIPOS SAN FERMÍN'!$K$1:$K$1000)))</f>
        <v/>
      </c>
      <c r="D128" s="37" t="str">
        <f>IF(A128="","",_xlfn.XLOOKUP($A128,'[2]ANTICIPOS SAN FERMÍN'!$B$1:$B$1000,'[2]ANTICIPOS SAN FERMÍN'!$M$1:$M$1000))</f>
        <v/>
      </c>
      <c r="E128" s="37" t="str">
        <f>IF(A128="","",_xlfn.XLOOKUP($A128,'[2]ANTICIPOS SAN FERMÍN'!$B$1:$B$1000,'[2]ANTICIPOS SAN FERMÍN'!$O$1:$O$1000))</f>
        <v/>
      </c>
      <c r="F128" s="52"/>
      <c r="G128" s="52"/>
      <c r="H128" s="53"/>
      <c r="I128" s="38" t="str">
        <f>IF(A128="","",_xlfn.XLOOKUP($A128,'[2]ANTICIPOS SAN FERMÍN'!$C$1:$C$1000,'[2]ANTICIPOS SAN FERMÍN'!$H$1:$H$1000))</f>
        <v/>
      </c>
      <c r="J128" s="39"/>
      <c r="K128" s="38" t="str">
        <f>IF(A128="","",_xlfn.XLOOKUP($A128,'[2]ANTICIPOS SAN FERMÍN'!$C$1:$C$1000,'[2]ANTICIPOS SAN FERMÍN'!$I$1:$I$1000))</f>
        <v/>
      </c>
      <c r="L128" s="39"/>
      <c r="M128" s="38" t="str">
        <f>IF(A128="","",_xlfn.XLOOKUP($A128,'[2]ANTICIPOS SAN FERMÍN'!$C$1:$C$1000,'[2]ANTICIPOS SAN FERMÍN'!$J$1:$J$1000))</f>
        <v/>
      </c>
      <c r="N128" s="39"/>
      <c r="O128" s="38" t="str">
        <f>IF(A128="","",_xlfn.XLOOKUP($A128,'[2]ANTICIPOS SAN FERMÍN'!$C$1:$C$1000,'[2]ANTICIPOS SAN FERMÍN'!$L$1:$L$1000))</f>
        <v/>
      </c>
      <c r="P128" s="39"/>
      <c r="Q128" s="38" t="str">
        <f>IF(A128="","",_xlfn.XLOOKUP($A128,'[2]ANTICIPOS SAN FERMÍN'!$C$1:$C$1000,'[2]ANTICIPOS SAN FERMÍN'!$N$1:$N$1000))</f>
        <v/>
      </c>
      <c r="R128" s="39"/>
    </row>
    <row r="129" spans="1:18" hidden="1" x14ac:dyDescent="0.2">
      <c r="A129" s="34"/>
      <c r="B129" s="35" t="str">
        <f>IF(A129="","",_xlfn.XLOOKUP($A129,'[2]ANTICIPOS SAN FERMÍN'!$B$1:$B$1000,'[2]ANTICIPOS SAN FERMÍN'!$I$1:$I$1000))</f>
        <v/>
      </c>
      <c r="C129" s="36" t="str">
        <f>IF(A129="","",IF(_xlfn.XLOOKUP($A129,'[2]ANTICIPOS SAN FERMÍN'!$B$1:$B$1000,'[2]ANTICIPOS SAN FERMÍN'!$K$1:$K$1000)="","",_xlfn.XLOOKUP($A129,'[2]ANTICIPOS SAN FERMÍN'!$B$1:$B$1000,'[2]ANTICIPOS SAN FERMÍN'!$K$1:$K$1000)))</f>
        <v/>
      </c>
      <c r="D129" s="37" t="str">
        <f>IF(A129="","",_xlfn.XLOOKUP($A129,'[2]ANTICIPOS SAN FERMÍN'!$B$1:$B$1000,'[2]ANTICIPOS SAN FERMÍN'!$M$1:$M$1000))</f>
        <v/>
      </c>
      <c r="E129" s="37" t="str">
        <f>IF(A129="","",_xlfn.XLOOKUP($A129,'[2]ANTICIPOS SAN FERMÍN'!$B$1:$B$1000,'[2]ANTICIPOS SAN FERMÍN'!$O$1:$O$1000))</f>
        <v/>
      </c>
      <c r="F129" s="52"/>
      <c r="G129" s="52"/>
      <c r="H129" s="53"/>
      <c r="I129" s="38" t="str">
        <f>IF(A129="","",_xlfn.XLOOKUP($A129,'[2]ANTICIPOS SAN FERMÍN'!$C$1:$C$1000,'[2]ANTICIPOS SAN FERMÍN'!$H$1:$H$1000))</f>
        <v/>
      </c>
      <c r="J129" s="39"/>
      <c r="K129" s="38" t="str">
        <f>IF(A129="","",_xlfn.XLOOKUP($A129,'[2]ANTICIPOS SAN FERMÍN'!$C$1:$C$1000,'[2]ANTICIPOS SAN FERMÍN'!$I$1:$I$1000))</f>
        <v/>
      </c>
      <c r="L129" s="39"/>
      <c r="M129" s="38" t="str">
        <f>IF(A129="","",_xlfn.XLOOKUP($A129,'[2]ANTICIPOS SAN FERMÍN'!$C$1:$C$1000,'[2]ANTICIPOS SAN FERMÍN'!$J$1:$J$1000))</f>
        <v/>
      </c>
      <c r="N129" s="39"/>
      <c r="O129" s="38" t="str">
        <f>IF(A129="","",_xlfn.XLOOKUP($A129,'[2]ANTICIPOS SAN FERMÍN'!$C$1:$C$1000,'[2]ANTICIPOS SAN FERMÍN'!$L$1:$L$1000))</f>
        <v/>
      </c>
      <c r="P129" s="39"/>
      <c r="Q129" s="38" t="str">
        <f>IF(A129="","",_xlfn.XLOOKUP($A129,'[2]ANTICIPOS SAN FERMÍN'!$C$1:$C$1000,'[2]ANTICIPOS SAN FERMÍN'!$N$1:$N$1000))</f>
        <v/>
      </c>
      <c r="R129" s="39"/>
    </row>
    <row r="130" spans="1:18" hidden="1" x14ac:dyDescent="0.2">
      <c r="A130" s="34"/>
      <c r="B130" s="35" t="str">
        <f>IF(A130="","",_xlfn.XLOOKUP($A130,'[2]ANTICIPOS SAN FERMÍN'!$B$1:$B$1000,'[2]ANTICIPOS SAN FERMÍN'!$I$1:$I$1000))</f>
        <v/>
      </c>
      <c r="C130" s="36" t="str">
        <f>IF(A130="","",IF(_xlfn.XLOOKUP($A130,'[2]ANTICIPOS SAN FERMÍN'!$B$1:$B$1000,'[2]ANTICIPOS SAN FERMÍN'!$K$1:$K$1000)="","",_xlfn.XLOOKUP($A130,'[2]ANTICIPOS SAN FERMÍN'!$B$1:$B$1000,'[2]ANTICIPOS SAN FERMÍN'!$K$1:$K$1000)))</f>
        <v/>
      </c>
      <c r="D130" s="37" t="str">
        <f>IF(A130="","",_xlfn.XLOOKUP($A130,'[2]ANTICIPOS SAN FERMÍN'!$B$1:$B$1000,'[2]ANTICIPOS SAN FERMÍN'!$M$1:$M$1000))</f>
        <v/>
      </c>
      <c r="E130" s="37" t="str">
        <f>IF(A130="","",_xlfn.XLOOKUP($A130,'[2]ANTICIPOS SAN FERMÍN'!$B$1:$B$1000,'[2]ANTICIPOS SAN FERMÍN'!$O$1:$O$1000))</f>
        <v/>
      </c>
      <c r="F130" s="52"/>
      <c r="G130" s="52"/>
      <c r="H130" s="53"/>
      <c r="I130" s="38" t="str">
        <f>IF(A130="","",_xlfn.XLOOKUP($A130,'[2]ANTICIPOS SAN FERMÍN'!$C$1:$C$1000,'[2]ANTICIPOS SAN FERMÍN'!$H$1:$H$1000))</f>
        <v/>
      </c>
      <c r="J130" s="39"/>
      <c r="K130" s="38" t="str">
        <f>IF(A130="","",_xlfn.XLOOKUP($A130,'[2]ANTICIPOS SAN FERMÍN'!$C$1:$C$1000,'[2]ANTICIPOS SAN FERMÍN'!$I$1:$I$1000))</f>
        <v/>
      </c>
      <c r="L130" s="39"/>
      <c r="M130" s="38" t="str">
        <f>IF(A130="","",_xlfn.XLOOKUP($A130,'[2]ANTICIPOS SAN FERMÍN'!$C$1:$C$1000,'[2]ANTICIPOS SAN FERMÍN'!$J$1:$J$1000))</f>
        <v/>
      </c>
      <c r="N130" s="39"/>
      <c r="O130" s="38" t="str">
        <f>IF(A130="","",_xlfn.XLOOKUP($A130,'[2]ANTICIPOS SAN FERMÍN'!$C$1:$C$1000,'[2]ANTICIPOS SAN FERMÍN'!$L$1:$L$1000))</f>
        <v/>
      </c>
      <c r="P130" s="39"/>
      <c r="Q130" s="38" t="str">
        <f>IF(A130="","",_xlfn.XLOOKUP($A130,'[2]ANTICIPOS SAN FERMÍN'!$C$1:$C$1000,'[2]ANTICIPOS SAN FERMÍN'!$N$1:$N$1000))</f>
        <v/>
      </c>
      <c r="R130" s="39"/>
    </row>
    <row r="131" spans="1:18" hidden="1" x14ac:dyDescent="0.2">
      <c r="A131" s="34"/>
      <c r="B131" s="35" t="str">
        <f>IF(A131="","",_xlfn.XLOOKUP($A131,'[2]ANTICIPOS SAN FERMÍN'!$B$1:$B$1000,'[2]ANTICIPOS SAN FERMÍN'!$I$1:$I$1000))</f>
        <v/>
      </c>
      <c r="C131" s="36" t="str">
        <f>IF(A131="","",IF(_xlfn.XLOOKUP($A131,'[2]ANTICIPOS SAN FERMÍN'!$B$1:$B$1000,'[2]ANTICIPOS SAN FERMÍN'!$K$1:$K$1000)="","",_xlfn.XLOOKUP($A131,'[2]ANTICIPOS SAN FERMÍN'!$B$1:$B$1000,'[2]ANTICIPOS SAN FERMÍN'!$K$1:$K$1000)))</f>
        <v/>
      </c>
      <c r="D131" s="37" t="str">
        <f>IF(A131="","",_xlfn.XLOOKUP($A131,'[2]ANTICIPOS SAN FERMÍN'!$B$1:$B$1000,'[2]ANTICIPOS SAN FERMÍN'!$M$1:$M$1000))</f>
        <v/>
      </c>
      <c r="E131" s="37" t="str">
        <f>IF(A131="","",_xlfn.XLOOKUP($A131,'[2]ANTICIPOS SAN FERMÍN'!$B$1:$B$1000,'[2]ANTICIPOS SAN FERMÍN'!$O$1:$O$1000))</f>
        <v/>
      </c>
      <c r="F131" s="52"/>
      <c r="G131" s="52"/>
      <c r="H131" s="53"/>
      <c r="I131" s="38" t="str">
        <f>IF(A131="","",_xlfn.XLOOKUP($A131,'[2]ANTICIPOS SAN FERMÍN'!$C$1:$C$1000,'[2]ANTICIPOS SAN FERMÍN'!$H$1:$H$1000))</f>
        <v/>
      </c>
      <c r="J131" s="39"/>
      <c r="K131" s="38" t="str">
        <f>IF(A131="","",_xlfn.XLOOKUP($A131,'[2]ANTICIPOS SAN FERMÍN'!$C$1:$C$1000,'[2]ANTICIPOS SAN FERMÍN'!$I$1:$I$1000))</f>
        <v/>
      </c>
      <c r="L131" s="39"/>
      <c r="M131" s="38" t="str">
        <f>IF(A131="","",_xlfn.XLOOKUP($A131,'[2]ANTICIPOS SAN FERMÍN'!$C$1:$C$1000,'[2]ANTICIPOS SAN FERMÍN'!$J$1:$J$1000))</f>
        <v/>
      </c>
      <c r="N131" s="39"/>
      <c r="O131" s="38" t="str">
        <f>IF(A131="","",_xlfn.XLOOKUP($A131,'[2]ANTICIPOS SAN FERMÍN'!$C$1:$C$1000,'[2]ANTICIPOS SAN FERMÍN'!$L$1:$L$1000))</f>
        <v/>
      </c>
      <c r="P131" s="39"/>
      <c r="Q131" s="38" t="str">
        <f>IF(A131="","",_xlfn.XLOOKUP($A131,'[2]ANTICIPOS SAN FERMÍN'!$C$1:$C$1000,'[2]ANTICIPOS SAN FERMÍN'!$N$1:$N$1000))</f>
        <v/>
      </c>
      <c r="R131" s="39"/>
    </row>
    <row r="132" spans="1:18" hidden="1" x14ac:dyDescent="0.2">
      <c r="A132" s="34"/>
      <c r="B132" s="35" t="str">
        <f>IF(A132="","",_xlfn.XLOOKUP($A132,'[2]ANTICIPOS SAN FERMÍN'!$B$1:$B$1000,'[2]ANTICIPOS SAN FERMÍN'!$I$1:$I$1000))</f>
        <v/>
      </c>
      <c r="C132" s="36" t="str">
        <f>IF(A132="","",IF(_xlfn.XLOOKUP($A132,'[2]ANTICIPOS SAN FERMÍN'!$B$1:$B$1000,'[2]ANTICIPOS SAN FERMÍN'!$K$1:$K$1000)="","",_xlfn.XLOOKUP($A132,'[2]ANTICIPOS SAN FERMÍN'!$B$1:$B$1000,'[2]ANTICIPOS SAN FERMÍN'!$K$1:$K$1000)))</f>
        <v/>
      </c>
      <c r="D132" s="37" t="str">
        <f>IF(A132="","",_xlfn.XLOOKUP($A132,'[2]ANTICIPOS SAN FERMÍN'!$B$1:$B$1000,'[2]ANTICIPOS SAN FERMÍN'!$M$1:$M$1000))</f>
        <v/>
      </c>
      <c r="E132" s="37" t="str">
        <f>IF(A132="","",_xlfn.XLOOKUP($A132,'[2]ANTICIPOS SAN FERMÍN'!$B$1:$B$1000,'[2]ANTICIPOS SAN FERMÍN'!$O$1:$O$1000))</f>
        <v/>
      </c>
      <c r="F132" s="52"/>
      <c r="G132" s="52"/>
      <c r="H132" s="53"/>
      <c r="I132" s="38" t="str">
        <f>IF(A132="","",_xlfn.XLOOKUP($A132,'[2]ANTICIPOS SAN FERMÍN'!$C$1:$C$1000,'[2]ANTICIPOS SAN FERMÍN'!$H$1:$H$1000))</f>
        <v/>
      </c>
      <c r="J132" s="39"/>
      <c r="K132" s="38" t="str">
        <f>IF(A132="","",_xlfn.XLOOKUP($A132,'[2]ANTICIPOS SAN FERMÍN'!$C$1:$C$1000,'[2]ANTICIPOS SAN FERMÍN'!$I$1:$I$1000))</f>
        <v/>
      </c>
      <c r="L132" s="39"/>
      <c r="M132" s="38" t="str">
        <f>IF(A132="","",_xlfn.XLOOKUP($A132,'[2]ANTICIPOS SAN FERMÍN'!$C$1:$C$1000,'[2]ANTICIPOS SAN FERMÍN'!$J$1:$J$1000))</f>
        <v/>
      </c>
      <c r="N132" s="39"/>
      <c r="O132" s="38" t="str">
        <f>IF(A132="","",_xlfn.XLOOKUP($A132,'[2]ANTICIPOS SAN FERMÍN'!$C$1:$C$1000,'[2]ANTICIPOS SAN FERMÍN'!$L$1:$L$1000))</f>
        <v/>
      </c>
      <c r="P132" s="39"/>
      <c r="Q132" s="38" t="str">
        <f>IF(A132="","",_xlfn.XLOOKUP($A132,'[2]ANTICIPOS SAN FERMÍN'!$C$1:$C$1000,'[2]ANTICIPOS SAN FERMÍN'!$N$1:$N$1000))</f>
        <v/>
      </c>
      <c r="R132" s="39"/>
    </row>
    <row r="133" spans="1:18" hidden="1" x14ac:dyDescent="0.2">
      <c r="A133" s="34"/>
      <c r="B133" s="35" t="str">
        <f>IF(A133="","",_xlfn.XLOOKUP($A133,'[2]ANTICIPOS SAN FERMÍN'!$B$1:$B$1000,'[2]ANTICIPOS SAN FERMÍN'!$I$1:$I$1000))</f>
        <v/>
      </c>
      <c r="C133" s="36" t="str">
        <f>IF(A133="","",IF(_xlfn.XLOOKUP($A133,'[2]ANTICIPOS SAN FERMÍN'!$B$1:$B$1000,'[2]ANTICIPOS SAN FERMÍN'!$K$1:$K$1000)="","",_xlfn.XLOOKUP($A133,'[2]ANTICIPOS SAN FERMÍN'!$B$1:$B$1000,'[2]ANTICIPOS SAN FERMÍN'!$K$1:$K$1000)))</f>
        <v/>
      </c>
      <c r="D133" s="37" t="str">
        <f>IF(A133="","",_xlfn.XLOOKUP($A133,'[2]ANTICIPOS SAN FERMÍN'!$B$1:$B$1000,'[2]ANTICIPOS SAN FERMÍN'!$M$1:$M$1000))</f>
        <v/>
      </c>
      <c r="E133" s="37" t="str">
        <f>IF(A133="","",_xlfn.XLOOKUP($A133,'[2]ANTICIPOS SAN FERMÍN'!$B$1:$B$1000,'[2]ANTICIPOS SAN FERMÍN'!$O$1:$O$1000))</f>
        <v/>
      </c>
      <c r="F133" s="52"/>
      <c r="G133" s="52"/>
      <c r="H133" s="53"/>
      <c r="I133" s="38" t="str">
        <f>IF(A133="","",_xlfn.XLOOKUP($A133,'[2]ANTICIPOS SAN FERMÍN'!$C$1:$C$1000,'[2]ANTICIPOS SAN FERMÍN'!$H$1:$H$1000))</f>
        <v/>
      </c>
      <c r="J133" s="39"/>
      <c r="K133" s="38" t="str">
        <f>IF(A133="","",_xlfn.XLOOKUP($A133,'[2]ANTICIPOS SAN FERMÍN'!$C$1:$C$1000,'[2]ANTICIPOS SAN FERMÍN'!$I$1:$I$1000))</f>
        <v/>
      </c>
      <c r="L133" s="39"/>
      <c r="M133" s="38" t="str">
        <f>IF(A133="","",_xlfn.XLOOKUP($A133,'[2]ANTICIPOS SAN FERMÍN'!$C$1:$C$1000,'[2]ANTICIPOS SAN FERMÍN'!$J$1:$J$1000))</f>
        <v/>
      </c>
      <c r="N133" s="39"/>
      <c r="O133" s="38" t="str">
        <f>IF(A133="","",_xlfn.XLOOKUP($A133,'[2]ANTICIPOS SAN FERMÍN'!$C$1:$C$1000,'[2]ANTICIPOS SAN FERMÍN'!$L$1:$L$1000))</f>
        <v/>
      </c>
      <c r="P133" s="39"/>
      <c r="Q133" s="38" t="str">
        <f>IF(A133="","",_xlfn.XLOOKUP($A133,'[2]ANTICIPOS SAN FERMÍN'!$C$1:$C$1000,'[2]ANTICIPOS SAN FERMÍN'!$N$1:$N$1000))</f>
        <v/>
      </c>
      <c r="R133" s="39"/>
    </row>
    <row r="134" spans="1:18" hidden="1" x14ac:dyDescent="0.2">
      <c r="A134" s="34"/>
      <c r="B134" s="35" t="str">
        <f>IF(A134="","",_xlfn.XLOOKUP($A134,'[2]ANTICIPOS SAN FERMÍN'!$B$1:$B$1000,'[2]ANTICIPOS SAN FERMÍN'!$I$1:$I$1000))</f>
        <v/>
      </c>
      <c r="C134" s="36" t="str">
        <f>IF(A134="","",IF(_xlfn.XLOOKUP($A134,'[2]ANTICIPOS SAN FERMÍN'!$B$1:$B$1000,'[2]ANTICIPOS SAN FERMÍN'!$K$1:$K$1000)="","",_xlfn.XLOOKUP($A134,'[2]ANTICIPOS SAN FERMÍN'!$B$1:$B$1000,'[2]ANTICIPOS SAN FERMÍN'!$K$1:$K$1000)))</f>
        <v/>
      </c>
      <c r="D134" s="37" t="str">
        <f>IF(A134="","",_xlfn.XLOOKUP($A134,'[2]ANTICIPOS SAN FERMÍN'!$B$1:$B$1000,'[2]ANTICIPOS SAN FERMÍN'!$M$1:$M$1000))</f>
        <v/>
      </c>
      <c r="E134" s="37" t="str">
        <f>IF(A134="","",_xlfn.XLOOKUP($A134,'[2]ANTICIPOS SAN FERMÍN'!$B$1:$B$1000,'[2]ANTICIPOS SAN FERMÍN'!$O$1:$O$1000))</f>
        <v/>
      </c>
      <c r="F134" s="52"/>
      <c r="G134" s="52"/>
      <c r="H134" s="53"/>
      <c r="I134" s="38" t="str">
        <f>IF(A134="","",_xlfn.XLOOKUP($A134,'[2]ANTICIPOS SAN FERMÍN'!$C$1:$C$1000,'[2]ANTICIPOS SAN FERMÍN'!$H$1:$H$1000))</f>
        <v/>
      </c>
      <c r="J134" s="39"/>
      <c r="K134" s="38" t="str">
        <f>IF(A134="","",_xlfn.XLOOKUP($A134,'[2]ANTICIPOS SAN FERMÍN'!$C$1:$C$1000,'[2]ANTICIPOS SAN FERMÍN'!$I$1:$I$1000))</f>
        <v/>
      </c>
      <c r="L134" s="39"/>
      <c r="M134" s="38" t="str">
        <f>IF(A134="","",_xlfn.XLOOKUP($A134,'[2]ANTICIPOS SAN FERMÍN'!$C$1:$C$1000,'[2]ANTICIPOS SAN FERMÍN'!$J$1:$J$1000))</f>
        <v/>
      </c>
      <c r="N134" s="39"/>
      <c r="O134" s="38" t="str">
        <f>IF(A134="","",_xlfn.XLOOKUP($A134,'[2]ANTICIPOS SAN FERMÍN'!$C$1:$C$1000,'[2]ANTICIPOS SAN FERMÍN'!$L$1:$L$1000))</f>
        <v/>
      </c>
      <c r="P134" s="39"/>
      <c r="Q134" s="38" t="str">
        <f>IF(A134="","",_xlfn.XLOOKUP($A134,'[2]ANTICIPOS SAN FERMÍN'!$C$1:$C$1000,'[2]ANTICIPOS SAN FERMÍN'!$N$1:$N$1000))</f>
        <v/>
      </c>
      <c r="R134" s="39"/>
    </row>
    <row r="135" spans="1:18" hidden="1" x14ac:dyDescent="0.2">
      <c r="A135" s="34"/>
      <c r="B135" s="35" t="str">
        <f>IF(A135="","",_xlfn.XLOOKUP($A135,'[2]ANTICIPOS SAN FERMÍN'!$B$1:$B$1000,'[2]ANTICIPOS SAN FERMÍN'!$I$1:$I$1000))</f>
        <v/>
      </c>
      <c r="C135" s="36" t="str">
        <f>IF(A135="","",IF(_xlfn.XLOOKUP($A135,'[2]ANTICIPOS SAN FERMÍN'!$B$1:$B$1000,'[2]ANTICIPOS SAN FERMÍN'!$K$1:$K$1000)="","",_xlfn.XLOOKUP($A135,'[2]ANTICIPOS SAN FERMÍN'!$B$1:$B$1000,'[2]ANTICIPOS SAN FERMÍN'!$K$1:$K$1000)))</f>
        <v/>
      </c>
      <c r="D135" s="37" t="str">
        <f>IF(A135="","",_xlfn.XLOOKUP($A135,'[2]ANTICIPOS SAN FERMÍN'!$B$1:$B$1000,'[2]ANTICIPOS SAN FERMÍN'!$M$1:$M$1000))</f>
        <v/>
      </c>
      <c r="E135" s="37" t="str">
        <f>IF(A135="","",_xlfn.XLOOKUP($A135,'[2]ANTICIPOS SAN FERMÍN'!$B$1:$B$1000,'[2]ANTICIPOS SAN FERMÍN'!$O$1:$O$1000))</f>
        <v/>
      </c>
      <c r="F135" s="52"/>
      <c r="G135" s="52"/>
      <c r="H135" s="53"/>
      <c r="I135" s="38" t="str">
        <f>IF(A135="","",_xlfn.XLOOKUP($A135,'[2]ANTICIPOS SAN FERMÍN'!$C$1:$C$1000,'[2]ANTICIPOS SAN FERMÍN'!$H$1:$H$1000))</f>
        <v/>
      </c>
      <c r="J135" s="39"/>
      <c r="K135" s="38" t="str">
        <f>IF(A135="","",_xlfn.XLOOKUP($A135,'[2]ANTICIPOS SAN FERMÍN'!$C$1:$C$1000,'[2]ANTICIPOS SAN FERMÍN'!$I$1:$I$1000))</f>
        <v/>
      </c>
      <c r="L135" s="39"/>
      <c r="M135" s="38" t="str">
        <f>IF(A135="","",_xlfn.XLOOKUP($A135,'[2]ANTICIPOS SAN FERMÍN'!$C$1:$C$1000,'[2]ANTICIPOS SAN FERMÍN'!$J$1:$J$1000))</f>
        <v/>
      </c>
      <c r="N135" s="39"/>
      <c r="O135" s="38" t="str">
        <f>IF(A135="","",_xlfn.XLOOKUP($A135,'[2]ANTICIPOS SAN FERMÍN'!$C$1:$C$1000,'[2]ANTICIPOS SAN FERMÍN'!$L$1:$L$1000))</f>
        <v/>
      </c>
      <c r="P135" s="39"/>
      <c r="Q135" s="38" t="str">
        <f>IF(A135="","",_xlfn.XLOOKUP($A135,'[2]ANTICIPOS SAN FERMÍN'!$C$1:$C$1000,'[2]ANTICIPOS SAN FERMÍN'!$N$1:$N$1000))</f>
        <v/>
      </c>
      <c r="R135" s="39"/>
    </row>
    <row r="136" spans="1:18" hidden="1" x14ac:dyDescent="0.2">
      <c r="A136" s="34"/>
      <c r="B136" s="35" t="str">
        <f>IF(A136="","",_xlfn.XLOOKUP($A136,'[2]ANTICIPOS SAN FERMÍN'!$B$1:$B$1000,'[2]ANTICIPOS SAN FERMÍN'!$I$1:$I$1000))</f>
        <v/>
      </c>
      <c r="C136" s="36" t="str">
        <f>IF(A136="","",IF(_xlfn.XLOOKUP($A136,'[2]ANTICIPOS SAN FERMÍN'!$B$1:$B$1000,'[2]ANTICIPOS SAN FERMÍN'!$K$1:$K$1000)="","",_xlfn.XLOOKUP($A136,'[2]ANTICIPOS SAN FERMÍN'!$B$1:$B$1000,'[2]ANTICIPOS SAN FERMÍN'!$K$1:$K$1000)))</f>
        <v/>
      </c>
      <c r="D136" s="37" t="str">
        <f>IF(A136="","",_xlfn.XLOOKUP($A136,'[2]ANTICIPOS SAN FERMÍN'!$B$1:$B$1000,'[2]ANTICIPOS SAN FERMÍN'!$M$1:$M$1000))</f>
        <v/>
      </c>
      <c r="E136" s="37" t="str">
        <f>IF(A136="","",_xlfn.XLOOKUP($A136,'[2]ANTICIPOS SAN FERMÍN'!$B$1:$B$1000,'[2]ANTICIPOS SAN FERMÍN'!$O$1:$O$1000))</f>
        <v/>
      </c>
      <c r="F136" s="52"/>
      <c r="G136" s="52"/>
      <c r="H136" s="53"/>
      <c r="I136" s="38" t="str">
        <f>IF(A136="","",_xlfn.XLOOKUP($A136,'[2]ANTICIPOS SAN FERMÍN'!$C$1:$C$1000,'[2]ANTICIPOS SAN FERMÍN'!$H$1:$H$1000))</f>
        <v/>
      </c>
      <c r="J136" s="39"/>
      <c r="K136" s="38" t="str">
        <f>IF(A136="","",_xlfn.XLOOKUP($A136,'[2]ANTICIPOS SAN FERMÍN'!$C$1:$C$1000,'[2]ANTICIPOS SAN FERMÍN'!$I$1:$I$1000))</f>
        <v/>
      </c>
      <c r="L136" s="39"/>
      <c r="M136" s="38" t="str">
        <f>IF(A136="","",_xlfn.XLOOKUP($A136,'[2]ANTICIPOS SAN FERMÍN'!$C$1:$C$1000,'[2]ANTICIPOS SAN FERMÍN'!$J$1:$J$1000))</f>
        <v/>
      </c>
      <c r="N136" s="39"/>
      <c r="O136" s="38" t="str">
        <f>IF(A136="","",_xlfn.XLOOKUP($A136,'[2]ANTICIPOS SAN FERMÍN'!$C$1:$C$1000,'[2]ANTICIPOS SAN FERMÍN'!$L$1:$L$1000))</f>
        <v/>
      </c>
      <c r="P136" s="39"/>
      <c r="Q136" s="38" t="str">
        <f>IF(A136="","",_xlfn.XLOOKUP($A136,'[2]ANTICIPOS SAN FERMÍN'!$C$1:$C$1000,'[2]ANTICIPOS SAN FERMÍN'!$N$1:$N$1000))</f>
        <v/>
      </c>
      <c r="R136" s="39"/>
    </row>
    <row r="137" spans="1:18" hidden="1" x14ac:dyDescent="0.2">
      <c r="A137" s="34"/>
      <c r="B137" s="35" t="str">
        <f>IF(A137="","",_xlfn.XLOOKUP($A137,'[2]ANTICIPOS SAN FERMÍN'!$B$1:$B$1000,'[2]ANTICIPOS SAN FERMÍN'!$I$1:$I$1000))</f>
        <v/>
      </c>
      <c r="C137" s="36" t="str">
        <f>IF(A137="","",IF(_xlfn.XLOOKUP($A137,'[2]ANTICIPOS SAN FERMÍN'!$B$1:$B$1000,'[2]ANTICIPOS SAN FERMÍN'!$K$1:$K$1000)="","",_xlfn.XLOOKUP($A137,'[2]ANTICIPOS SAN FERMÍN'!$B$1:$B$1000,'[2]ANTICIPOS SAN FERMÍN'!$K$1:$K$1000)))</f>
        <v/>
      </c>
      <c r="D137" s="37" t="str">
        <f>IF(A137="","",_xlfn.XLOOKUP($A137,'[2]ANTICIPOS SAN FERMÍN'!$B$1:$B$1000,'[2]ANTICIPOS SAN FERMÍN'!$M$1:$M$1000))</f>
        <v/>
      </c>
      <c r="E137" s="37" t="str">
        <f>IF(A137="","",_xlfn.XLOOKUP($A137,'[2]ANTICIPOS SAN FERMÍN'!$B$1:$B$1000,'[2]ANTICIPOS SAN FERMÍN'!$O$1:$O$1000))</f>
        <v/>
      </c>
      <c r="F137" s="52"/>
      <c r="G137" s="52"/>
      <c r="H137" s="53"/>
      <c r="I137" s="38" t="str">
        <f>IF(A137="","",_xlfn.XLOOKUP($A137,'[2]ANTICIPOS SAN FERMÍN'!$C$1:$C$1000,'[2]ANTICIPOS SAN FERMÍN'!$H$1:$H$1000))</f>
        <v/>
      </c>
      <c r="J137" s="39"/>
      <c r="K137" s="38" t="str">
        <f>IF(A137="","",_xlfn.XLOOKUP($A137,'[2]ANTICIPOS SAN FERMÍN'!$C$1:$C$1000,'[2]ANTICIPOS SAN FERMÍN'!$I$1:$I$1000))</f>
        <v/>
      </c>
      <c r="L137" s="39"/>
      <c r="M137" s="38" t="str">
        <f>IF(A137="","",_xlfn.XLOOKUP($A137,'[2]ANTICIPOS SAN FERMÍN'!$C$1:$C$1000,'[2]ANTICIPOS SAN FERMÍN'!$J$1:$J$1000))</f>
        <v/>
      </c>
      <c r="N137" s="39"/>
      <c r="O137" s="38" t="str">
        <f>IF(A137="","",_xlfn.XLOOKUP($A137,'[2]ANTICIPOS SAN FERMÍN'!$C$1:$C$1000,'[2]ANTICIPOS SAN FERMÍN'!$L$1:$L$1000))</f>
        <v/>
      </c>
      <c r="P137" s="39"/>
      <c r="Q137" s="38" t="str">
        <f>IF(A137="","",_xlfn.XLOOKUP($A137,'[2]ANTICIPOS SAN FERMÍN'!$C$1:$C$1000,'[2]ANTICIPOS SAN FERMÍN'!$N$1:$N$1000))</f>
        <v/>
      </c>
      <c r="R137" s="39"/>
    </row>
    <row r="138" spans="1:18" hidden="1" x14ac:dyDescent="0.2">
      <c r="A138" s="34"/>
      <c r="B138" s="35" t="str">
        <f>IF(A138="","",_xlfn.XLOOKUP($A138,'[2]ANTICIPOS SAN FERMÍN'!$B$1:$B$1000,'[2]ANTICIPOS SAN FERMÍN'!$I$1:$I$1000))</f>
        <v/>
      </c>
      <c r="C138" s="36" t="str">
        <f>IF(A138="","",IF(_xlfn.XLOOKUP($A138,'[2]ANTICIPOS SAN FERMÍN'!$B$1:$B$1000,'[2]ANTICIPOS SAN FERMÍN'!$K$1:$K$1000)="","",_xlfn.XLOOKUP($A138,'[2]ANTICIPOS SAN FERMÍN'!$B$1:$B$1000,'[2]ANTICIPOS SAN FERMÍN'!$K$1:$K$1000)))</f>
        <v/>
      </c>
      <c r="D138" s="37" t="str">
        <f>IF(A138="","",_xlfn.XLOOKUP($A138,'[2]ANTICIPOS SAN FERMÍN'!$B$1:$B$1000,'[2]ANTICIPOS SAN FERMÍN'!$M$1:$M$1000))</f>
        <v/>
      </c>
      <c r="E138" s="37" t="str">
        <f>IF(A138="","",_xlfn.XLOOKUP($A138,'[2]ANTICIPOS SAN FERMÍN'!$B$1:$B$1000,'[2]ANTICIPOS SAN FERMÍN'!$O$1:$O$1000))</f>
        <v/>
      </c>
      <c r="F138" s="52"/>
      <c r="G138" s="52"/>
      <c r="H138" s="53"/>
      <c r="I138" s="38" t="str">
        <f>IF(A138="","",_xlfn.XLOOKUP($A138,'[2]ANTICIPOS SAN FERMÍN'!$C$1:$C$1000,'[2]ANTICIPOS SAN FERMÍN'!$H$1:$H$1000))</f>
        <v/>
      </c>
      <c r="J138" s="39"/>
      <c r="K138" s="38" t="str">
        <f>IF(A138="","",_xlfn.XLOOKUP($A138,'[2]ANTICIPOS SAN FERMÍN'!$C$1:$C$1000,'[2]ANTICIPOS SAN FERMÍN'!$I$1:$I$1000))</f>
        <v/>
      </c>
      <c r="L138" s="39"/>
      <c r="M138" s="38" t="str">
        <f>IF(A138="","",_xlfn.XLOOKUP($A138,'[2]ANTICIPOS SAN FERMÍN'!$C$1:$C$1000,'[2]ANTICIPOS SAN FERMÍN'!$J$1:$J$1000))</f>
        <v/>
      </c>
      <c r="N138" s="39"/>
      <c r="O138" s="38" t="str">
        <f>IF(A138="","",_xlfn.XLOOKUP($A138,'[2]ANTICIPOS SAN FERMÍN'!$C$1:$C$1000,'[2]ANTICIPOS SAN FERMÍN'!$L$1:$L$1000))</f>
        <v/>
      </c>
      <c r="P138" s="39"/>
      <c r="Q138" s="38" t="str">
        <f>IF(A138="","",_xlfn.XLOOKUP($A138,'[2]ANTICIPOS SAN FERMÍN'!$C$1:$C$1000,'[2]ANTICIPOS SAN FERMÍN'!$N$1:$N$1000))</f>
        <v/>
      </c>
      <c r="R138" s="39"/>
    </row>
    <row r="139" spans="1:18" hidden="1" x14ac:dyDescent="0.2">
      <c r="A139" s="34"/>
      <c r="B139" s="35" t="str">
        <f>IF(A139="","",_xlfn.XLOOKUP($A139,'[2]ANTICIPOS SAN FERMÍN'!$B$1:$B$1000,'[2]ANTICIPOS SAN FERMÍN'!$I$1:$I$1000))</f>
        <v/>
      </c>
      <c r="C139" s="36" t="str">
        <f>IF(A139="","",IF(_xlfn.XLOOKUP($A139,'[2]ANTICIPOS SAN FERMÍN'!$B$1:$B$1000,'[2]ANTICIPOS SAN FERMÍN'!$K$1:$K$1000)="","",_xlfn.XLOOKUP($A139,'[2]ANTICIPOS SAN FERMÍN'!$B$1:$B$1000,'[2]ANTICIPOS SAN FERMÍN'!$K$1:$K$1000)))</f>
        <v/>
      </c>
      <c r="D139" s="37" t="str">
        <f>IF(A139="","",_xlfn.XLOOKUP($A139,'[2]ANTICIPOS SAN FERMÍN'!$B$1:$B$1000,'[2]ANTICIPOS SAN FERMÍN'!$M$1:$M$1000))</f>
        <v/>
      </c>
      <c r="E139" s="37" t="str">
        <f>IF(A139="","",_xlfn.XLOOKUP($A139,'[2]ANTICIPOS SAN FERMÍN'!$B$1:$B$1000,'[2]ANTICIPOS SAN FERMÍN'!$O$1:$O$1000))</f>
        <v/>
      </c>
      <c r="F139" s="52"/>
      <c r="G139" s="52"/>
      <c r="H139" s="53"/>
      <c r="I139" s="38" t="str">
        <f>IF(A139="","",_xlfn.XLOOKUP($A139,'[2]ANTICIPOS SAN FERMÍN'!$C$1:$C$1000,'[2]ANTICIPOS SAN FERMÍN'!$H$1:$H$1000))</f>
        <v/>
      </c>
      <c r="J139" s="39"/>
      <c r="K139" s="38" t="str">
        <f>IF(A139="","",_xlfn.XLOOKUP($A139,'[2]ANTICIPOS SAN FERMÍN'!$C$1:$C$1000,'[2]ANTICIPOS SAN FERMÍN'!$I$1:$I$1000))</f>
        <v/>
      </c>
      <c r="L139" s="39"/>
      <c r="M139" s="38" t="str">
        <f>IF(A139="","",_xlfn.XLOOKUP($A139,'[2]ANTICIPOS SAN FERMÍN'!$C$1:$C$1000,'[2]ANTICIPOS SAN FERMÍN'!$J$1:$J$1000))</f>
        <v/>
      </c>
      <c r="N139" s="39"/>
      <c r="O139" s="38" t="str">
        <f>IF(A139="","",_xlfn.XLOOKUP($A139,'[2]ANTICIPOS SAN FERMÍN'!$C$1:$C$1000,'[2]ANTICIPOS SAN FERMÍN'!$L$1:$L$1000))</f>
        <v/>
      </c>
      <c r="P139" s="39"/>
      <c r="Q139" s="38" t="str">
        <f>IF(A139="","",_xlfn.XLOOKUP($A139,'[2]ANTICIPOS SAN FERMÍN'!$C$1:$C$1000,'[2]ANTICIPOS SAN FERMÍN'!$N$1:$N$1000))</f>
        <v/>
      </c>
      <c r="R139" s="39"/>
    </row>
    <row r="140" spans="1:18" hidden="1" x14ac:dyDescent="0.2">
      <c r="A140" s="34"/>
      <c r="B140" s="35" t="str">
        <f>IF(A140="","",_xlfn.XLOOKUP($A140,'[2]ANTICIPOS SAN FERMÍN'!$B$1:$B$1000,'[2]ANTICIPOS SAN FERMÍN'!$I$1:$I$1000))</f>
        <v/>
      </c>
      <c r="C140" s="36" t="str">
        <f>IF(A140="","",IF(_xlfn.XLOOKUP($A140,'[2]ANTICIPOS SAN FERMÍN'!$B$1:$B$1000,'[2]ANTICIPOS SAN FERMÍN'!$K$1:$K$1000)="","",_xlfn.XLOOKUP($A140,'[2]ANTICIPOS SAN FERMÍN'!$B$1:$B$1000,'[2]ANTICIPOS SAN FERMÍN'!$K$1:$K$1000)))</f>
        <v/>
      </c>
      <c r="D140" s="37" t="str">
        <f>IF(A140="","",_xlfn.XLOOKUP($A140,'[2]ANTICIPOS SAN FERMÍN'!$B$1:$B$1000,'[2]ANTICIPOS SAN FERMÍN'!$M$1:$M$1000))</f>
        <v/>
      </c>
      <c r="E140" s="37" t="str">
        <f>IF(A140="","",_xlfn.XLOOKUP($A140,'[2]ANTICIPOS SAN FERMÍN'!$B$1:$B$1000,'[2]ANTICIPOS SAN FERMÍN'!$O$1:$O$1000))</f>
        <v/>
      </c>
      <c r="F140" s="52"/>
      <c r="G140" s="52"/>
      <c r="H140" s="53"/>
      <c r="I140" s="38" t="str">
        <f>IF(A140="","",_xlfn.XLOOKUP($A140,'[2]ANTICIPOS SAN FERMÍN'!$C$1:$C$1000,'[2]ANTICIPOS SAN FERMÍN'!$H$1:$H$1000))</f>
        <v/>
      </c>
      <c r="J140" s="39"/>
      <c r="K140" s="38" t="str">
        <f>IF(A140="","",_xlfn.XLOOKUP($A140,'[2]ANTICIPOS SAN FERMÍN'!$C$1:$C$1000,'[2]ANTICIPOS SAN FERMÍN'!$I$1:$I$1000))</f>
        <v/>
      </c>
      <c r="L140" s="39"/>
      <c r="M140" s="38" t="str">
        <f>IF(A140="","",_xlfn.XLOOKUP($A140,'[2]ANTICIPOS SAN FERMÍN'!$C$1:$C$1000,'[2]ANTICIPOS SAN FERMÍN'!$J$1:$J$1000))</f>
        <v/>
      </c>
      <c r="N140" s="39"/>
      <c r="O140" s="38" t="str">
        <f>IF(A140="","",_xlfn.XLOOKUP($A140,'[2]ANTICIPOS SAN FERMÍN'!$C$1:$C$1000,'[2]ANTICIPOS SAN FERMÍN'!$L$1:$L$1000))</f>
        <v/>
      </c>
      <c r="P140" s="39"/>
      <c r="Q140" s="38" t="str">
        <f>IF(A140="","",_xlfn.XLOOKUP($A140,'[2]ANTICIPOS SAN FERMÍN'!$C$1:$C$1000,'[2]ANTICIPOS SAN FERMÍN'!$N$1:$N$1000))</f>
        <v/>
      </c>
      <c r="R140" s="39"/>
    </row>
    <row r="141" spans="1:18" hidden="1" x14ac:dyDescent="0.2">
      <c r="A141" s="34"/>
      <c r="B141" s="35" t="str">
        <f>IF(A141="","",_xlfn.XLOOKUP($A141,'[2]ANTICIPOS SAN FERMÍN'!$B$1:$B$1000,'[2]ANTICIPOS SAN FERMÍN'!$I$1:$I$1000))</f>
        <v/>
      </c>
      <c r="C141" s="36" t="str">
        <f>IF(A141="","",IF(_xlfn.XLOOKUP($A141,'[2]ANTICIPOS SAN FERMÍN'!$B$1:$B$1000,'[2]ANTICIPOS SAN FERMÍN'!$K$1:$K$1000)="","",_xlfn.XLOOKUP($A141,'[2]ANTICIPOS SAN FERMÍN'!$B$1:$B$1000,'[2]ANTICIPOS SAN FERMÍN'!$K$1:$K$1000)))</f>
        <v/>
      </c>
      <c r="D141" s="37" t="str">
        <f>IF(A141="","",_xlfn.XLOOKUP($A141,'[2]ANTICIPOS SAN FERMÍN'!$B$1:$B$1000,'[2]ANTICIPOS SAN FERMÍN'!$M$1:$M$1000))</f>
        <v/>
      </c>
      <c r="E141" s="37" t="str">
        <f>IF(A141="","",_xlfn.XLOOKUP($A141,'[2]ANTICIPOS SAN FERMÍN'!$B$1:$B$1000,'[2]ANTICIPOS SAN FERMÍN'!$O$1:$O$1000))</f>
        <v/>
      </c>
      <c r="F141" s="52"/>
      <c r="G141" s="52"/>
      <c r="H141" s="53"/>
      <c r="I141" s="38" t="str">
        <f>IF(A141="","",_xlfn.XLOOKUP($A141,'[2]ANTICIPOS SAN FERMÍN'!$C$1:$C$1000,'[2]ANTICIPOS SAN FERMÍN'!$H$1:$H$1000))</f>
        <v/>
      </c>
      <c r="J141" s="39"/>
      <c r="K141" s="38" t="str">
        <f>IF(A141="","",_xlfn.XLOOKUP($A141,'[2]ANTICIPOS SAN FERMÍN'!$C$1:$C$1000,'[2]ANTICIPOS SAN FERMÍN'!$I$1:$I$1000))</f>
        <v/>
      </c>
      <c r="L141" s="39"/>
      <c r="M141" s="38" t="str">
        <f>IF(A141="","",_xlfn.XLOOKUP($A141,'[2]ANTICIPOS SAN FERMÍN'!$C$1:$C$1000,'[2]ANTICIPOS SAN FERMÍN'!$J$1:$J$1000))</f>
        <v/>
      </c>
      <c r="N141" s="39"/>
      <c r="O141" s="38" t="str">
        <f>IF(A141="","",_xlfn.XLOOKUP($A141,'[2]ANTICIPOS SAN FERMÍN'!$C$1:$C$1000,'[2]ANTICIPOS SAN FERMÍN'!$L$1:$L$1000))</f>
        <v/>
      </c>
      <c r="P141" s="39"/>
      <c r="Q141" s="38" t="str">
        <f>IF(A141="","",_xlfn.XLOOKUP($A141,'[2]ANTICIPOS SAN FERMÍN'!$C$1:$C$1000,'[2]ANTICIPOS SAN FERMÍN'!$N$1:$N$1000))</f>
        <v/>
      </c>
      <c r="R141" s="39"/>
    </row>
    <row r="142" spans="1:18" hidden="1" x14ac:dyDescent="0.2">
      <c r="A142" s="34"/>
      <c r="B142" s="35" t="str">
        <f>IF(A142="","",_xlfn.XLOOKUP($A142,'[2]ANTICIPOS SAN FERMÍN'!$B$1:$B$1000,'[2]ANTICIPOS SAN FERMÍN'!$I$1:$I$1000))</f>
        <v/>
      </c>
      <c r="C142" s="36" t="str">
        <f>IF(A142="","",IF(_xlfn.XLOOKUP($A142,'[2]ANTICIPOS SAN FERMÍN'!$B$1:$B$1000,'[2]ANTICIPOS SAN FERMÍN'!$K$1:$K$1000)="","",_xlfn.XLOOKUP($A142,'[2]ANTICIPOS SAN FERMÍN'!$B$1:$B$1000,'[2]ANTICIPOS SAN FERMÍN'!$K$1:$K$1000)))</f>
        <v/>
      </c>
      <c r="D142" s="37" t="str">
        <f>IF(A142="","",_xlfn.XLOOKUP($A142,'[2]ANTICIPOS SAN FERMÍN'!$B$1:$B$1000,'[2]ANTICIPOS SAN FERMÍN'!$M$1:$M$1000))</f>
        <v/>
      </c>
      <c r="E142" s="37" t="str">
        <f>IF(A142="","",_xlfn.XLOOKUP($A142,'[2]ANTICIPOS SAN FERMÍN'!$B$1:$B$1000,'[2]ANTICIPOS SAN FERMÍN'!$O$1:$O$1000))</f>
        <v/>
      </c>
      <c r="F142" s="52"/>
      <c r="G142" s="52"/>
      <c r="H142" s="53"/>
      <c r="I142" s="38" t="str">
        <f>IF(A142="","",_xlfn.XLOOKUP($A142,'[2]ANTICIPOS SAN FERMÍN'!$C$1:$C$1000,'[2]ANTICIPOS SAN FERMÍN'!$H$1:$H$1000))</f>
        <v/>
      </c>
      <c r="J142" s="39"/>
      <c r="K142" s="38" t="str">
        <f>IF(A142="","",_xlfn.XLOOKUP($A142,'[2]ANTICIPOS SAN FERMÍN'!$C$1:$C$1000,'[2]ANTICIPOS SAN FERMÍN'!$I$1:$I$1000))</f>
        <v/>
      </c>
      <c r="L142" s="39"/>
      <c r="M142" s="38" t="str">
        <f>IF(A142="","",_xlfn.XLOOKUP($A142,'[2]ANTICIPOS SAN FERMÍN'!$C$1:$C$1000,'[2]ANTICIPOS SAN FERMÍN'!$J$1:$J$1000))</f>
        <v/>
      </c>
      <c r="N142" s="39"/>
      <c r="O142" s="38" t="str">
        <f>IF(A142="","",_xlfn.XLOOKUP($A142,'[2]ANTICIPOS SAN FERMÍN'!$C$1:$C$1000,'[2]ANTICIPOS SAN FERMÍN'!$L$1:$L$1000))</f>
        <v/>
      </c>
      <c r="P142" s="39"/>
      <c r="Q142" s="38" t="str">
        <f>IF(A142="","",_xlfn.XLOOKUP($A142,'[2]ANTICIPOS SAN FERMÍN'!$C$1:$C$1000,'[2]ANTICIPOS SAN FERMÍN'!$N$1:$N$1000))</f>
        <v/>
      </c>
      <c r="R142" s="39"/>
    </row>
    <row r="143" spans="1:18" hidden="1" x14ac:dyDescent="0.2">
      <c r="A143" s="34"/>
      <c r="B143" s="35" t="str">
        <f>IF(A143="","",_xlfn.XLOOKUP($A143,'[2]ANTICIPOS SAN FERMÍN'!$B$1:$B$1000,'[2]ANTICIPOS SAN FERMÍN'!$I$1:$I$1000))</f>
        <v/>
      </c>
      <c r="C143" s="36" t="str">
        <f>IF(A143="","",IF(_xlfn.XLOOKUP($A143,'[2]ANTICIPOS SAN FERMÍN'!$B$1:$B$1000,'[2]ANTICIPOS SAN FERMÍN'!$K$1:$K$1000)="","",_xlfn.XLOOKUP($A143,'[2]ANTICIPOS SAN FERMÍN'!$B$1:$B$1000,'[2]ANTICIPOS SAN FERMÍN'!$K$1:$K$1000)))</f>
        <v/>
      </c>
      <c r="D143" s="37" t="str">
        <f>IF(A143="","",_xlfn.XLOOKUP($A143,'[2]ANTICIPOS SAN FERMÍN'!$B$1:$B$1000,'[2]ANTICIPOS SAN FERMÍN'!$M$1:$M$1000))</f>
        <v/>
      </c>
      <c r="E143" s="37" t="str">
        <f>IF(A143="","",_xlfn.XLOOKUP($A143,'[2]ANTICIPOS SAN FERMÍN'!$B$1:$B$1000,'[2]ANTICIPOS SAN FERMÍN'!$O$1:$O$1000))</f>
        <v/>
      </c>
      <c r="F143" s="52"/>
      <c r="G143" s="52"/>
      <c r="H143" s="53"/>
      <c r="I143" s="38" t="str">
        <f>IF(A143="","",_xlfn.XLOOKUP($A143,'[2]ANTICIPOS SAN FERMÍN'!$C$1:$C$1000,'[2]ANTICIPOS SAN FERMÍN'!$H$1:$H$1000))</f>
        <v/>
      </c>
      <c r="J143" s="39"/>
      <c r="K143" s="38" t="str">
        <f>IF(A143="","",_xlfn.XLOOKUP($A143,'[2]ANTICIPOS SAN FERMÍN'!$C$1:$C$1000,'[2]ANTICIPOS SAN FERMÍN'!$I$1:$I$1000))</f>
        <v/>
      </c>
      <c r="L143" s="39"/>
      <c r="M143" s="38" t="str">
        <f>IF(A143="","",_xlfn.XLOOKUP($A143,'[2]ANTICIPOS SAN FERMÍN'!$C$1:$C$1000,'[2]ANTICIPOS SAN FERMÍN'!$J$1:$J$1000))</f>
        <v/>
      </c>
      <c r="N143" s="39"/>
      <c r="O143" s="38" t="str">
        <f>IF(A143="","",_xlfn.XLOOKUP($A143,'[2]ANTICIPOS SAN FERMÍN'!$C$1:$C$1000,'[2]ANTICIPOS SAN FERMÍN'!$L$1:$L$1000))</f>
        <v/>
      </c>
      <c r="P143" s="39"/>
      <c r="Q143" s="38" t="str">
        <f>IF(A143="","",_xlfn.XLOOKUP($A143,'[2]ANTICIPOS SAN FERMÍN'!$C$1:$C$1000,'[2]ANTICIPOS SAN FERMÍN'!$N$1:$N$1000))</f>
        <v/>
      </c>
      <c r="R143" s="39"/>
    </row>
    <row r="144" spans="1:18" hidden="1" x14ac:dyDescent="0.2">
      <c r="A144" s="34"/>
      <c r="B144" s="35" t="str">
        <f>IF(A144="","",_xlfn.XLOOKUP($A144,'[2]ANTICIPOS SAN FERMÍN'!$B$1:$B$1000,'[2]ANTICIPOS SAN FERMÍN'!$I$1:$I$1000))</f>
        <v/>
      </c>
      <c r="C144" s="36" t="str">
        <f>IF(A144="","",IF(_xlfn.XLOOKUP($A144,'[2]ANTICIPOS SAN FERMÍN'!$B$1:$B$1000,'[2]ANTICIPOS SAN FERMÍN'!$K$1:$K$1000)="","",_xlfn.XLOOKUP($A144,'[2]ANTICIPOS SAN FERMÍN'!$B$1:$B$1000,'[2]ANTICIPOS SAN FERMÍN'!$K$1:$K$1000)))</f>
        <v/>
      </c>
      <c r="D144" s="37" t="str">
        <f>IF(A144="","",_xlfn.XLOOKUP($A144,'[2]ANTICIPOS SAN FERMÍN'!$B$1:$B$1000,'[2]ANTICIPOS SAN FERMÍN'!$M$1:$M$1000))</f>
        <v/>
      </c>
      <c r="E144" s="37" t="str">
        <f>IF(A144="","",_xlfn.XLOOKUP($A144,'[2]ANTICIPOS SAN FERMÍN'!$B$1:$B$1000,'[2]ANTICIPOS SAN FERMÍN'!$O$1:$O$1000))</f>
        <v/>
      </c>
      <c r="F144" s="52"/>
      <c r="G144" s="52"/>
      <c r="H144" s="53"/>
      <c r="I144" s="38" t="str">
        <f>IF(A144="","",_xlfn.XLOOKUP($A144,'[2]ANTICIPOS SAN FERMÍN'!$C$1:$C$1000,'[2]ANTICIPOS SAN FERMÍN'!$H$1:$H$1000))</f>
        <v/>
      </c>
      <c r="J144" s="39"/>
      <c r="K144" s="38" t="str">
        <f>IF(A144="","",_xlfn.XLOOKUP($A144,'[2]ANTICIPOS SAN FERMÍN'!$C$1:$C$1000,'[2]ANTICIPOS SAN FERMÍN'!$I$1:$I$1000))</f>
        <v/>
      </c>
      <c r="L144" s="39"/>
      <c r="M144" s="38" t="str">
        <f>IF(A144="","",_xlfn.XLOOKUP($A144,'[2]ANTICIPOS SAN FERMÍN'!$C$1:$C$1000,'[2]ANTICIPOS SAN FERMÍN'!$J$1:$J$1000))</f>
        <v/>
      </c>
      <c r="N144" s="39"/>
      <c r="O144" s="38" t="str">
        <f>IF(A144="","",_xlfn.XLOOKUP($A144,'[2]ANTICIPOS SAN FERMÍN'!$C$1:$C$1000,'[2]ANTICIPOS SAN FERMÍN'!$L$1:$L$1000))</f>
        <v/>
      </c>
      <c r="P144" s="39"/>
      <c r="Q144" s="38" t="str">
        <f>IF(A144="","",_xlfn.XLOOKUP($A144,'[2]ANTICIPOS SAN FERMÍN'!$C$1:$C$1000,'[2]ANTICIPOS SAN FERMÍN'!$N$1:$N$1000))</f>
        <v/>
      </c>
      <c r="R144" s="39"/>
    </row>
    <row r="145" spans="1:18" hidden="1" x14ac:dyDescent="0.2">
      <c r="A145" s="34"/>
      <c r="B145" s="35" t="str">
        <f>IF(A145="","",_xlfn.XLOOKUP($A145,'[2]ANTICIPOS SAN FERMÍN'!$B$1:$B$1000,'[2]ANTICIPOS SAN FERMÍN'!$I$1:$I$1000))</f>
        <v/>
      </c>
      <c r="C145" s="36" t="str">
        <f>IF(A145="","",IF(_xlfn.XLOOKUP($A145,'[2]ANTICIPOS SAN FERMÍN'!$B$1:$B$1000,'[2]ANTICIPOS SAN FERMÍN'!$K$1:$K$1000)="","",_xlfn.XLOOKUP($A145,'[2]ANTICIPOS SAN FERMÍN'!$B$1:$B$1000,'[2]ANTICIPOS SAN FERMÍN'!$K$1:$K$1000)))</f>
        <v/>
      </c>
      <c r="D145" s="37" t="str">
        <f>IF(A145="","",_xlfn.XLOOKUP($A145,'[2]ANTICIPOS SAN FERMÍN'!$B$1:$B$1000,'[2]ANTICIPOS SAN FERMÍN'!$M$1:$M$1000))</f>
        <v/>
      </c>
      <c r="E145" s="37" t="str">
        <f>IF(A145="","",_xlfn.XLOOKUP($A145,'[2]ANTICIPOS SAN FERMÍN'!$B$1:$B$1000,'[2]ANTICIPOS SAN FERMÍN'!$O$1:$O$1000))</f>
        <v/>
      </c>
      <c r="F145" s="52"/>
      <c r="G145" s="52"/>
      <c r="H145" s="53"/>
      <c r="I145" s="38" t="str">
        <f>IF(A145="","",_xlfn.XLOOKUP($A145,'[2]ANTICIPOS SAN FERMÍN'!$C$1:$C$1000,'[2]ANTICIPOS SAN FERMÍN'!$H$1:$H$1000))</f>
        <v/>
      </c>
      <c r="J145" s="39"/>
      <c r="K145" s="38" t="str">
        <f>IF(A145="","",_xlfn.XLOOKUP($A145,'[2]ANTICIPOS SAN FERMÍN'!$C$1:$C$1000,'[2]ANTICIPOS SAN FERMÍN'!$I$1:$I$1000))</f>
        <v/>
      </c>
      <c r="L145" s="39"/>
      <c r="M145" s="38" t="str">
        <f>IF(A145="","",_xlfn.XLOOKUP($A145,'[2]ANTICIPOS SAN FERMÍN'!$C$1:$C$1000,'[2]ANTICIPOS SAN FERMÍN'!$J$1:$J$1000))</f>
        <v/>
      </c>
      <c r="N145" s="39"/>
      <c r="O145" s="38" t="str">
        <f>IF(A145="","",_xlfn.XLOOKUP($A145,'[2]ANTICIPOS SAN FERMÍN'!$C$1:$C$1000,'[2]ANTICIPOS SAN FERMÍN'!$L$1:$L$1000))</f>
        <v/>
      </c>
      <c r="P145" s="39"/>
      <c r="Q145" s="38" t="str">
        <f>IF(A145="","",_xlfn.XLOOKUP($A145,'[2]ANTICIPOS SAN FERMÍN'!$C$1:$C$1000,'[2]ANTICIPOS SAN FERMÍN'!$N$1:$N$1000))</f>
        <v/>
      </c>
      <c r="R145" s="39"/>
    </row>
    <row r="146" spans="1:18" hidden="1" x14ac:dyDescent="0.2">
      <c r="A146" s="34"/>
      <c r="B146" s="35" t="str">
        <f>IF(A146="","",_xlfn.XLOOKUP($A146,'[2]ANTICIPOS SAN FERMÍN'!$B$1:$B$1000,'[2]ANTICIPOS SAN FERMÍN'!$I$1:$I$1000))</f>
        <v/>
      </c>
      <c r="C146" s="36" t="str">
        <f>IF(A146="","",IF(_xlfn.XLOOKUP($A146,'[2]ANTICIPOS SAN FERMÍN'!$B$1:$B$1000,'[2]ANTICIPOS SAN FERMÍN'!$K$1:$K$1000)="","",_xlfn.XLOOKUP($A146,'[2]ANTICIPOS SAN FERMÍN'!$B$1:$B$1000,'[2]ANTICIPOS SAN FERMÍN'!$K$1:$K$1000)))</f>
        <v/>
      </c>
      <c r="D146" s="37" t="str">
        <f>IF(A146="","",_xlfn.XLOOKUP($A146,'[2]ANTICIPOS SAN FERMÍN'!$B$1:$B$1000,'[2]ANTICIPOS SAN FERMÍN'!$M$1:$M$1000))</f>
        <v/>
      </c>
      <c r="E146" s="37" t="str">
        <f>IF(A146="","",_xlfn.XLOOKUP($A146,'[2]ANTICIPOS SAN FERMÍN'!$B$1:$B$1000,'[2]ANTICIPOS SAN FERMÍN'!$O$1:$O$1000))</f>
        <v/>
      </c>
      <c r="F146" s="52"/>
      <c r="G146" s="52"/>
      <c r="H146" s="53"/>
      <c r="I146" s="38" t="str">
        <f>IF(A146="","",_xlfn.XLOOKUP($A146,'[2]ANTICIPOS SAN FERMÍN'!$C$1:$C$1000,'[2]ANTICIPOS SAN FERMÍN'!$H$1:$H$1000))</f>
        <v/>
      </c>
      <c r="J146" s="39"/>
      <c r="K146" s="38" t="str">
        <f>IF(A146="","",_xlfn.XLOOKUP($A146,'[2]ANTICIPOS SAN FERMÍN'!$C$1:$C$1000,'[2]ANTICIPOS SAN FERMÍN'!$I$1:$I$1000))</f>
        <v/>
      </c>
      <c r="L146" s="39"/>
      <c r="M146" s="38" t="str">
        <f>IF(A146="","",_xlfn.XLOOKUP($A146,'[2]ANTICIPOS SAN FERMÍN'!$C$1:$C$1000,'[2]ANTICIPOS SAN FERMÍN'!$J$1:$J$1000))</f>
        <v/>
      </c>
      <c r="N146" s="39"/>
      <c r="O146" s="38" t="str">
        <f>IF(A146="","",_xlfn.XLOOKUP($A146,'[2]ANTICIPOS SAN FERMÍN'!$C$1:$C$1000,'[2]ANTICIPOS SAN FERMÍN'!$L$1:$L$1000))</f>
        <v/>
      </c>
      <c r="P146" s="39"/>
      <c r="Q146" s="38" t="str">
        <f>IF(A146="","",_xlfn.XLOOKUP($A146,'[2]ANTICIPOS SAN FERMÍN'!$C$1:$C$1000,'[2]ANTICIPOS SAN FERMÍN'!$N$1:$N$1000))</f>
        <v/>
      </c>
      <c r="R146" s="39"/>
    </row>
    <row r="147" spans="1:18" hidden="1" x14ac:dyDescent="0.2">
      <c r="A147" s="34"/>
      <c r="B147" s="35" t="str">
        <f>IF(A147="","",_xlfn.XLOOKUP($A147,'[2]ANTICIPOS SAN FERMÍN'!$B$1:$B$1000,'[2]ANTICIPOS SAN FERMÍN'!$I$1:$I$1000))</f>
        <v/>
      </c>
      <c r="C147" s="36" t="str">
        <f>IF(A147="","",IF(_xlfn.XLOOKUP($A147,'[2]ANTICIPOS SAN FERMÍN'!$B$1:$B$1000,'[2]ANTICIPOS SAN FERMÍN'!$K$1:$K$1000)="","",_xlfn.XLOOKUP($A147,'[2]ANTICIPOS SAN FERMÍN'!$B$1:$B$1000,'[2]ANTICIPOS SAN FERMÍN'!$K$1:$K$1000)))</f>
        <v/>
      </c>
      <c r="D147" s="37" t="str">
        <f>IF(A147="","",_xlfn.XLOOKUP($A147,'[2]ANTICIPOS SAN FERMÍN'!$B$1:$B$1000,'[2]ANTICIPOS SAN FERMÍN'!$M$1:$M$1000))</f>
        <v/>
      </c>
      <c r="E147" s="37" t="str">
        <f>IF(A147="","",_xlfn.XLOOKUP($A147,'[2]ANTICIPOS SAN FERMÍN'!$B$1:$B$1000,'[2]ANTICIPOS SAN FERMÍN'!$O$1:$O$1000))</f>
        <v/>
      </c>
      <c r="F147" s="52"/>
      <c r="G147" s="52"/>
      <c r="H147" s="53"/>
      <c r="I147" s="38" t="str">
        <f>IF(A147="","",_xlfn.XLOOKUP($A147,'[2]ANTICIPOS SAN FERMÍN'!$C$1:$C$1000,'[2]ANTICIPOS SAN FERMÍN'!$H$1:$H$1000))</f>
        <v/>
      </c>
      <c r="J147" s="39"/>
      <c r="K147" s="38" t="str">
        <f>IF(A147="","",_xlfn.XLOOKUP($A147,'[2]ANTICIPOS SAN FERMÍN'!$C$1:$C$1000,'[2]ANTICIPOS SAN FERMÍN'!$I$1:$I$1000))</f>
        <v/>
      </c>
      <c r="L147" s="39"/>
      <c r="M147" s="38" t="str">
        <f>IF(A147="","",_xlfn.XLOOKUP($A147,'[2]ANTICIPOS SAN FERMÍN'!$C$1:$C$1000,'[2]ANTICIPOS SAN FERMÍN'!$J$1:$J$1000))</f>
        <v/>
      </c>
      <c r="N147" s="39"/>
      <c r="O147" s="38" t="str">
        <f>IF(A147="","",_xlfn.XLOOKUP($A147,'[2]ANTICIPOS SAN FERMÍN'!$C$1:$C$1000,'[2]ANTICIPOS SAN FERMÍN'!$L$1:$L$1000))</f>
        <v/>
      </c>
      <c r="P147" s="39"/>
      <c r="Q147" s="38" t="str">
        <f>IF(A147="","",_xlfn.XLOOKUP($A147,'[2]ANTICIPOS SAN FERMÍN'!$C$1:$C$1000,'[2]ANTICIPOS SAN FERMÍN'!$N$1:$N$1000))</f>
        <v/>
      </c>
      <c r="R147" s="39"/>
    </row>
    <row r="148" spans="1:18" hidden="1" x14ac:dyDescent="0.2">
      <c r="A148" s="34"/>
      <c r="B148" s="35" t="str">
        <f>IF(A148="","",_xlfn.XLOOKUP($A148,'[2]ANTICIPOS SAN FERMÍN'!$B$1:$B$1000,'[2]ANTICIPOS SAN FERMÍN'!$I$1:$I$1000))</f>
        <v/>
      </c>
      <c r="C148" s="36" t="str">
        <f>IF(A148="","",IF(_xlfn.XLOOKUP($A148,'[2]ANTICIPOS SAN FERMÍN'!$B$1:$B$1000,'[2]ANTICIPOS SAN FERMÍN'!$K$1:$K$1000)="","",_xlfn.XLOOKUP($A148,'[2]ANTICIPOS SAN FERMÍN'!$B$1:$B$1000,'[2]ANTICIPOS SAN FERMÍN'!$K$1:$K$1000)))</f>
        <v/>
      </c>
      <c r="D148" s="37" t="str">
        <f>IF(A148="","",_xlfn.XLOOKUP($A148,'[2]ANTICIPOS SAN FERMÍN'!$B$1:$B$1000,'[2]ANTICIPOS SAN FERMÍN'!$M$1:$M$1000))</f>
        <v/>
      </c>
      <c r="E148" s="37" t="str">
        <f>IF(A148="","",_xlfn.XLOOKUP($A148,'[2]ANTICIPOS SAN FERMÍN'!$B$1:$B$1000,'[2]ANTICIPOS SAN FERMÍN'!$O$1:$O$1000))</f>
        <v/>
      </c>
      <c r="F148" s="52"/>
      <c r="G148" s="52"/>
      <c r="H148" s="53"/>
      <c r="I148" s="38" t="str">
        <f>IF(A148="","",_xlfn.XLOOKUP($A148,'[2]ANTICIPOS SAN FERMÍN'!$C$1:$C$1000,'[2]ANTICIPOS SAN FERMÍN'!$H$1:$H$1000))</f>
        <v/>
      </c>
      <c r="J148" s="39"/>
      <c r="K148" s="38" t="str">
        <f>IF(A148="","",_xlfn.XLOOKUP($A148,'[2]ANTICIPOS SAN FERMÍN'!$C$1:$C$1000,'[2]ANTICIPOS SAN FERMÍN'!$I$1:$I$1000))</f>
        <v/>
      </c>
      <c r="L148" s="39"/>
      <c r="M148" s="38" t="str">
        <f>IF(A148="","",_xlfn.XLOOKUP($A148,'[2]ANTICIPOS SAN FERMÍN'!$C$1:$C$1000,'[2]ANTICIPOS SAN FERMÍN'!$J$1:$J$1000))</f>
        <v/>
      </c>
      <c r="N148" s="39"/>
      <c r="O148" s="38" t="str">
        <f>IF(A148="","",_xlfn.XLOOKUP($A148,'[2]ANTICIPOS SAN FERMÍN'!$C$1:$C$1000,'[2]ANTICIPOS SAN FERMÍN'!$L$1:$L$1000))</f>
        <v/>
      </c>
      <c r="P148" s="39"/>
      <c r="Q148" s="38" t="str">
        <f>IF(A148="","",_xlfn.XLOOKUP($A148,'[2]ANTICIPOS SAN FERMÍN'!$C$1:$C$1000,'[2]ANTICIPOS SAN FERMÍN'!$N$1:$N$1000))</f>
        <v/>
      </c>
      <c r="R148" s="39"/>
    </row>
    <row r="149" spans="1:18" hidden="1" x14ac:dyDescent="0.2">
      <c r="A149" s="34"/>
      <c r="B149" s="35" t="str">
        <f>IF(A149="","",_xlfn.XLOOKUP($A149,'[2]ANTICIPOS SAN FERMÍN'!$B$1:$B$1000,'[2]ANTICIPOS SAN FERMÍN'!$I$1:$I$1000))</f>
        <v/>
      </c>
      <c r="C149" s="36" t="str">
        <f>IF(A149="","",IF(_xlfn.XLOOKUP($A149,'[2]ANTICIPOS SAN FERMÍN'!$B$1:$B$1000,'[2]ANTICIPOS SAN FERMÍN'!$K$1:$K$1000)="","",_xlfn.XLOOKUP($A149,'[2]ANTICIPOS SAN FERMÍN'!$B$1:$B$1000,'[2]ANTICIPOS SAN FERMÍN'!$K$1:$K$1000)))</f>
        <v/>
      </c>
      <c r="D149" s="37" t="str">
        <f>IF(A149="","",_xlfn.XLOOKUP($A149,'[2]ANTICIPOS SAN FERMÍN'!$B$1:$B$1000,'[2]ANTICIPOS SAN FERMÍN'!$M$1:$M$1000))</f>
        <v/>
      </c>
      <c r="E149" s="37" t="str">
        <f>IF(A149="","",_xlfn.XLOOKUP($A149,'[2]ANTICIPOS SAN FERMÍN'!$B$1:$B$1000,'[2]ANTICIPOS SAN FERMÍN'!$O$1:$O$1000))</f>
        <v/>
      </c>
      <c r="F149" s="52"/>
      <c r="G149" s="52"/>
      <c r="H149" s="53"/>
      <c r="I149" s="38" t="str">
        <f>IF(A149="","",_xlfn.XLOOKUP($A149,'[2]ANTICIPOS SAN FERMÍN'!$C$1:$C$1000,'[2]ANTICIPOS SAN FERMÍN'!$H$1:$H$1000))</f>
        <v/>
      </c>
      <c r="J149" s="39"/>
      <c r="K149" s="38" t="str">
        <f>IF(A149="","",_xlfn.XLOOKUP($A149,'[2]ANTICIPOS SAN FERMÍN'!$C$1:$C$1000,'[2]ANTICIPOS SAN FERMÍN'!$I$1:$I$1000))</f>
        <v/>
      </c>
      <c r="L149" s="39"/>
      <c r="M149" s="38" t="str">
        <f>IF(A149="","",_xlfn.XLOOKUP($A149,'[2]ANTICIPOS SAN FERMÍN'!$C$1:$C$1000,'[2]ANTICIPOS SAN FERMÍN'!$J$1:$J$1000))</f>
        <v/>
      </c>
      <c r="N149" s="39"/>
      <c r="O149" s="38" t="str">
        <f>IF(A149="","",_xlfn.XLOOKUP($A149,'[2]ANTICIPOS SAN FERMÍN'!$C$1:$C$1000,'[2]ANTICIPOS SAN FERMÍN'!$L$1:$L$1000))</f>
        <v/>
      </c>
      <c r="P149" s="39"/>
      <c r="Q149" s="38" t="str">
        <f>IF(A149="","",_xlfn.XLOOKUP($A149,'[2]ANTICIPOS SAN FERMÍN'!$C$1:$C$1000,'[2]ANTICIPOS SAN FERMÍN'!$N$1:$N$1000))</f>
        <v/>
      </c>
      <c r="R149" s="39"/>
    </row>
    <row r="150" spans="1:18" hidden="1" x14ac:dyDescent="0.2">
      <c r="A150" s="34"/>
      <c r="B150" s="35" t="str">
        <f>IF(A150="","",_xlfn.XLOOKUP($A150,'[2]ANTICIPOS SAN FERMÍN'!$B$1:$B$1000,'[2]ANTICIPOS SAN FERMÍN'!$I$1:$I$1000))</f>
        <v/>
      </c>
      <c r="C150" s="36" t="str">
        <f>IF(A150="","",IF(_xlfn.XLOOKUP($A150,'[2]ANTICIPOS SAN FERMÍN'!$B$1:$B$1000,'[2]ANTICIPOS SAN FERMÍN'!$K$1:$K$1000)="","",_xlfn.XLOOKUP($A150,'[2]ANTICIPOS SAN FERMÍN'!$B$1:$B$1000,'[2]ANTICIPOS SAN FERMÍN'!$K$1:$K$1000)))</f>
        <v/>
      </c>
      <c r="D150" s="37" t="str">
        <f>IF(A150="","",_xlfn.XLOOKUP($A150,'[2]ANTICIPOS SAN FERMÍN'!$B$1:$B$1000,'[2]ANTICIPOS SAN FERMÍN'!$M$1:$M$1000))</f>
        <v/>
      </c>
      <c r="E150" s="37" t="str">
        <f>IF(A150="","",_xlfn.XLOOKUP($A150,'[2]ANTICIPOS SAN FERMÍN'!$B$1:$B$1000,'[2]ANTICIPOS SAN FERMÍN'!$O$1:$O$1000))</f>
        <v/>
      </c>
      <c r="F150" s="52"/>
      <c r="G150" s="52"/>
      <c r="H150" s="53"/>
      <c r="I150" s="38" t="str">
        <f>IF(A150="","",_xlfn.XLOOKUP($A150,'[2]ANTICIPOS SAN FERMÍN'!$C$1:$C$1000,'[2]ANTICIPOS SAN FERMÍN'!$H$1:$H$1000))</f>
        <v/>
      </c>
      <c r="J150" s="39"/>
      <c r="K150" s="38" t="str">
        <f>IF(A150="","",_xlfn.XLOOKUP($A150,'[2]ANTICIPOS SAN FERMÍN'!$C$1:$C$1000,'[2]ANTICIPOS SAN FERMÍN'!$I$1:$I$1000))</f>
        <v/>
      </c>
      <c r="L150" s="39"/>
      <c r="M150" s="38" t="str">
        <f>IF(A150="","",_xlfn.XLOOKUP($A150,'[2]ANTICIPOS SAN FERMÍN'!$C$1:$C$1000,'[2]ANTICIPOS SAN FERMÍN'!$J$1:$J$1000))</f>
        <v/>
      </c>
      <c r="N150" s="39"/>
      <c r="O150" s="38" t="str">
        <f>IF(A150="","",_xlfn.XLOOKUP($A150,'[2]ANTICIPOS SAN FERMÍN'!$C$1:$C$1000,'[2]ANTICIPOS SAN FERMÍN'!$L$1:$L$1000))</f>
        <v/>
      </c>
      <c r="P150" s="39"/>
      <c r="Q150" s="38" t="str">
        <f>IF(A150="","",_xlfn.XLOOKUP($A150,'[2]ANTICIPOS SAN FERMÍN'!$C$1:$C$1000,'[2]ANTICIPOS SAN FERMÍN'!$N$1:$N$1000))</f>
        <v/>
      </c>
      <c r="R150" s="39"/>
    </row>
    <row r="151" spans="1:18" hidden="1" x14ac:dyDescent="0.2">
      <c r="A151" s="34"/>
      <c r="B151" s="35" t="str">
        <f>IF(A151="","",_xlfn.XLOOKUP($A151,'[2]ANTICIPOS SAN FERMÍN'!$B$1:$B$1000,'[2]ANTICIPOS SAN FERMÍN'!$I$1:$I$1000))</f>
        <v/>
      </c>
      <c r="C151" s="36" t="str">
        <f>IF(A151="","",IF(_xlfn.XLOOKUP($A151,'[2]ANTICIPOS SAN FERMÍN'!$B$1:$B$1000,'[2]ANTICIPOS SAN FERMÍN'!$K$1:$K$1000)="","",_xlfn.XLOOKUP($A151,'[2]ANTICIPOS SAN FERMÍN'!$B$1:$B$1000,'[2]ANTICIPOS SAN FERMÍN'!$K$1:$K$1000)))</f>
        <v/>
      </c>
      <c r="D151" s="37" t="str">
        <f>IF(A151="","",_xlfn.XLOOKUP($A151,'[2]ANTICIPOS SAN FERMÍN'!$B$1:$B$1000,'[2]ANTICIPOS SAN FERMÍN'!$M$1:$M$1000))</f>
        <v/>
      </c>
      <c r="E151" s="37" t="str">
        <f>IF(A151="","",_xlfn.XLOOKUP($A151,'[2]ANTICIPOS SAN FERMÍN'!$B$1:$B$1000,'[2]ANTICIPOS SAN FERMÍN'!$O$1:$O$1000))</f>
        <v/>
      </c>
      <c r="F151" s="52"/>
      <c r="G151" s="52"/>
      <c r="H151" s="53"/>
      <c r="I151" s="38" t="str">
        <f>IF(A151="","",_xlfn.XLOOKUP($A151,'[2]ANTICIPOS SAN FERMÍN'!$C$1:$C$1000,'[2]ANTICIPOS SAN FERMÍN'!$H$1:$H$1000))</f>
        <v/>
      </c>
      <c r="J151" s="39"/>
      <c r="K151" s="38" t="str">
        <f>IF(A151="","",_xlfn.XLOOKUP($A151,'[2]ANTICIPOS SAN FERMÍN'!$C$1:$C$1000,'[2]ANTICIPOS SAN FERMÍN'!$I$1:$I$1000))</f>
        <v/>
      </c>
      <c r="L151" s="39"/>
      <c r="M151" s="38" t="str">
        <f>IF(A151="","",_xlfn.XLOOKUP($A151,'[2]ANTICIPOS SAN FERMÍN'!$C$1:$C$1000,'[2]ANTICIPOS SAN FERMÍN'!$J$1:$J$1000))</f>
        <v/>
      </c>
      <c r="N151" s="39"/>
      <c r="O151" s="38" t="str">
        <f>IF(A151="","",_xlfn.XLOOKUP($A151,'[2]ANTICIPOS SAN FERMÍN'!$C$1:$C$1000,'[2]ANTICIPOS SAN FERMÍN'!$L$1:$L$1000))</f>
        <v/>
      </c>
      <c r="P151" s="39"/>
      <c r="Q151" s="38" t="str">
        <f>IF(A151="","",_xlfn.XLOOKUP($A151,'[2]ANTICIPOS SAN FERMÍN'!$C$1:$C$1000,'[2]ANTICIPOS SAN FERMÍN'!$N$1:$N$1000))</f>
        <v/>
      </c>
      <c r="R151" s="39"/>
    </row>
    <row r="152" spans="1:18" hidden="1" x14ac:dyDescent="0.2">
      <c r="A152" s="34"/>
      <c r="B152" s="35" t="str">
        <f>IF(A152="","",_xlfn.XLOOKUP($A152,'[2]ANTICIPOS SAN FERMÍN'!$B$1:$B$1000,'[2]ANTICIPOS SAN FERMÍN'!$I$1:$I$1000))</f>
        <v/>
      </c>
      <c r="C152" s="36" t="str">
        <f>IF(A152="","",IF(_xlfn.XLOOKUP($A152,'[2]ANTICIPOS SAN FERMÍN'!$B$1:$B$1000,'[2]ANTICIPOS SAN FERMÍN'!$K$1:$K$1000)="","",_xlfn.XLOOKUP($A152,'[2]ANTICIPOS SAN FERMÍN'!$B$1:$B$1000,'[2]ANTICIPOS SAN FERMÍN'!$K$1:$K$1000)))</f>
        <v/>
      </c>
      <c r="D152" s="37" t="str">
        <f>IF(A152="","",_xlfn.XLOOKUP($A152,'[2]ANTICIPOS SAN FERMÍN'!$B$1:$B$1000,'[2]ANTICIPOS SAN FERMÍN'!$M$1:$M$1000))</f>
        <v/>
      </c>
      <c r="E152" s="37" t="str">
        <f>IF(A152="","",_xlfn.XLOOKUP($A152,'[2]ANTICIPOS SAN FERMÍN'!$B$1:$B$1000,'[2]ANTICIPOS SAN FERMÍN'!$O$1:$O$1000))</f>
        <v/>
      </c>
      <c r="F152" s="52"/>
      <c r="G152" s="52"/>
      <c r="H152" s="53"/>
      <c r="I152" s="38" t="str">
        <f>IF(A152="","",_xlfn.XLOOKUP($A152,'[2]ANTICIPOS SAN FERMÍN'!$C$1:$C$1000,'[2]ANTICIPOS SAN FERMÍN'!$H$1:$H$1000))</f>
        <v/>
      </c>
      <c r="J152" s="39"/>
      <c r="K152" s="38" t="str">
        <f>IF(A152="","",_xlfn.XLOOKUP($A152,'[2]ANTICIPOS SAN FERMÍN'!$C$1:$C$1000,'[2]ANTICIPOS SAN FERMÍN'!$I$1:$I$1000))</f>
        <v/>
      </c>
      <c r="L152" s="39"/>
      <c r="M152" s="38" t="str">
        <f>IF(A152="","",_xlfn.XLOOKUP($A152,'[2]ANTICIPOS SAN FERMÍN'!$C$1:$C$1000,'[2]ANTICIPOS SAN FERMÍN'!$J$1:$J$1000))</f>
        <v/>
      </c>
      <c r="N152" s="39"/>
      <c r="O152" s="38" t="str">
        <f>IF(A152="","",_xlfn.XLOOKUP($A152,'[2]ANTICIPOS SAN FERMÍN'!$C$1:$C$1000,'[2]ANTICIPOS SAN FERMÍN'!$L$1:$L$1000))</f>
        <v/>
      </c>
      <c r="P152" s="39"/>
      <c r="Q152" s="38" t="str">
        <f>IF(A152="","",_xlfn.XLOOKUP($A152,'[2]ANTICIPOS SAN FERMÍN'!$C$1:$C$1000,'[2]ANTICIPOS SAN FERMÍN'!$N$1:$N$1000))</f>
        <v/>
      </c>
      <c r="R152" s="39"/>
    </row>
    <row r="153" spans="1:18" hidden="1" x14ac:dyDescent="0.2">
      <c r="A153" s="34"/>
      <c r="B153" s="35" t="str">
        <f>IF(A153="","",_xlfn.XLOOKUP($A153,'[2]ANTICIPOS SAN FERMÍN'!$B$1:$B$1000,'[2]ANTICIPOS SAN FERMÍN'!$I$1:$I$1000))</f>
        <v/>
      </c>
      <c r="C153" s="36" t="str">
        <f>IF(A153="","",IF(_xlfn.XLOOKUP($A153,'[2]ANTICIPOS SAN FERMÍN'!$B$1:$B$1000,'[2]ANTICIPOS SAN FERMÍN'!$K$1:$K$1000)="","",_xlfn.XLOOKUP($A153,'[2]ANTICIPOS SAN FERMÍN'!$B$1:$B$1000,'[2]ANTICIPOS SAN FERMÍN'!$K$1:$K$1000)))</f>
        <v/>
      </c>
      <c r="D153" s="37" t="str">
        <f>IF(A153="","",_xlfn.XLOOKUP($A153,'[2]ANTICIPOS SAN FERMÍN'!$B$1:$B$1000,'[2]ANTICIPOS SAN FERMÍN'!$M$1:$M$1000))</f>
        <v/>
      </c>
      <c r="E153" s="37" t="str">
        <f>IF(A153="","",_xlfn.XLOOKUP($A153,'[2]ANTICIPOS SAN FERMÍN'!$B$1:$B$1000,'[2]ANTICIPOS SAN FERMÍN'!$O$1:$O$1000))</f>
        <v/>
      </c>
      <c r="F153" s="52"/>
      <c r="G153" s="52"/>
      <c r="H153" s="53"/>
      <c r="I153" s="38" t="str">
        <f>IF(A153="","",_xlfn.XLOOKUP($A153,'[2]ANTICIPOS SAN FERMÍN'!$C$1:$C$1000,'[2]ANTICIPOS SAN FERMÍN'!$H$1:$H$1000))</f>
        <v/>
      </c>
      <c r="J153" s="39"/>
      <c r="K153" s="38" t="str">
        <f>IF(A153="","",_xlfn.XLOOKUP($A153,'[2]ANTICIPOS SAN FERMÍN'!$C$1:$C$1000,'[2]ANTICIPOS SAN FERMÍN'!$I$1:$I$1000))</f>
        <v/>
      </c>
      <c r="L153" s="39"/>
      <c r="M153" s="38" t="str">
        <f>IF(A153="","",_xlfn.XLOOKUP($A153,'[2]ANTICIPOS SAN FERMÍN'!$C$1:$C$1000,'[2]ANTICIPOS SAN FERMÍN'!$J$1:$J$1000))</f>
        <v/>
      </c>
      <c r="N153" s="39"/>
      <c r="O153" s="38" t="str">
        <f>IF(A153="","",_xlfn.XLOOKUP($A153,'[2]ANTICIPOS SAN FERMÍN'!$C$1:$C$1000,'[2]ANTICIPOS SAN FERMÍN'!$L$1:$L$1000))</f>
        <v/>
      </c>
      <c r="P153" s="39"/>
      <c r="Q153" s="38" t="str">
        <f>IF(A153="","",_xlfn.XLOOKUP($A153,'[2]ANTICIPOS SAN FERMÍN'!$C$1:$C$1000,'[2]ANTICIPOS SAN FERMÍN'!$N$1:$N$1000))</f>
        <v/>
      </c>
      <c r="R153" s="39"/>
    </row>
    <row r="154" spans="1:18" hidden="1" x14ac:dyDescent="0.2">
      <c r="A154" s="34"/>
      <c r="B154" s="35" t="str">
        <f>IF(A154="","",_xlfn.XLOOKUP($A154,'[2]ANTICIPOS SAN FERMÍN'!$B$1:$B$1000,'[2]ANTICIPOS SAN FERMÍN'!$I$1:$I$1000))</f>
        <v/>
      </c>
      <c r="C154" s="36" t="str">
        <f>IF(A154="","",IF(_xlfn.XLOOKUP($A154,'[2]ANTICIPOS SAN FERMÍN'!$B$1:$B$1000,'[2]ANTICIPOS SAN FERMÍN'!$K$1:$K$1000)="","",_xlfn.XLOOKUP($A154,'[2]ANTICIPOS SAN FERMÍN'!$B$1:$B$1000,'[2]ANTICIPOS SAN FERMÍN'!$K$1:$K$1000)))</f>
        <v/>
      </c>
      <c r="D154" s="37" t="str">
        <f>IF(A154="","",_xlfn.XLOOKUP($A154,'[2]ANTICIPOS SAN FERMÍN'!$B$1:$B$1000,'[2]ANTICIPOS SAN FERMÍN'!$M$1:$M$1000))</f>
        <v/>
      </c>
      <c r="E154" s="37" t="str">
        <f>IF(A154="","",_xlfn.XLOOKUP($A154,'[2]ANTICIPOS SAN FERMÍN'!$B$1:$B$1000,'[2]ANTICIPOS SAN FERMÍN'!$O$1:$O$1000))</f>
        <v/>
      </c>
      <c r="F154" s="52"/>
      <c r="G154" s="52"/>
      <c r="H154" s="53"/>
      <c r="I154" s="38" t="str">
        <f>IF(A154="","",_xlfn.XLOOKUP($A154,'[2]ANTICIPOS SAN FERMÍN'!$C$1:$C$1000,'[2]ANTICIPOS SAN FERMÍN'!$H$1:$H$1000))</f>
        <v/>
      </c>
      <c r="J154" s="39"/>
      <c r="K154" s="38" t="str">
        <f>IF(A154="","",_xlfn.XLOOKUP($A154,'[2]ANTICIPOS SAN FERMÍN'!$C$1:$C$1000,'[2]ANTICIPOS SAN FERMÍN'!$I$1:$I$1000))</f>
        <v/>
      </c>
      <c r="L154" s="39"/>
      <c r="M154" s="38" t="str">
        <f>IF(A154="","",_xlfn.XLOOKUP($A154,'[2]ANTICIPOS SAN FERMÍN'!$C$1:$C$1000,'[2]ANTICIPOS SAN FERMÍN'!$J$1:$J$1000))</f>
        <v/>
      </c>
      <c r="N154" s="39"/>
      <c r="O154" s="38" t="str">
        <f>IF(A154="","",_xlfn.XLOOKUP($A154,'[2]ANTICIPOS SAN FERMÍN'!$C$1:$C$1000,'[2]ANTICIPOS SAN FERMÍN'!$L$1:$L$1000))</f>
        <v/>
      </c>
      <c r="P154" s="39"/>
      <c r="Q154" s="38" t="str">
        <f>IF(A154="","",_xlfn.XLOOKUP($A154,'[2]ANTICIPOS SAN FERMÍN'!$C$1:$C$1000,'[2]ANTICIPOS SAN FERMÍN'!$N$1:$N$1000))</f>
        <v/>
      </c>
      <c r="R154" s="39"/>
    </row>
    <row r="155" spans="1:18" hidden="1" x14ac:dyDescent="0.2">
      <c r="A155" s="34"/>
      <c r="B155" s="35" t="str">
        <f>IF(A155="","",_xlfn.XLOOKUP($A155,'[2]ANTICIPOS SAN FERMÍN'!$B$1:$B$1000,'[2]ANTICIPOS SAN FERMÍN'!$I$1:$I$1000))</f>
        <v/>
      </c>
      <c r="C155" s="36" t="str">
        <f>IF(A155="","",IF(_xlfn.XLOOKUP($A155,'[2]ANTICIPOS SAN FERMÍN'!$B$1:$B$1000,'[2]ANTICIPOS SAN FERMÍN'!$K$1:$K$1000)="","",_xlfn.XLOOKUP($A155,'[2]ANTICIPOS SAN FERMÍN'!$B$1:$B$1000,'[2]ANTICIPOS SAN FERMÍN'!$K$1:$K$1000)))</f>
        <v/>
      </c>
      <c r="D155" s="37" t="str">
        <f>IF(A155="","",_xlfn.XLOOKUP($A155,'[2]ANTICIPOS SAN FERMÍN'!$B$1:$B$1000,'[2]ANTICIPOS SAN FERMÍN'!$M$1:$M$1000))</f>
        <v/>
      </c>
      <c r="E155" s="37" t="str">
        <f>IF(A155="","",_xlfn.XLOOKUP($A155,'[2]ANTICIPOS SAN FERMÍN'!$B$1:$B$1000,'[2]ANTICIPOS SAN FERMÍN'!$O$1:$O$1000))</f>
        <v/>
      </c>
      <c r="F155" s="52"/>
      <c r="G155" s="52"/>
      <c r="H155" s="53"/>
      <c r="I155" s="38" t="str">
        <f>IF(A155="","",_xlfn.XLOOKUP($A155,'[2]ANTICIPOS SAN FERMÍN'!$C$1:$C$1000,'[2]ANTICIPOS SAN FERMÍN'!$H$1:$H$1000))</f>
        <v/>
      </c>
      <c r="J155" s="39"/>
      <c r="K155" s="38" t="str">
        <f>IF(A155="","",_xlfn.XLOOKUP($A155,'[2]ANTICIPOS SAN FERMÍN'!$C$1:$C$1000,'[2]ANTICIPOS SAN FERMÍN'!$I$1:$I$1000))</f>
        <v/>
      </c>
      <c r="L155" s="39"/>
      <c r="M155" s="38" t="str">
        <f>IF(A155="","",_xlfn.XLOOKUP($A155,'[2]ANTICIPOS SAN FERMÍN'!$C$1:$C$1000,'[2]ANTICIPOS SAN FERMÍN'!$J$1:$J$1000))</f>
        <v/>
      </c>
      <c r="N155" s="39"/>
      <c r="O155" s="38" t="str">
        <f>IF(A155="","",_xlfn.XLOOKUP($A155,'[2]ANTICIPOS SAN FERMÍN'!$C$1:$C$1000,'[2]ANTICIPOS SAN FERMÍN'!$L$1:$L$1000))</f>
        <v/>
      </c>
      <c r="P155" s="39"/>
      <c r="Q155" s="38" t="str">
        <f>IF(A155="","",_xlfn.XLOOKUP($A155,'[2]ANTICIPOS SAN FERMÍN'!$C$1:$C$1000,'[2]ANTICIPOS SAN FERMÍN'!$N$1:$N$1000))</f>
        <v/>
      </c>
      <c r="R155" s="39"/>
    </row>
    <row r="156" spans="1:18" hidden="1" x14ac:dyDescent="0.2">
      <c r="A156" s="34"/>
      <c r="B156" s="35" t="str">
        <f>IF(A156="","",_xlfn.XLOOKUP($A156,'[2]ANTICIPOS SAN FERMÍN'!$B$1:$B$1000,'[2]ANTICIPOS SAN FERMÍN'!$I$1:$I$1000))</f>
        <v/>
      </c>
      <c r="C156" s="36" t="str">
        <f>IF(A156="","",IF(_xlfn.XLOOKUP($A156,'[2]ANTICIPOS SAN FERMÍN'!$B$1:$B$1000,'[2]ANTICIPOS SAN FERMÍN'!$K$1:$K$1000)="","",_xlfn.XLOOKUP($A156,'[2]ANTICIPOS SAN FERMÍN'!$B$1:$B$1000,'[2]ANTICIPOS SAN FERMÍN'!$K$1:$K$1000)))</f>
        <v/>
      </c>
      <c r="D156" s="37" t="str">
        <f>IF(A156="","",_xlfn.XLOOKUP($A156,'[2]ANTICIPOS SAN FERMÍN'!$B$1:$B$1000,'[2]ANTICIPOS SAN FERMÍN'!$M$1:$M$1000))</f>
        <v/>
      </c>
      <c r="E156" s="37" t="str">
        <f>IF(A156="","",_xlfn.XLOOKUP($A156,'[2]ANTICIPOS SAN FERMÍN'!$B$1:$B$1000,'[2]ANTICIPOS SAN FERMÍN'!$O$1:$O$1000))</f>
        <v/>
      </c>
      <c r="F156" s="52"/>
      <c r="G156" s="52"/>
      <c r="H156" s="53"/>
      <c r="I156" s="38" t="str">
        <f>IF(A156="","",_xlfn.XLOOKUP($A156,'[2]ANTICIPOS SAN FERMÍN'!$C$1:$C$1000,'[2]ANTICIPOS SAN FERMÍN'!$H$1:$H$1000))</f>
        <v/>
      </c>
      <c r="J156" s="39"/>
      <c r="K156" s="38" t="str">
        <f>IF(A156="","",_xlfn.XLOOKUP($A156,'[2]ANTICIPOS SAN FERMÍN'!$C$1:$C$1000,'[2]ANTICIPOS SAN FERMÍN'!$I$1:$I$1000))</f>
        <v/>
      </c>
      <c r="L156" s="39"/>
      <c r="M156" s="38" t="str">
        <f>IF(A156="","",_xlfn.XLOOKUP($A156,'[2]ANTICIPOS SAN FERMÍN'!$C$1:$C$1000,'[2]ANTICIPOS SAN FERMÍN'!$J$1:$J$1000))</f>
        <v/>
      </c>
      <c r="N156" s="39"/>
      <c r="O156" s="38" t="str">
        <f>IF(A156="","",_xlfn.XLOOKUP($A156,'[2]ANTICIPOS SAN FERMÍN'!$C$1:$C$1000,'[2]ANTICIPOS SAN FERMÍN'!$L$1:$L$1000))</f>
        <v/>
      </c>
      <c r="P156" s="39"/>
      <c r="Q156" s="38" t="str">
        <f>IF(A156="","",_xlfn.XLOOKUP($A156,'[2]ANTICIPOS SAN FERMÍN'!$C$1:$C$1000,'[2]ANTICIPOS SAN FERMÍN'!$N$1:$N$1000))</f>
        <v/>
      </c>
      <c r="R156" s="39"/>
    </row>
    <row r="157" spans="1:18" hidden="1" x14ac:dyDescent="0.2">
      <c r="A157" s="34"/>
      <c r="B157" s="35" t="str">
        <f>IF(A157="","",_xlfn.XLOOKUP($A157,'[2]ANTICIPOS SAN FERMÍN'!$B$1:$B$1000,'[2]ANTICIPOS SAN FERMÍN'!$I$1:$I$1000))</f>
        <v/>
      </c>
      <c r="C157" s="36" t="str">
        <f>IF(A157="","",IF(_xlfn.XLOOKUP($A157,'[2]ANTICIPOS SAN FERMÍN'!$B$1:$B$1000,'[2]ANTICIPOS SAN FERMÍN'!$K$1:$K$1000)="","",_xlfn.XLOOKUP($A157,'[2]ANTICIPOS SAN FERMÍN'!$B$1:$B$1000,'[2]ANTICIPOS SAN FERMÍN'!$K$1:$K$1000)))</f>
        <v/>
      </c>
      <c r="D157" s="37" t="str">
        <f>IF(A157="","",_xlfn.XLOOKUP($A157,'[2]ANTICIPOS SAN FERMÍN'!$B$1:$B$1000,'[2]ANTICIPOS SAN FERMÍN'!$M$1:$M$1000))</f>
        <v/>
      </c>
      <c r="E157" s="37" t="str">
        <f>IF(A157="","",_xlfn.XLOOKUP($A157,'[2]ANTICIPOS SAN FERMÍN'!$B$1:$B$1000,'[2]ANTICIPOS SAN FERMÍN'!$O$1:$O$1000))</f>
        <v/>
      </c>
      <c r="F157" s="52"/>
      <c r="G157" s="52"/>
      <c r="H157" s="53"/>
      <c r="I157" s="38" t="str">
        <f>IF(A157="","",_xlfn.XLOOKUP($A157,'[2]ANTICIPOS SAN FERMÍN'!$C$1:$C$1000,'[2]ANTICIPOS SAN FERMÍN'!$H$1:$H$1000))</f>
        <v/>
      </c>
      <c r="J157" s="39"/>
      <c r="K157" s="38" t="str">
        <f>IF(A157="","",_xlfn.XLOOKUP($A157,'[2]ANTICIPOS SAN FERMÍN'!$C$1:$C$1000,'[2]ANTICIPOS SAN FERMÍN'!$I$1:$I$1000))</f>
        <v/>
      </c>
      <c r="L157" s="39"/>
      <c r="M157" s="38" t="str">
        <f>IF(A157="","",_xlfn.XLOOKUP($A157,'[2]ANTICIPOS SAN FERMÍN'!$C$1:$C$1000,'[2]ANTICIPOS SAN FERMÍN'!$J$1:$J$1000))</f>
        <v/>
      </c>
      <c r="N157" s="39"/>
      <c r="O157" s="38" t="str">
        <f>IF(A157="","",_xlfn.XLOOKUP($A157,'[2]ANTICIPOS SAN FERMÍN'!$C$1:$C$1000,'[2]ANTICIPOS SAN FERMÍN'!$L$1:$L$1000))</f>
        <v/>
      </c>
      <c r="P157" s="39"/>
      <c r="Q157" s="38" t="str">
        <f>IF(A157="","",_xlfn.XLOOKUP($A157,'[2]ANTICIPOS SAN FERMÍN'!$C$1:$C$1000,'[2]ANTICIPOS SAN FERMÍN'!$N$1:$N$1000))</f>
        <v/>
      </c>
      <c r="R157" s="39"/>
    </row>
    <row r="158" spans="1:18" hidden="1" x14ac:dyDescent="0.2">
      <c r="A158" s="34"/>
      <c r="B158" s="35" t="str">
        <f>IF(A158="","",_xlfn.XLOOKUP($A158,'[2]ANTICIPOS SAN FERMÍN'!$B$1:$B$1000,'[2]ANTICIPOS SAN FERMÍN'!$I$1:$I$1000))</f>
        <v/>
      </c>
      <c r="C158" s="36" t="str">
        <f>IF(A158="","",IF(_xlfn.XLOOKUP($A158,'[2]ANTICIPOS SAN FERMÍN'!$B$1:$B$1000,'[2]ANTICIPOS SAN FERMÍN'!$K$1:$K$1000)="","",_xlfn.XLOOKUP($A158,'[2]ANTICIPOS SAN FERMÍN'!$B$1:$B$1000,'[2]ANTICIPOS SAN FERMÍN'!$K$1:$K$1000)))</f>
        <v/>
      </c>
      <c r="D158" s="37" t="str">
        <f>IF(A158="","",_xlfn.XLOOKUP($A158,'[2]ANTICIPOS SAN FERMÍN'!$B$1:$B$1000,'[2]ANTICIPOS SAN FERMÍN'!$M$1:$M$1000))</f>
        <v/>
      </c>
      <c r="E158" s="37" t="str">
        <f>IF(A158="","",_xlfn.XLOOKUP($A158,'[2]ANTICIPOS SAN FERMÍN'!$B$1:$B$1000,'[2]ANTICIPOS SAN FERMÍN'!$O$1:$O$1000))</f>
        <v/>
      </c>
      <c r="F158" s="52"/>
      <c r="G158" s="52"/>
      <c r="H158" s="53"/>
      <c r="I158" s="38" t="str">
        <f>IF(A158="","",_xlfn.XLOOKUP($A158,'[2]ANTICIPOS SAN FERMÍN'!$C$1:$C$1000,'[2]ANTICIPOS SAN FERMÍN'!$H$1:$H$1000))</f>
        <v/>
      </c>
      <c r="J158" s="39"/>
      <c r="K158" s="38" t="str">
        <f>IF(A158="","",_xlfn.XLOOKUP($A158,'[2]ANTICIPOS SAN FERMÍN'!$C$1:$C$1000,'[2]ANTICIPOS SAN FERMÍN'!$I$1:$I$1000))</f>
        <v/>
      </c>
      <c r="L158" s="39"/>
      <c r="M158" s="38" t="str">
        <f>IF(A158="","",_xlfn.XLOOKUP($A158,'[2]ANTICIPOS SAN FERMÍN'!$C$1:$C$1000,'[2]ANTICIPOS SAN FERMÍN'!$J$1:$J$1000))</f>
        <v/>
      </c>
      <c r="N158" s="39"/>
      <c r="O158" s="38" t="str">
        <f>IF(A158="","",_xlfn.XLOOKUP($A158,'[2]ANTICIPOS SAN FERMÍN'!$C$1:$C$1000,'[2]ANTICIPOS SAN FERMÍN'!$L$1:$L$1000))</f>
        <v/>
      </c>
      <c r="P158" s="39"/>
      <c r="Q158" s="38" t="str">
        <f>IF(A158="","",_xlfn.XLOOKUP($A158,'[2]ANTICIPOS SAN FERMÍN'!$C$1:$C$1000,'[2]ANTICIPOS SAN FERMÍN'!$N$1:$N$1000))</f>
        <v/>
      </c>
      <c r="R158" s="39"/>
    </row>
    <row r="159" spans="1:18" hidden="1" x14ac:dyDescent="0.2">
      <c r="A159" s="34"/>
      <c r="B159" s="35" t="str">
        <f>IF(A159="","",_xlfn.XLOOKUP($A159,'[2]ANTICIPOS SAN FERMÍN'!$B$1:$B$1000,'[2]ANTICIPOS SAN FERMÍN'!$I$1:$I$1000))</f>
        <v/>
      </c>
      <c r="C159" s="36" t="str">
        <f>IF(A159="","",IF(_xlfn.XLOOKUP($A159,'[2]ANTICIPOS SAN FERMÍN'!$B$1:$B$1000,'[2]ANTICIPOS SAN FERMÍN'!$K$1:$K$1000)="","",_xlfn.XLOOKUP($A159,'[2]ANTICIPOS SAN FERMÍN'!$B$1:$B$1000,'[2]ANTICIPOS SAN FERMÍN'!$K$1:$K$1000)))</f>
        <v/>
      </c>
      <c r="D159" s="37" t="str">
        <f>IF(A159="","",_xlfn.XLOOKUP($A159,'[2]ANTICIPOS SAN FERMÍN'!$B$1:$B$1000,'[2]ANTICIPOS SAN FERMÍN'!$M$1:$M$1000))</f>
        <v/>
      </c>
      <c r="E159" s="37" t="str">
        <f>IF(A159="","",_xlfn.XLOOKUP($A159,'[2]ANTICIPOS SAN FERMÍN'!$B$1:$B$1000,'[2]ANTICIPOS SAN FERMÍN'!$O$1:$O$1000))</f>
        <v/>
      </c>
      <c r="F159" s="52"/>
      <c r="G159" s="52"/>
      <c r="H159" s="53"/>
      <c r="I159" s="38" t="str">
        <f>IF(A159="","",_xlfn.XLOOKUP($A159,'[2]ANTICIPOS SAN FERMÍN'!$C$1:$C$1000,'[2]ANTICIPOS SAN FERMÍN'!$H$1:$H$1000))</f>
        <v/>
      </c>
      <c r="J159" s="39"/>
      <c r="K159" s="38" t="str">
        <f>IF(A159="","",_xlfn.XLOOKUP($A159,'[2]ANTICIPOS SAN FERMÍN'!$C$1:$C$1000,'[2]ANTICIPOS SAN FERMÍN'!$I$1:$I$1000))</f>
        <v/>
      </c>
      <c r="L159" s="39"/>
      <c r="M159" s="38" t="str">
        <f>IF(A159="","",_xlfn.XLOOKUP($A159,'[2]ANTICIPOS SAN FERMÍN'!$C$1:$C$1000,'[2]ANTICIPOS SAN FERMÍN'!$J$1:$J$1000))</f>
        <v/>
      </c>
      <c r="N159" s="39"/>
      <c r="O159" s="38" t="str">
        <f>IF(A159="","",_xlfn.XLOOKUP($A159,'[2]ANTICIPOS SAN FERMÍN'!$C$1:$C$1000,'[2]ANTICIPOS SAN FERMÍN'!$L$1:$L$1000))</f>
        <v/>
      </c>
      <c r="P159" s="39"/>
      <c r="Q159" s="38" t="str">
        <f>IF(A159="","",_xlfn.XLOOKUP($A159,'[2]ANTICIPOS SAN FERMÍN'!$C$1:$C$1000,'[2]ANTICIPOS SAN FERMÍN'!$N$1:$N$1000))</f>
        <v/>
      </c>
      <c r="R159" s="39"/>
    </row>
    <row r="160" spans="1:18" hidden="1" x14ac:dyDescent="0.2">
      <c r="A160" s="34"/>
      <c r="B160" s="35" t="str">
        <f>IF(A160="","",_xlfn.XLOOKUP($A160,'[2]ANTICIPOS SAN FERMÍN'!$B$1:$B$1000,'[2]ANTICIPOS SAN FERMÍN'!$I$1:$I$1000))</f>
        <v/>
      </c>
      <c r="C160" s="36" t="str">
        <f>IF(A160="","",IF(_xlfn.XLOOKUP($A160,'[2]ANTICIPOS SAN FERMÍN'!$B$1:$B$1000,'[2]ANTICIPOS SAN FERMÍN'!$K$1:$K$1000)="","",_xlfn.XLOOKUP($A160,'[2]ANTICIPOS SAN FERMÍN'!$B$1:$B$1000,'[2]ANTICIPOS SAN FERMÍN'!$K$1:$K$1000)))</f>
        <v/>
      </c>
      <c r="D160" s="37" t="str">
        <f>IF(A160="","",_xlfn.XLOOKUP($A160,'[2]ANTICIPOS SAN FERMÍN'!$B$1:$B$1000,'[2]ANTICIPOS SAN FERMÍN'!$M$1:$M$1000))</f>
        <v/>
      </c>
      <c r="E160" s="37" t="str">
        <f>IF(A160="","",_xlfn.XLOOKUP($A160,'[2]ANTICIPOS SAN FERMÍN'!$B$1:$B$1000,'[2]ANTICIPOS SAN FERMÍN'!$O$1:$O$1000))</f>
        <v/>
      </c>
      <c r="F160" s="52"/>
      <c r="G160" s="52"/>
      <c r="H160" s="53"/>
      <c r="I160" s="38" t="str">
        <f>IF(A160="","",_xlfn.XLOOKUP($A160,'[2]ANTICIPOS SAN FERMÍN'!$C$1:$C$1000,'[2]ANTICIPOS SAN FERMÍN'!$H$1:$H$1000))</f>
        <v/>
      </c>
      <c r="J160" s="39"/>
      <c r="K160" s="38" t="str">
        <f>IF(A160="","",_xlfn.XLOOKUP($A160,'[2]ANTICIPOS SAN FERMÍN'!$C$1:$C$1000,'[2]ANTICIPOS SAN FERMÍN'!$I$1:$I$1000))</f>
        <v/>
      </c>
      <c r="L160" s="39"/>
      <c r="M160" s="38" t="str">
        <f>IF(A160="","",_xlfn.XLOOKUP($A160,'[2]ANTICIPOS SAN FERMÍN'!$C$1:$C$1000,'[2]ANTICIPOS SAN FERMÍN'!$J$1:$J$1000))</f>
        <v/>
      </c>
      <c r="N160" s="39"/>
      <c r="O160" s="38" t="str">
        <f>IF(A160="","",_xlfn.XLOOKUP($A160,'[2]ANTICIPOS SAN FERMÍN'!$C$1:$C$1000,'[2]ANTICIPOS SAN FERMÍN'!$L$1:$L$1000))</f>
        <v/>
      </c>
      <c r="P160" s="39"/>
      <c r="Q160" s="38" t="str">
        <f>IF(A160="","",_xlfn.XLOOKUP($A160,'[2]ANTICIPOS SAN FERMÍN'!$C$1:$C$1000,'[2]ANTICIPOS SAN FERMÍN'!$N$1:$N$1000))</f>
        <v/>
      </c>
      <c r="R160" s="39"/>
    </row>
    <row r="161" spans="1:18" hidden="1" x14ac:dyDescent="0.2">
      <c r="A161" s="34"/>
      <c r="B161" s="35" t="str">
        <f>IF(A161="","",_xlfn.XLOOKUP($A161,'[2]ANTICIPOS SAN FERMÍN'!$B$1:$B$1000,'[2]ANTICIPOS SAN FERMÍN'!$I$1:$I$1000))</f>
        <v/>
      </c>
      <c r="C161" s="36" t="str">
        <f>IF(A161="","",IF(_xlfn.XLOOKUP($A161,'[2]ANTICIPOS SAN FERMÍN'!$B$1:$B$1000,'[2]ANTICIPOS SAN FERMÍN'!$K$1:$K$1000)="","",_xlfn.XLOOKUP($A161,'[2]ANTICIPOS SAN FERMÍN'!$B$1:$B$1000,'[2]ANTICIPOS SAN FERMÍN'!$K$1:$K$1000)))</f>
        <v/>
      </c>
      <c r="D161" s="37" t="str">
        <f>IF(A161="","",_xlfn.XLOOKUP($A161,'[2]ANTICIPOS SAN FERMÍN'!$B$1:$B$1000,'[2]ANTICIPOS SAN FERMÍN'!$M$1:$M$1000))</f>
        <v/>
      </c>
      <c r="E161" s="37" t="str">
        <f>IF(A161="","",_xlfn.XLOOKUP($A161,'[2]ANTICIPOS SAN FERMÍN'!$B$1:$B$1000,'[2]ANTICIPOS SAN FERMÍN'!$O$1:$O$1000))</f>
        <v/>
      </c>
      <c r="F161" s="52"/>
      <c r="G161" s="52"/>
      <c r="H161" s="53"/>
      <c r="I161" s="38" t="str">
        <f>IF(A161="","",_xlfn.XLOOKUP($A161,'[2]ANTICIPOS SAN FERMÍN'!$C$1:$C$1000,'[2]ANTICIPOS SAN FERMÍN'!$H$1:$H$1000))</f>
        <v/>
      </c>
      <c r="J161" s="39"/>
      <c r="K161" s="38" t="str">
        <f>IF(A161="","",_xlfn.XLOOKUP($A161,'[2]ANTICIPOS SAN FERMÍN'!$C$1:$C$1000,'[2]ANTICIPOS SAN FERMÍN'!$I$1:$I$1000))</f>
        <v/>
      </c>
      <c r="L161" s="39"/>
      <c r="M161" s="38" t="str">
        <f>IF(A161="","",_xlfn.XLOOKUP($A161,'[2]ANTICIPOS SAN FERMÍN'!$C$1:$C$1000,'[2]ANTICIPOS SAN FERMÍN'!$J$1:$J$1000))</f>
        <v/>
      </c>
      <c r="N161" s="39"/>
      <c r="O161" s="38" t="str">
        <f>IF(A161="","",_xlfn.XLOOKUP($A161,'[2]ANTICIPOS SAN FERMÍN'!$C$1:$C$1000,'[2]ANTICIPOS SAN FERMÍN'!$L$1:$L$1000))</f>
        <v/>
      </c>
      <c r="P161" s="39"/>
      <c r="Q161" s="38" t="str">
        <f>IF(A161="","",_xlfn.XLOOKUP($A161,'[2]ANTICIPOS SAN FERMÍN'!$C$1:$C$1000,'[2]ANTICIPOS SAN FERMÍN'!$N$1:$N$1000))</f>
        <v/>
      </c>
      <c r="R161" s="39"/>
    </row>
    <row r="162" spans="1:18" hidden="1" x14ac:dyDescent="0.2">
      <c r="A162" s="34"/>
      <c r="B162" s="35" t="str">
        <f>IF(A162="","",_xlfn.XLOOKUP($A162,'[2]ANTICIPOS SAN FERMÍN'!$B$1:$B$1000,'[2]ANTICIPOS SAN FERMÍN'!$I$1:$I$1000))</f>
        <v/>
      </c>
      <c r="C162" s="36" t="str">
        <f>IF(A162="","",IF(_xlfn.XLOOKUP($A162,'[2]ANTICIPOS SAN FERMÍN'!$B$1:$B$1000,'[2]ANTICIPOS SAN FERMÍN'!$K$1:$K$1000)="","",_xlfn.XLOOKUP($A162,'[2]ANTICIPOS SAN FERMÍN'!$B$1:$B$1000,'[2]ANTICIPOS SAN FERMÍN'!$K$1:$K$1000)))</f>
        <v/>
      </c>
      <c r="D162" s="37" t="str">
        <f>IF(A162="","",_xlfn.XLOOKUP($A162,'[2]ANTICIPOS SAN FERMÍN'!$B$1:$B$1000,'[2]ANTICIPOS SAN FERMÍN'!$M$1:$M$1000))</f>
        <v/>
      </c>
      <c r="E162" s="37" t="str">
        <f>IF(A162="","",_xlfn.XLOOKUP($A162,'[2]ANTICIPOS SAN FERMÍN'!$B$1:$B$1000,'[2]ANTICIPOS SAN FERMÍN'!$O$1:$O$1000))</f>
        <v/>
      </c>
      <c r="F162" s="52"/>
      <c r="G162" s="52"/>
      <c r="H162" s="53"/>
      <c r="I162" s="38" t="str">
        <f>IF(A162="","",_xlfn.XLOOKUP($A162,'[2]ANTICIPOS SAN FERMÍN'!$C$1:$C$1000,'[2]ANTICIPOS SAN FERMÍN'!$H$1:$H$1000))</f>
        <v/>
      </c>
      <c r="J162" s="39"/>
      <c r="K162" s="38" t="str">
        <f>IF(A162="","",_xlfn.XLOOKUP($A162,'[2]ANTICIPOS SAN FERMÍN'!$C$1:$C$1000,'[2]ANTICIPOS SAN FERMÍN'!$I$1:$I$1000))</f>
        <v/>
      </c>
      <c r="L162" s="39"/>
      <c r="M162" s="38" t="str">
        <f>IF(A162="","",_xlfn.XLOOKUP($A162,'[2]ANTICIPOS SAN FERMÍN'!$C$1:$C$1000,'[2]ANTICIPOS SAN FERMÍN'!$J$1:$J$1000))</f>
        <v/>
      </c>
      <c r="N162" s="39"/>
      <c r="O162" s="38" t="str">
        <f>IF(A162="","",_xlfn.XLOOKUP($A162,'[2]ANTICIPOS SAN FERMÍN'!$C$1:$C$1000,'[2]ANTICIPOS SAN FERMÍN'!$L$1:$L$1000))</f>
        <v/>
      </c>
      <c r="P162" s="39"/>
      <c r="Q162" s="38" t="str">
        <f>IF(A162="","",_xlfn.XLOOKUP($A162,'[2]ANTICIPOS SAN FERMÍN'!$C$1:$C$1000,'[2]ANTICIPOS SAN FERMÍN'!$N$1:$N$1000))</f>
        <v/>
      </c>
      <c r="R162" s="39"/>
    </row>
    <row r="163" spans="1:18" hidden="1" x14ac:dyDescent="0.2">
      <c r="A163" s="34"/>
      <c r="B163" s="35" t="str">
        <f>IF(A163="","",_xlfn.XLOOKUP($A163,'[2]ANTICIPOS SAN FERMÍN'!$B$1:$B$1000,'[2]ANTICIPOS SAN FERMÍN'!$I$1:$I$1000))</f>
        <v/>
      </c>
      <c r="C163" s="36" t="str">
        <f>IF(A163="","",IF(_xlfn.XLOOKUP($A163,'[2]ANTICIPOS SAN FERMÍN'!$B$1:$B$1000,'[2]ANTICIPOS SAN FERMÍN'!$K$1:$K$1000)="","",_xlfn.XLOOKUP($A163,'[2]ANTICIPOS SAN FERMÍN'!$B$1:$B$1000,'[2]ANTICIPOS SAN FERMÍN'!$K$1:$K$1000)))</f>
        <v/>
      </c>
      <c r="D163" s="37" t="str">
        <f>IF(A163="","",_xlfn.XLOOKUP($A163,'[2]ANTICIPOS SAN FERMÍN'!$B$1:$B$1000,'[2]ANTICIPOS SAN FERMÍN'!$M$1:$M$1000))</f>
        <v/>
      </c>
      <c r="E163" s="37" t="str">
        <f>IF(A163="","",_xlfn.XLOOKUP($A163,'[2]ANTICIPOS SAN FERMÍN'!$B$1:$B$1000,'[2]ANTICIPOS SAN FERMÍN'!$O$1:$O$1000))</f>
        <v/>
      </c>
      <c r="F163" s="52"/>
      <c r="G163" s="52"/>
      <c r="H163" s="53"/>
      <c r="I163" s="38" t="str">
        <f>IF(A163="","",_xlfn.XLOOKUP($A163,'[2]ANTICIPOS SAN FERMÍN'!$C$1:$C$1000,'[2]ANTICIPOS SAN FERMÍN'!$H$1:$H$1000))</f>
        <v/>
      </c>
      <c r="J163" s="39"/>
      <c r="K163" s="38" t="str">
        <f>IF(A163="","",_xlfn.XLOOKUP($A163,'[2]ANTICIPOS SAN FERMÍN'!$C$1:$C$1000,'[2]ANTICIPOS SAN FERMÍN'!$I$1:$I$1000))</f>
        <v/>
      </c>
      <c r="L163" s="39"/>
      <c r="M163" s="38" t="str">
        <f>IF(A163="","",_xlfn.XLOOKUP($A163,'[2]ANTICIPOS SAN FERMÍN'!$C$1:$C$1000,'[2]ANTICIPOS SAN FERMÍN'!$J$1:$J$1000))</f>
        <v/>
      </c>
      <c r="N163" s="39"/>
      <c r="O163" s="38" t="str">
        <f>IF(A163="","",_xlfn.XLOOKUP($A163,'[2]ANTICIPOS SAN FERMÍN'!$C$1:$C$1000,'[2]ANTICIPOS SAN FERMÍN'!$L$1:$L$1000))</f>
        <v/>
      </c>
      <c r="P163" s="39"/>
      <c r="Q163" s="38" t="str">
        <f>IF(A163="","",_xlfn.XLOOKUP($A163,'[2]ANTICIPOS SAN FERMÍN'!$C$1:$C$1000,'[2]ANTICIPOS SAN FERMÍN'!$N$1:$N$1000))</f>
        <v/>
      </c>
      <c r="R163" s="39"/>
    </row>
    <row r="164" spans="1:18" hidden="1" x14ac:dyDescent="0.2">
      <c r="A164" s="34"/>
      <c r="B164" s="35" t="str">
        <f>IF(A164="","",_xlfn.XLOOKUP($A164,'[2]ANTICIPOS SAN FERMÍN'!$B$1:$B$1000,'[2]ANTICIPOS SAN FERMÍN'!$I$1:$I$1000))</f>
        <v/>
      </c>
      <c r="C164" s="36" t="str">
        <f>IF(A164="","",IF(_xlfn.XLOOKUP($A164,'[2]ANTICIPOS SAN FERMÍN'!$B$1:$B$1000,'[2]ANTICIPOS SAN FERMÍN'!$K$1:$K$1000)="","",_xlfn.XLOOKUP($A164,'[2]ANTICIPOS SAN FERMÍN'!$B$1:$B$1000,'[2]ANTICIPOS SAN FERMÍN'!$K$1:$K$1000)))</f>
        <v/>
      </c>
      <c r="D164" s="37" t="str">
        <f>IF(A164="","",_xlfn.XLOOKUP($A164,'[2]ANTICIPOS SAN FERMÍN'!$B$1:$B$1000,'[2]ANTICIPOS SAN FERMÍN'!$M$1:$M$1000))</f>
        <v/>
      </c>
      <c r="E164" s="37" t="str">
        <f>IF(A164="","",_xlfn.XLOOKUP($A164,'[2]ANTICIPOS SAN FERMÍN'!$B$1:$B$1000,'[2]ANTICIPOS SAN FERMÍN'!$O$1:$O$1000))</f>
        <v/>
      </c>
      <c r="F164" s="52"/>
      <c r="G164" s="52"/>
      <c r="H164" s="53"/>
      <c r="I164" s="38" t="str">
        <f>IF(A164="","",_xlfn.XLOOKUP($A164,'[2]ANTICIPOS SAN FERMÍN'!$C$1:$C$1000,'[2]ANTICIPOS SAN FERMÍN'!$H$1:$H$1000))</f>
        <v/>
      </c>
      <c r="J164" s="39"/>
      <c r="K164" s="38" t="str">
        <f>IF(A164="","",_xlfn.XLOOKUP($A164,'[2]ANTICIPOS SAN FERMÍN'!$C$1:$C$1000,'[2]ANTICIPOS SAN FERMÍN'!$I$1:$I$1000))</f>
        <v/>
      </c>
      <c r="L164" s="39"/>
      <c r="M164" s="38" t="str">
        <f>IF(A164="","",_xlfn.XLOOKUP($A164,'[2]ANTICIPOS SAN FERMÍN'!$C$1:$C$1000,'[2]ANTICIPOS SAN FERMÍN'!$J$1:$J$1000))</f>
        <v/>
      </c>
      <c r="N164" s="39"/>
      <c r="O164" s="38" t="str">
        <f>IF(A164="","",_xlfn.XLOOKUP($A164,'[2]ANTICIPOS SAN FERMÍN'!$C$1:$C$1000,'[2]ANTICIPOS SAN FERMÍN'!$L$1:$L$1000))</f>
        <v/>
      </c>
      <c r="P164" s="39"/>
      <c r="Q164" s="38" t="str">
        <f>IF(A164="","",_xlfn.XLOOKUP($A164,'[2]ANTICIPOS SAN FERMÍN'!$C$1:$C$1000,'[2]ANTICIPOS SAN FERMÍN'!$N$1:$N$1000))</f>
        <v/>
      </c>
      <c r="R164" s="39"/>
    </row>
    <row r="165" spans="1:18" hidden="1" x14ac:dyDescent="0.2">
      <c r="A165" s="34"/>
      <c r="B165" s="35" t="str">
        <f>IF(A165="","",_xlfn.XLOOKUP($A165,'[2]ANTICIPOS SAN FERMÍN'!$B$1:$B$1000,'[2]ANTICIPOS SAN FERMÍN'!$I$1:$I$1000))</f>
        <v/>
      </c>
      <c r="C165" s="36" t="str">
        <f>IF(A165="","",IF(_xlfn.XLOOKUP($A165,'[2]ANTICIPOS SAN FERMÍN'!$B$1:$B$1000,'[2]ANTICIPOS SAN FERMÍN'!$K$1:$K$1000)="","",_xlfn.XLOOKUP($A165,'[2]ANTICIPOS SAN FERMÍN'!$B$1:$B$1000,'[2]ANTICIPOS SAN FERMÍN'!$K$1:$K$1000)))</f>
        <v/>
      </c>
      <c r="D165" s="37" t="str">
        <f>IF(A165="","",_xlfn.XLOOKUP($A165,'[2]ANTICIPOS SAN FERMÍN'!$B$1:$B$1000,'[2]ANTICIPOS SAN FERMÍN'!$M$1:$M$1000))</f>
        <v/>
      </c>
      <c r="E165" s="37" t="str">
        <f>IF(A165="","",_xlfn.XLOOKUP($A165,'[2]ANTICIPOS SAN FERMÍN'!$B$1:$B$1000,'[2]ANTICIPOS SAN FERMÍN'!$O$1:$O$1000))</f>
        <v/>
      </c>
      <c r="F165" s="52"/>
      <c r="G165" s="52"/>
      <c r="H165" s="53"/>
      <c r="I165" s="38" t="str">
        <f>IF(A165="","",_xlfn.XLOOKUP($A165,'[2]ANTICIPOS SAN FERMÍN'!$C$1:$C$1000,'[2]ANTICIPOS SAN FERMÍN'!$H$1:$H$1000))</f>
        <v/>
      </c>
      <c r="J165" s="39"/>
      <c r="K165" s="38" t="str">
        <f>IF(A165="","",_xlfn.XLOOKUP($A165,'[2]ANTICIPOS SAN FERMÍN'!$C$1:$C$1000,'[2]ANTICIPOS SAN FERMÍN'!$I$1:$I$1000))</f>
        <v/>
      </c>
      <c r="L165" s="39"/>
      <c r="M165" s="38" t="str">
        <f>IF(A165="","",_xlfn.XLOOKUP($A165,'[2]ANTICIPOS SAN FERMÍN'!$C$1:$C$1000,'[2]ANTICIPOS SAN FERMÍN'!$J$1:$J$1000))</f>
        <v/>
      </c>
      <c r="N165" s="39"/>
      <c r="O165" s="38" t="str">
        <f>IF(A165="","",_xlfn.XLOOKUP($A165,'[2]ANTICIPOS SAN FERMÍN'!$C$1:$C$1000,'[2]ANTICIPOS SAN FERMÍN'!$L$1:$L$1000))</f>
        <v/>
      </c>
      <c r="P165" s="39"/>
      <c r="Q165" s="38" t="str">
        <f>IF(A165="","",_xlfn.XLOOKUP($A165,'[2]ANTICIPOS SAN FERMÍN'!$C$1:$C$1000,'[2]ANTICIPOS SAN FERMÍN'!$N$1:$N$1000))</f>
        <v/>
      </c>
      <c r="R165" s="39"/>
    </row>
    <row r="166" spans="1:18" hidden="1" x14ac:dyDescent="0.2">
      <c r="A166" s="34"/>
      <c r="B166" s="35" t="str">
        <f>IF(A166="","",_xlfn.XLOOKUP($A166,'[2]ANTICIPOS SAN FERMÍN'!$B$1:$B$1000,'[2]ANTICIPOS SAN FERMÍN'!$I$1:$I$1000))</f>
        <v/>
      </c>
      <c r="C166" s="36" t="str">
        <f>IF(A166="","",IF(_xlfn.XLOOKUP($A166,'[2]ANTICIPOS SAN FERMÍN'!$B$1:$B$1000,'[2]ANTICIPOS SAN FERMÍN'!$K$1:$K$1000)="","",_xlfn.XLOOKUP($A166,'[2]ANTICIPOS SAN FERMÍN'!$B$1:$B$1000,'[2]ANTICIPOS SAN FERMÍN'!$K$1:$K$1000)))</f>
        <v/>
      </c>
      <c r="D166" s="37" t="str">
        <f>IF(A166="","",_xlfn.XLOOKUP($A166,'[2]ANTICIPOS SAN FERMÍN'!$B$1:$B$1000,'[2]ANTICIPOS SAN FERMÍN'!$M$1:$M$1000))</f>
        <v/>
      </c>
      <c r="E166" s="37" t="str">
        <f>IF(A166="","",_xlfn.XLOOKUP($A166,'[2]ANTICIPOS SAN FERMÍN'!$B$1:$B$1000,'[2]ANTICIPOS SAN FERMÍN'!$O$1:$O$1000))</f>
        <v/>
      </c>
      <c r="F166" s="52"/>
      <c r="G166" s="52"/>
      <c r="H166" s="53"/>
      <c r="I166" s="38" t="str">
        <f>IF(A166="","",_xlfn.XLOOKUP($A166,'[2]ANTICIPOS SAN FERMÍN'!$C$1:$C$1000,'[2]ANTICIPOS SAN FERMÍN'!$H$1:$H$1000))</f>
        <v/>
      </c>
      <c r="J166" s="39"/>
      <c r="K166" s="38" t="str">
        <f>IF(A166="","",_xlfn.XLOOKUP($A166,'[2]ANTICIPOS SAN FERMÍN'!$C$1:$C$1000,'[2]ANTICIPOS SAN FERMÍN'!$I$1:$I$1000))</f>
        <v/>
      </c>
      <c r="L166" s="39"/>
      <c r="M166" s="38" t="str">
        <f>IF(A166="","",_xlfn.XLOOKUP($A166,'[2]ANTICIPOS SAN FERMÍN'!$C$1:$C$1000,'[2]ANTICIPOS SAN FERMÍN'!$J$1:$J$1000))</f>
        <v/>
      </c>
      <c r="N166" s="39"/>
      <c r="O166" s="38" t="str">
        <f>IF(A166="","",_xlfn.XLOOKUP($A166,'[2]ANTICIPOS SAN FERMÍN'!$C$1:$C$1000,'[2]ANTICIPOS SAN FERMÍN'!$L$1:$L$1000))</f>
        <v/>
      </c>
      <c r="P166" s="39"/>
      <c r="Q166" s="38" t="str">
        <f>IF(A166="","",_xlfn.XLOOKUP($A166,'[2]ANTICIPOS SAN FERMÍN'!$C$1:$C$1000,'[2]ANTICIPOS SAN FERMÍN'!$N$1:$N$1000))</f>
        <v/>
      </c>
      <c r="R166" s="39"/>
    </row>
    <row r="167" spans="1:18" hidden="1" x14ac:dyDescent="0.2">
      <c r="A167" s="34"/>
      <c r="B167" s="35" t="str">
        <f>IF(A167="","",_xlfn.XLOOKUP($A167,'[2]ANTICIPOS SAN FERMÍN'!$B$1:$B$1000,'[2]ANTICIPOS SAN FERMÍN'!$I$1:$I$1000))</f>
        <v/>
      </c>
      <c r="C167" s="36" t="str">
        <f>IF(A167="","",IF(_xlfn.XLOOKUP($A167,'[2]ANTICIPOS SAN FERMÍN'!$B$1:$B$1000,'[2]ANTICIPOS SAN FERMÍN'!$K$1:$K$1000)="","",_xlfn.XLOOKUP($A167,'[2]ANTICIPOS SAN FERMÍN'!$B$1:$B$1000,'[2]ANTICIPOS SAN FERMÍN'!$K$1:$K$1000)))</f>
        <v/>
      </c>
      <c r="D167" s="37" t="str">
        <f>IF(A167="","",_xlfn.XLOOKUP($A167,'[2]ANTICIPOS SAN FERMÍN'!$B$1:$B$1000,'[2]ANTICIPOS SAN FERMÍN'!$M$1:$M$1000))</f>
        <v/>
      </c>
      <c r="E167" s="37" t="str">
        <f>IF(A167="","",_xlfn.XLOOKUP($A167,'[2]ANTICIPOS SAN FERMÍN'!$B$1:$B$1000,'[2]ANTICIPOS SAN FERMÍN'!$O$1:$O$1000))</f>
        <v/>
      </c>
      <c r="F167" s="52"/>
      <c r="G167" s="52"/>
      <c r="H167" s="53"/>
      <c r="I167" s="38" t="str">
        <f>IF(A167="","",_xlfn.XLOOKUP($A167,'[2]ANTICIPOS SAN FERMÍN'!$C$1:$C$1000,'[2]ANTICIPOS SAN FERMÍN'!$H$1:$H$1000))</f>
        <v/>
      </c>
      <c r="J167" s="39"/>
      <c r="K167" s="38" t="str">
        <f>IF(A167="","",_xlfn.XLOOKUP($A167,'[2]ANTICIPOS SAN FERMÍN'!$C$1:$C$1000,'[2]ANTICIPOS SAN FERMÍN'!$I$1:$I$1000))</f>
        <v/>
      </c>
      <c r="L167" s="39"/>
      <c r="M167" s="38" t="str">
        <f>IF(A167="","",_xlfn.XLOOKUP($A167,'[2]ANTICIPOS SAN FERMÍN'!$C$1:$C$1000,'[2]ANTICIPOS SAN FERMÍN'!$J$1:$J$1000))</f>
        <v/>
      </c>
      <c r="N167" s="39"/>
      <c r="O167" s="38" t="str">
        <f>IF(A167="","",_xlfn.XLOOKUP($A167,'[2]ANTICIPOS SAN FERMÍN'!$C$1:$C$1000,'[2]ANTICIPOS SAN FERMÍN'!$L$1:$L$1000))</f>
        <v/>
      </c>
      <c r="P167" s="39"/>
      <c r="Q167" s="38" t="str">
        <f>IF(A167="","",_xlfn.XLOOKUP($A167,'[2]ANTICIPOS SAN FERMÍN'!$C$1:$C$1000,'[2]ANTICIPOS SAN FERMÍN'!$N$1:$N$1000))</f>
        <v/>
      </c>
      <c r="R167" s="39"/>
    </row>
    <row r="168" spans="1:18" hidden="1" x14ac:dyDescent="0.2">
      <c r="A168" s="34"/>
      <c r="B168" s="35" t="str">
        <f>IF(A168="","",_xlfn.XLOOKUP($A168,'[2]ANTICIPOS SAN FERMÍN'!$B$1:$B$1000,'[2]ANTICIPOS SAN FERMÍN'!$I$1:$I$1000))</f>
        <v/>
      </c>
      <c r="C168" s="36" t="str">
        <f>IF(A168="","",IF(_xlfn.XLOOKUP($A168,'[2]ANTICIPOS SAN FERMÍN'!$B$1:$B$1000,'[2]ANTICIPOS SAN FERMÍN'!$K$1:$K$1000)="","",_xlfn.XLOOKUP($A168,'[2]ANTICIPOS SAN FERMÍN'!$B$1:$B$1000,'[2]ANTICIPOS SAN FERMÍN'!$K$1:$K$1000)))</f>
        <v/>
      </c>
      <c r="D168" s="37" t="str">
        <f>IF(A168="","",_xlfn.XLOOKUP($A168,'[2]ANTICIPOS SAN FERMÍN'!$B$1:$B$1000,'[2]ANTICIPOS SAN FERMÍN'!$M$1:$M$1000))</f>
        <v/>
      </c>
      <c r="E168" s="37" t="str">
        <f>IF(A168="","",_xlfn.XLOOKUP($A168,'[2]ANTICIPOS SAN FERMÍN'!$B$1:$B$1000,'[2]ANTICIPOS SAN FERMÍN'!$O$1:$O$1000))</f>
        <v/>
      </c>
      <c r="F168" s="52"/>
      <c r="G168" s="52"/>
      <c r="H168" s="53"/>
      <c r="I168" s="38" t="str">
        <f>IF(A168="","",_xlfn.XLOOKUP($A168,'[2]ANTICIPOS SAN FERMÍN'!$C$1:$C$1000,'[2]ANTICIPOS SAN FERMÍN'!$H$1:$H$1000))</f>
        <v/>
      </c>
      <c r="J168" s="39"/>
      <c r="K168" s="38" t="str">
        <f>IF(A168="","",_xlfn.XLOOKUP($A168,'[2]ANTICIPOS SAN FERMÍN'!$C$1:$C$1000,'[2]ANTICIPOS SAN FERMÍN'!$I$1:$I$1000))</f>
        <v/>
      </c>
      <c r="L168" s="39"/>
      <c r="M168" s="38" t="str">
        <f>IF(A168="","",_xlfn.XLOOKUP($A168,'[2]ANTICIPOS SAN FERMÍN'!$C$1:$C$1000,'[2]ANTICIPOS SAN FERMÍN'!$J$1:$J$1000))</f>
        <v/>
      </c>
      <c r="N168" s="39"/>
      <c r="O168" s="38" t="str">
        <f>IF(A168="","",_xlfn.XLOOKUP($A168,'[2]ANTICIPOS SAN FERMÍN'!$C$1:$C$1000,'[2]ANTICIPOS SAN FERMÍN'!$L$1:$L$1000))</f>
        <v/>
      </c>
      <c r="P168" s="39"/>
      <c r="Q168" s="38" t="str">
        <f>IF(A168="","",_xlfn.XLOOKUP($A168,'[2]ANTICIPOS SAN FERMÍN'!$C$1:$C$1000,'[2]ANTICIPOS SAN FERMÍN'!$N$1:$N$1000))</f>
        <v/>
      </c>
      <c r="R168" s="39"/>
    </row>
    <row r="169" spans="1:18" hidden="1" x14ac:dyDescent="0.2">
      <c r="A169" s="34"/>
      <c r="B169" s="35" t="str">
        <f>IF(A169="","",_xlfn.XLOOKUP($A169,'[2]ANTICIPOS SAN FERMÍN'!$B$1:$B$1000,'[2]ANTICIPOS SAN FERMÍN'!$I$1:$I$1000))</f>
        <v/>
      </c>
      <c r="C169" s="36" t="str">
        <f>IF(A169="","",IF(_xlfn.XLOOKUP($A169,'[2]ANTICIPOS SAN FERMÍN'!$B$1:$B$1000,'[2]ANTICIPOS SAN FERMÍN'!$K$1:$K$1000)="","",_xlfn.XLOOKUP($A169,'[2]ANTICIPOS SAN FERMÍN'!$B$1:$B$1000,'[2]ANTICIPOS SAN FERMÍN'!$K$1:$K$1000)))</f>
        <v/>
      </c>
      <c r="D169" s="37" t="str">
        <f>IF(A169="","",_xlfn.XLOOKUP($A169,'[2]ANTICIPOS SAN FERMÍN'!$B$1:$B$1000,'[2]ANTICIPOS SAN FERMÍN'!$M$1:$M$1000))</f>
        <v/>
      </c>
      <c r="E169" s="37" t="str">
        <f>IF(A169="","",_xlfn.XLOOKUP($A169,'[2]ANTICIPOS SAN FERMÍN'!$B$1:$B$1000,'[2]ANTICIPOS SAN FERMÍN'!$O$1:$O$1000))</f>
        <v/>
      </c>
      <c r="F169" s="52"/>
      <c r="G169" s="52"/>
      <c r="H169" s="53"/>
      <c r="I169" s="38" t="str">
        <f>IF(A169="","",_xlfn.XLOOKUP($A169,'[2]ANTICIPOS SAN FERMÍN'!$C$1:$C$1000,'[2]ANTICIPOS SAN FERMÍN'!$H$1:$H$1000))</f>
        <v/>
      </c>
      <c r="J169" s="39"/>
      <c r="K169" s="38" t="str">
        <f>IF(A169="","",_xlfn.XLOOKUP($A169,'[2]ANTICIPOS SAN FERMÍN'!$C$1:$C$1000,'[2]ANTICIPOS SAN FERMÍN'!$I$1:$I$1000))</f>
        <v/>
      </c>
      <c r="L169" s="39"/>
      <c r="M169" s="38" t="str">
        <f>IF(A169="","",_xlfn.XLOOKUP($A169,'[2]ANTICIPOS SAN FERMÍN'!$C$1:$C$1000,'[2]ANTICIPOS SAN FERMÍN'!$J$1:$J$1000))</f>
        <v/>
      </c>
      <c r="N169" s="39"/>
      <c r="O169" s="38" t="str">
        <f>IF(A169="","",_xlfn.XLOOKUP($A169,'[2]ANTICIPOS SAN FERMÍN'!$C$1:$C$1000,'[2]ANTICIPOS SAN FERMÍN'!$L$1:$L$1000))</f>
        <v/>
      </c>
      <c r="P169" s="39"/>
      <c r="Q169" s="38" t="str">
        <f>IF(A169="","",_xlfn.XLOOKUP($A169,'[2]ANTICIPOS SAN FERMÍN'!$C$1:$C$1000,'[2]ANTICIPOS SAN FERMÍN'!$N$1:$N$1000))</f>
        <v/>
      </c>
      <c r="R169" s="39"/>
    </row>
    <row r="170" spans="1:18" hidden="1" x14ac:dyDescent="0.2">
      <c r="A170" s="34"/>
      <c r="B170" s="35" t="str">
        <f>IF(A170="","",_xlfn.XLOOKUP($A170,'[2]ANTICIPOS SAN FERMÍN'!$B$1:$B$1000,'[2]ANTICIPOS SAN FERMÍN'!$I$1:$I$1000))</f>
        <v/>
      </c>
      <c r="C170" s="36" t="str">
        <f>IF(A170="","",IF(_xlfn.XLOOKUP($A170,'[2]ANTICIPOS SAN FERMÍN'!$B$1:$B$1000,'[2]ANTICIPOS SAN FERMÍN'!$K$1:$K$1000)="","",_xlfn.XLOOKUP($A170,'[2]ANTICIPOS SAN FERMÍN'!$B$1:$B$1000,'[2]ANTICIPOS SAN FERMÍN'!$K$1:$K$1000)))</f>
        <v/>
      </c>
      <c r="D170" s="37" t="str">
        <f>IF(A170="","",_xlfn.XLOOKUP($A170,'[2]ANTICIPOS SAN FERMÍN'!$B$1:$B$1000,'[2]ANTICIPOS SAN FERMÍN'!$M$1:$M$1000))</f>
        <v/>
      </c>
      <c r="E170" s="37" t="str">
        <f>IF(A170="","",_xlfn.XLOOKUP($A170,'[2]ANTICIPOS SAN FERMÍN'!$B$1:$B$1000,'[2]ANTICIPOS SAN FERMÍN'!$O$1:$O$1000))</f>
        <v/>
      </c>
      <c r="F170" s="52"/>
      <c r="G170" s="52"/>
      <c r="H170" s="53"/>
      <c r="I170" s="38" t="str">
        <f>IF(A170="","",_xlfn.XLOOKUP($A170,'[2]ANTICIPOS SAN FERMÍN'!$C$1:$C$1000,'[2]ANTICIPOS SAN FERMÍN'!$H$1:$H$1000))</f>
        <v/>
      </c>
      <c r="J170" s="39"/>
      <c r="K170" s="38" t="str">
        <f>IF(A170="","",_xlfn.XLOOKUP($A170,'[2]ANTICIPOS SAN FERMÍN'!$C$1:$C$1000,'[2]ANTICIPOS SAN FERMÍN'!$I$1:$I$1000))</f>
        <v/>
      </c>
      <c r="L170" s="39"/>
      <c r="M170" s="38" t="str">
        <f>IF(A170="","",_xlfn.XLOOKUP($A170,'[2]ANTICIPOS SAN FERMÍN'!$C$1:$C$1000,'[2]ANTICIPOS SAN FERMÍN'!$J$1:$J$1000))</f>
        <v/>
      </c>
      <c r="N170" s="39"/>
      <c r="O170" s="38" t="str">
        <f>IF(A170="","",_xlfn.XLOOKUP($A170,'[2]ANTICIPOS SAN FERMÍN'!$C$1:$C$1000,'[2]ANTICIPOS SAN FERMÍN'!$L$1:$L$1000))</f>
        <v/>
      </c>
      <c r="P170" s="39"/>
      <c r="Q170" s="38" t="str">
        <f>IF(A170="","",_xlfn.XLOOKUP($A170,'[2]ANTICIPOS SAN FERMÍN'!$C$1:$C$1000,'[2]ANTICIPOS SAN FERMÍN'!$N$1:$N$1000))</f>
        <v/>
      </c>
      <c r="R170" s="39"/>
    </row>
    <row r="171" spans="1:18" hidden="1" x14ac:dyDescent="0.2">
      <c r="A171" s="34"/>
      <c r="B171" s="35" t="str">
        <f>IF(A171="","",_xlfn.XLOOKUP($A171,'[2]ANTICIPOS SAN FERMÍN'!$B$1:$B$1000,'[2]ANTICIPOS SAN FERMÍN'!$I$1:$I$1000))</f>
        <v/>
      </c>
      <c r="C171" s="36" t="str">
        <f>IF(A171="","",IF(_xlfn.XLOOKUP($A171,'[2]ANTICIPOS SAN FERMÍN'!$B$1:$B$1000,'[2]ANTICIPOS SAN FERMÍN'!$K$1:$K$1000)="","",_xlfn.XLOOKUP($A171,'[2]ANTICIPOS SAN FERMÍN'!$B$1:$B$1000,'[2]ANTICIPOS SAN FERMÍN'!$K$1:$K$1000)))</f>
        <v/>
      </c>
      <c r="D171" s="37" t="str">
        <f>IF(A171="","",_xlfn.XLOOKUP($A171,'[2]ANTICIPOS SAN FERMÍN'!$B$1:$B$1000,'[2]ANTICIPOS SAN FERMÍN'!$M$1:$M$1000))</f>
        <v/>
      </c>
      <c r="E171" s="37" t="str">
        <f>IF(A171="","",_xlfn.XLOOKUP($A171,'[2]ANTICIPOS SAN FERMÍN'!$B$1:$B$1000,'[2]ANTICIPOS SAN FERMÍN'!$O$1:$O$1000))</f>
        <v/>
      </c>
      <c r="F171" s="52"/>
      <c r="G171" s="52"/>
      <c r="H171" s="53"/>
      <c r="I171" s="38" t="str">
        <f>IF(A171="","",_xlfn.XLOOKUP($A171,'[2]ANTICIPOS SAN FERMÍN'!$C$1:$C$1000,'[2]ANTICIPOS SAN FERMÍN'!$H$1:$H$1000))</f>
        <v/>
      </c>
      <c r="J171" s="39"/>
      <c r="K171" s="38" t="str">
        <f>IF(A171="","",_xlfn.XLOOKUP($A171,'[2]ANTICIPOS SAN FERMÍN'!$C$1:$C$1000,'[2]ANTICIPOS SAN FERMÍN'!$I$1:$I$1000))</f>
        <v/>
      </c>
      <c r="L171" s="39"/>
      <c r="M171" s="38" t="str">
        <f>IF(A171="","",_xlfn.XLOOKUP($A171,'[2]ANTICIPOS SAN FERMÍN'!$C$1:$C$1000,'[2]ANTICIPOS SAN FERMÍN'!$J$1:$J$1000))</f>
        <v/>
      </c>
      <c r="N171" s="39"/>
      <c r="O171" s="38" t="str">
        <f>IF(A171="","",_xlfn.XLOOKUP($A171,'[2]ANTICIPOS SAN FERMÍN'!$C$1:$C$1000,'[2]ANTICIPOS SAN FERMÍN'!$L$1:$L$1000))</f>
        <v/>
      </c>
      <c r="P171" s="39"/>
      <c r="Q171" s="38" t="str">
        <f>IF(A171="","",_xlfn.XLOOKUP($A171,'[2]ANTICIPOS SAN FERMÍN'!$C$1:$C$1000,'[2]ANTICIPOS SAN FERMÍN'!$N$1:$N$1000))</f>
        <v/>
      </c>
      <c r="R171" s="39"/>
    </row>
    <row r="172" spans="1:18" hidden="1" x14ac:dyDescent="0.2">
      <c r="A172" s="34"/>
      <c r="B172" s="35" t="str">
        <f>IF(A172="","",_xlfn.XLOOKUP($A172,'[2]ANTICIPOS SAN FERMÍN'!$B$1:$B$1000,'[2]ANTICIPOS SAN FERMÍN'!$I$1:$I$1000))</f>
        <v/>
      </c>
      <c r="C172" s="36" t="str">
        <f>IF(A172="","",IF(_xlfn.XLOOKUP($A172,'[2]ANTICIPOS SAN FERMÍN'!$B$1:$B$1000,'[2]ANTICIPOS SAN FERMÍN'!$K$1:$K$1000)="","",_xlfn.XLOOKUP($A172,'[2]ANTICIPOS SAN FERMÍN'!$B$1:$B$1000,'[2]ANTICIPOS SAN FERMÍN'!$K$1:$K$1000)))</f>
        <v/>
      </c>
      <c r="D172" s="37" t="str">
        <f>IF(A172="","",_xlfn.XLOOKUP($A172,'[2]ANTICIPOS SAN FERMÍN'!$B$1:$B$1000,'[2]ANTICIPOS SAN FERMÍN'!$M$1:$M$1000))</f>
        <v/>
      </c>
      <c r="E172" s="37" t="str">
        <f>IF(A172="","",_xlfn.XLOOKUP($A172,'[2]ANTICIPOS SAN FERMÍN'!$B$1:$B$1000,'[2]ANTICIPOS SAN FERMÍN'!$O$1:$O$1000))</f>
        <v/>
      </c>
      <c r="F172" s="52"/>
      <c r="G172" s="52"/>
      <c r="H172" s="53"/>
      <c r="I172" s="38" t="str">
        <f>IF(A172="","",_xlfn.XLOOKUP($A172,'[2]ANTICIPOS SAN FERMÍN'!$C$1:$C$1000,'[2]ANTICIPOS SAN FERMÍN'!$H$1:$H$1000))</f>
        <v/>
      </c>
      <c r="J172" s="39"/>
      <c r="K172" s="38" t="str">
        <f>IF(A172="","",_xlfn.XLOOKUP($A172,'[2]ANTICIPOS SAN FERMÍN'!$C$1:$C$1000,'[2]ANTICIPOS SAN FERMÍN'!$I$1:$I$1000))</f>
        <v/>
      </c>
      <c r="L172" s="39"/>
      <c r="M172" s="38" t="str">
        <f>IF(A172="","",_xlfn.XLOOKUP($A172,'[2]ANTICIPOS SAN FERMÍN'!$C$1:$C$1000,'[2]ANTICIPOS SAN FERMÍN'!$J$1:$J$1000))</f>
        <v/>
      </c>
      <c r="N172" s="39"/>
      <c r="O172" s="38" t="str">
        <f>IF(A172="","",_xlfn.XLOOKUP($A172,'[2]ANTICIPOS SAN FERMÍN'!$C$1:$C$1000,'[2]ANTICIPOS SAN FERMÍN'!$L$1:$L$1000))</f>
        <v/>
      </c>
      <c r="P172" s="39"/>
      <c r="Q172" s="38" t="str">
        <f>IF(A172="","",_xlfn.XLOOKUP($A172,'[2]ANTICIPOS SAN FERMÍN'!$C$1:$C$1000,'[2]ANTICIPOS SAN FERMÍN'!$N$1:$N$1000))</f>
        <v/>
      </c>
      <c r="R172" s="39"/>
    </row>
    <row r="173" spans="1:18" hidden="1" x14ac:dyDescent="0.2">
      <c r="A173" s="34"/>
      <c r="B173" s="35" t="str">
        <f>IF(A173="","",_xlfn.XLOOKUP($A173,'[2]ANTICIPOS SAN FERMÍN'!$B$1:$B$1000,'[2]ANTICIPOS SAN FERMÍN'!$I$1:$I$1000))</f>
        <v/>
      </c>
      <c r="C173" s="36" t="str">
        <f>IF(A173="","",IF(_xlfn.XLOOKUP($A173,'[2]ANTICIPOS SAN FERMÍN'!$B$1:$B$1000,'[2]ANTICIPOS SAN FERMÍN'!$K$1:$K$1000)="","",_xlfn.XLOOKUP($A173,'[2]ANTICIPOS SAN FERMÍN'!$B$1:$B$1000,'[2]ANTICIPOS SAN FERMÍN'!$K$1:$K$1000)))</f>
        <v/>
      </c>
      <c r="D173" s="37" t="str">
        <f>IF(A173="","",_xlfn.XLOOKUP($A173,'[2]ANTICIPOS SAN FERMÍN'!$B$1:$B$1000,'[2]ANTICIPOS SAN FERMÍN'!$M$1:$M$1000))</f>
        <v/>
      </c>
      <c r="E173" s="37" t="str">
        <f>IF(A173="","",_xlfn.XLOOKUP($A173,'[2]ANTICIPOS SAN FERMÍN'!$B$1:$B$1000,'[2]ANTICIPOS SAN FERMÍN'!$O$1:$O$1000))</f>
        <v/>
      </c>
      <c r="F173" s="52"/>
      <c r="G173" s="52"/>
      <c r="H173" s="53"/>
      <c r="I173" s="38" t="str">
        <f>IF(A173="","",_xlfn.XLOOKUP($A173,'[2]ANTICIPOS SAN FERMÍN'!$C$1:$C$1000,'[2]ANTICIPOS SAN FERMÍN'!$H$1:$H$1000))</f>
        <v/>
      </c>
      <c r="J173" s="39"/>
      <c r="K173" s="38" t="str">
        <f>IF(A173="","",_xlfn.XLOOKUP($A173,'[2]ANTICIPOS SAN FERMÍN'!$C$1:$C$1000,'[2]ANTICIPOS SAN FERMÍN'!$I$1:$I$1000))</f>
        <v/>
      </c>
      <c r="L173" s="39"/>
      <c r="M173" s="38" t="str">
        <f>IF(A173="","",_xlfn.XLOOKUP($A173,'[2]ANTICIPOS SAN FERMÍN'!$C$1:$C$1000,'[2]ANTICIPOS SAN FERMÍN'!$J$1:$J$1000))</f>
        <v/>
      </c>
      <c r="N173" s="39"/>
      <c r="O173" s="38" t="str">
        <f>IF(A173="","",_xlfn.XLOOKUP($A173,'[2]ANTICIPOS SAN FERMÍN'!$C$1:$C$1000,'[2]ANTICIPOS SAN FERMÍN'!$L$1:$L$1000))</f>
        <v/>
      </c>
      <c r="P173" s="39"/>
      <c r="Q173" s="38" t="str">
        <f>IF(A173="","",_xlfn.XLOOKUP($A173,'[2]ANTICIPOS SAN FERMÍN'!$C$1:$C$1000,'[2]ANTICIPOS SAN FERMÍN'!$N$1:$N$1000))</f>
        <v/>
      </c>
      <c r="R173" s="39"/>
    </row>
    <row r="174" spans="1:18" hidden="1" x14ac:dyDescent="0.2">
      <c r="A174" s="34"/>
      <c r="B174" s="35" t="str">
        <f>IF(A174="","",_xlfn.XLOOKUP($A174,'[2]ANTICIPOS SAN FERMÍN'!$B$1:$B$1000,'[2]ANTICIPOS SAN FERMÍN'!$I$1:$I$1000))</f>
        <v/>
      </c>
      <c r="C174" s="36" t="str">
        <f>IF(A174="","",IF(_xlfn.XLOOKUP($A174,'[2]ANTICIPOS SAN FERMÍN'!$B$1:$B$1000,'[2]ANTICIPOS SAN FERMÍN'!$K$1:$K$1000)="","",_xlfn.XLOOKUP($A174,'[2]ANTICIPOS SAN FERMÍN'!$B$1:$B$1000,'[2]ANTICIPOS SAN FERMÍN'!$K$1:$K$1000)))</f>
        <v/>
      </c>
      <c r="D174" s="37" t="str">
        <f>IF(A174="","",_xlfn.XLOOKUP($A174,'[2]ANTICIPOS SAN FERMÍN'!$B$1:$B$1000,'[2]ANTICIPOS SAN FERMÍN'!$M$1:$M$1000))</f>
        <v/>
      </c>
      <c r="E174" s="37" t="str">
        <f>IF(A174="","",_xlfn.XLOOKUP($A174,'[2]ANTICIPOS SAN FERMÍN'!$B$1:$B$1000,'[2]ANTICIPOS SAN FERMÍN'!$O$1:$O$1000))</f>
        <v/>
      </c>
      <c r="F174" s="52"/>
      <c r="G174" s="52"/>
      <c r="H174" s="53"/>
      <c r="I174" s="38" t="str">
        <f>IF(A174="","",_xlfn.XLOOKUP($A174,'[2]ANTICIPOS SAN FERMÍN'!$C$1:$C$1000,'[2]ANTICIPOS SAN FERMÍN'!$H$1:$H$1000))</f>
        <v/>
      </c>
      <c r="J174" s="39"/>
      <c r="K174" s="38" t="str">
        <f>IF(A174="","",_xlfn.XLOOKUP($A174,'[2]ANTICIPOS SAN FERMÍN'!$C$1:$C$1000,'[2]ANTICIPOS SAN FERMÍN'!$I$1:$I$1000))</f>
        <v/>
      </c>
      <c r="L174" s="39"/>
      <c r="M174" s="38" t="str">
        <f>IF(A174="","",_xlfn.XLOOKUP($A174,'[2]ANTICIPOS SAN FERMÍN'!$C$1:$C$1000,'[2]ANTICIPOS SAN FERMÍN'!$J$1:$J$1000))</f>
        <v/>
      </c>
      <c r="N174" s="39"/>
      <c r="O174" s="38" t="str">
        <f>IF(A174="","",_xlfn.XLOOKUP($A174,'[2]ANTICIPOS SAN FERMÍN'!$C$1:$C$1000,'[2]ANTICIPOS SAN FERMÍN'!$L$1:$L$1000))</f>
        <v/>
      </c>
      <c r="P174" s="39"/>
      <c r="Q174" s="38" t="str">
        <f>IF(A174="","",_xlfn.XLOOKUP($A174,'[2]ANTICIPOS SAN FERMÍN'!$C$1:$C$1000,'[2]ANTICIPOS SAN FERMÍN'!$N$1:$N$1000))</f>
        <v/>
      </c>
      <c r="R174" s="39"/>
    </row>
    <row r="175" spans="1:18" hidden="1" x14ac:dyDescent="0.2">
      <c r="A175" s="34"/>
      <c r="B175" s="35" t="str">
        <f>IF(A175="","",_xlfn.XLOOKUP($A175,'[2]ANTICIPOS SAN FERMÍN'!$B$1:$B$1000,'[2]ANTICIPOS SAN FERMÍN'!$I$1:$I$1000))</f>
        <v/>
      </c>
      <c r="C175" s="36" t="str">
        <f>IF(A175="","",IF(_xlfn.XLOOKUP($A175,'[2]ANTICIPOS SAN FERMÍN'!$B$1:$B$1000,'[2]ANTICIPOS SAN FERMÍN'!$K$1:$K$1000)="","",_xlfn.XLOOKUP($A175,'[2]ANTICIPOS SAN FERMÍN'!$B$1:$B$1000,'[2]ANTICIPOS SAN FERMÍN'!$K$1:$K$1000)))</f>
        <v/>
      </c>
      <c r="D175" s="37" t="str">
        <f>IF(A175="","",_xlfn.XLOOKUP($A175,'[2]ANTICIPOS SAN FERMÍN'!$B$1:$B$1000,'[2]ANTICIPOS SAN FERMÍN'!$M$1:$M$1000))</f>
        <v/>
      </c>
      <c r="E175" s="37" t="str">
        <f>IF(A175="","",_xlfn.XLOOKUP($A175,'[2]ANTICIPOS SAN FERMÍN'!$B$1:$B$1000,'[2]ANTICIPOS SAN FERMÍN'!$O$1:$O$1000))</f>
        <v/>
      </c>
      <c r="F175" s="52"/>
      <c r="G175" s="52"/>
      <c r="H175" s="53"/>
      <c r="I175" s="38" t="str">
        <f>IF(A175="","",_xlfn.XLOOKUP($A175,'[2]ANTICIPOS SAN FERMÍN'!$C$1:$C$1000,'[2]ANTICIPOS SAN FERMÍN'!$H$1:$H$1000))</f>
        <v/>
      </c>
      <c r="J175" s="39"/>
      <c r="K175" s="38" t="str">
        <f>IF(A175="","",_xlfn.XLOOKUP($A175,'[2]ANTICIPOS SAN FERMÍN'!$C$1:$C$1000,'[2]ANTICIPOS SAN FERMÍN'!$I$1:$I$1000))</f>
        <v/>
      </c>
      <c r="L175" s="39"/>
      <c r="M175" s="38" t="str">
        <f>IF(A175="","",_xlfn.XLOOKUP($A175,'[2]ANTICIPOS SAN FERMÍN'!$C$1:$C$1000,'[2]ANTICIPOS SAN FERMÍN'!$J$1:$J$1000))</f>
        <v/>
      </c>
      <c r="N175" s="39"/>
      <c r="O175" s="38" t="str">
        <f>IF(A175="","",_xlfn.XLOOKUP($A175,'[2]ANTICIPOS SAN FERMÍN'!$C$1:$C$1000,'[2]ANTICIPOS SAN FERMÍN'!$L$1:$L$1000))</f>
        <v/>
      </c>
      <c r="P175" s="39"/>
      <c r="Q175" s="38" t="str">
        <f>IF(A175="","",_xlfn.XLOOKUP($A175,'[2]ANTICIPOS SAN FERMÍN'!$C$1:$C$1000,'[2]ANTICIPOS SAN FERMÍN'!$N$1:$N$1000))</f>
        <v/>
      </c>
      <c r="R175" s="39"/>
    </row>
    <row r="176" spans="1:18" hidden="1" x14ac:dyDescent="0.2">
      <c r="A176" s="34"/>
      <c r="B176" s="35" t="str">
        <f>IF(A176="","",_xlfn.XLOOKUP($A176,'[2]ANTICIPOS SAN FERMÍN'!$B$1:$B$1000,'[2]ANTICIPOS SAN FERMÍN'!$I$1:$I$1000))</f>
        <v/>
      </c>
      <c r="C176" s="36" t="str">
        <f>IF(A176="","",IF(_xlfn.XLOOKUP($A176,'[2]ANTICIPOS SAN FERMÍN'!$B$1:$B$1000,'[2]ANTICIPOS SAN FERMÍN'!$K$1:$K$1000)="","",_xlfn.XLOOKUP($A176,'[2]ANTICIPOS SAN FERMÍN'!$B$1:$B$1000,'[2]ANTICIPOS SAN FERMÍN'!$K$1:$K$1000)))</f>
        <v/>
      </c>
      <c r="D176" s="37" t="str">
        <f>IF(A176="","",_xlfn.XLOOKUP($A176,'[2]ANTICIPOS SAN FERMÍN'!$B$1:$B$1000,'[2]ANTICIPOS SAN FERMÍN'!$M$1:$M$1000))</f>
        <v/>
      </c>
      <c r="E176" s="37" t="str">
        <f>IF(A176="","",_xlfn.XLOOKUP($A176,'[2]ANTICIPOS SAN FERMÍN'!$B$1:$B$1000,'[2]ANTICIPOS SAN FERMÍN'!$O$1:$O$1000))</f>
        <v/>
      </c>
      <c r="F176" s="52"/>
      <c r="G176" s="52"/>
      <c r="H176" s="53"/>
      <c r="I176" s="38" t="str">
        <f>IF(A176="","",_xlfn.XLOOKUP($A176,'[2]ANTICIPOS SAN FERMÍN'!$C$1:$C$1000,'[2]ANTICIPOS SAN FERMÍN'!$H$1:$H$1000))</f>
        <v/>
      </c>
      <c r="J176" s="39"/>
      <c r="K176" s="38" t="str">
        <f>IF(A176="","",_xlfn.XLOOKUP($A176,'[2]ANTICIPOS SAN FERMÍN'!$C$1:$C$1000,'[2]ANTICIPOS SAN FERMÍN'!$I$1:$I$1000))</f>
        <v/>
      </c>
      <c r="L176" s="39"/>
      <c r="M176" s="38" t="str">
        <f>IF(A176="","",_xlfn.XLOOKUP($A176,'[2]ANTICIPOS SAN FERMÍN'!$C$1:$C$1000,'[2]ANTICIPOS SAN FERMÍN'!$J$1:$J$1000))</f>
        <v/>
      </c>
      <c r="N176" s="39"/>
      <c r="O176" s="38" t="str">
        <f>IF(A176="","",_xlfn.XLOOKUP($A176,'[2]ANTICIPOS SAN FERMÍN'!$C$1:$C$1000,'[2]ANTICIPOS SAN FERMÍN'!$L$1:$L$1000))</f>
        <v/>
      </c>
      <c r="P176" s="39"/>
      <c r="Q176" s="38" t="str">
        <f>IF(A176="","",_xlfn.XLOOKUP($A176,'[2]ANTICIPOS SAN FERMÍN'!$C$1:$C$1000,'[2]ANTICIPOS SAN FERMÍN'!$N$1:$N$1000))</f>
        <v/>
      </c>
      <c r="R176" s="39"/>
    </row>
    <row r="177" spans="1:18" hidden="1" x14ac:dyDescent="0.2">
      <c r="A177" s="34"/>
      <c r="B177" s="35" t="str">
        <f>IF(A177="","",_xlfn.XLOOKUP($A177,'[2]ANTICIPOS SAN FERMÍN'!$B$1:$B$1000,'[2]ANTICIPOS SAN FERMÍN'!$I$1:$I$1000))</f>
        <v/>
      </c>
      <c r="C177" s="36" t="str">
        <f>IF(A177="","",IF(_xlfn.XLOOKUP($A177,'[2]ANTICIPOS SAN FERMÍN'!$B$1:$B$1000,'[2]ANTICIPOS SAN FERMÍN'!$K$1:$K$1000)="","",_xlfn.XLOOKUP($A177,'[2]ANTICIPOS SAN FERMÍN'!$B$1:$B$1000,'[2]ANTICIPOS SAN FERMÍN'!$K$1:$K$1000)))</f>
        <v/>
      </c>
      <c r="D177" s="37" t="str">
        <f>IF(A177="","",_xlfn.XLOOKUP($A177,'[2]ANTICIPOS SAN FERMÍN'!$B$1:$B$1000,'[2]ANTICIPOS SAN FERMÍN'!$M$1:$M$1000))</f>
        <v/>
      </c>
      <c r="E177" s="37" t="str">
        <f>IF(A177="","",_xlfn.XLOOKUP($A177,'[2]ANTICIPOS SAN FERMÍN'!$B$1:$B$1000,'[2]ANTICIPOS SAN FERMÍN'!$O$1:$O$1000))</f>
        <v/>
      </c>
      <c r="F177" s="52"/>
      <c r="G177" s="52"/>
      <c r="H177" s="53"/>
      <c r="I177" s="38" t="str">
        <f>IF(A177="","",_xlfn.XLOOKUP($A177,'[2]ANTICIPOS SAN FERMÍN'!$C$1:$C$1000,'[2]ANTICIPOS SAN FERMÍN'!$H$1:$H$1000))</f>
        <v/>
      </c>
      <c r="J177" s="39"/>
      <c r="K177" s="38" t="str">
        <f>IF(A177="","",_xlfn.XLOOKUP($A177,'[2]ANTICIPOS SAN FERMÍN'!$C$1:$C$1000,'[2]ANTICIPOS SAN FERMÍN'!$I$1:$I$1000))</f>
        <v/>
      </c>
      <c r="L177" s="39"/>
      <c r="M177" s="38" t="str">
        <f>IF(A177="","",_xlfn.XLOOKUP($A177,'[2]ANTICIPOS SAN FERMÍN'!$C$1:$C$1000,'[2]ANTICIPOS SAN FERMÍN'!$J$1:$J$1000))</f>
        <v/>
      </c>
      <c r="N177" s="39"/>
      <c r="O177" s="38" t="str">
        <f>IF(A177="","",_xlfn.XLOOKUP($A177,'[2]ANTICIPOS SAN FERMÍN'!$C$1:$C$1000,'[2]ANTICIPOS SAN FERMÍN'!$L$1:$L$1000))</f>
        <v/>
      </c>
      <c r="P177" s="39"/>
      <c r="Q177" s="38" t="str">
        <f>IF(A177="","",_xlfn.XLOOKUP($A177,'[2]ANTICIPOS SAN FERMÍN'!$C$1:$C$1000,'[2]ANTICIPOS SAN FERMÍN'!$N$1:$N$1000))</f>
        <v/>
      </c>
      <c r="R177" s="39"/>
    </row>
    <row r="178" spans="1:18" hidden="1" x14ac:dyDescent="0.2">
      <c r="A178" s="34"/>
      <c r="B178" s="35" t="str">
        <f>IF(A178="","",_xlfn.XLOOKUP($A178,'[2]ANTICIPOS SAN FERMÍN'!$B$1:$B$1000,'[2]ANTICIPOS SAN FERMÍN'!$I$1:$I$1000))</f>
        <v/>
      </c>
      <c r="C178" s="36" t="str">
        <f>IF(A178="","",IF(_xlfn.XLOOKUP($A178,'[2]ANTICIPOS SAN FERMÍN'!$B$1:$B$1000,'[2]ANTICIPOS SAN FERMÍN'!$K$1:$K$1000)="","",_xlfn.XLOOKUP($A178,'[2]ANTICIPOS SAN FERMÍN'!$B$1:$B$1000,'[2]ANTICIPOS SAN FERMÍN'!$K$1:$K$1000)))</f>
        <v/>
      </c>
      <c r="D178" s="37" t="str">
        <f>IF(A178="","",_xlfn.XLOOKUP($A178,'[2]ANTICIPOS SAN FERMÍN'!$B$1:$B$1000,'[2]ANTICIPOS SAN FERMÍN'!$M$1:$M$1000))</f>
        <v/>
      </c>
      <c r="E178" s="37" t="str">
        <f>IF(A178="","",_xlfn.XLOOKUP($A178,'[2]ANTICIPOS SAN FERMÍN'!$B$1:$B$1000,'[2]ANTICIPOS SAN FERMÍN'!$O$1:$O$1000))</f>
        <v/>
      </c>
      <c r="F178" s="52"/>
      <c r="G178" s="52"/>
      <c r="H178" s="53"/>
      <c r="I178" s="38" t="str">
        <f>IF(A178="","",_xlfn.XLOOKUP($A178,'[2]ANTICIPOS SAN FERMÍN'!$C$1:$C$1000,'[2]ANTICIPOS SAN FERMÍN'!$H$1:$H$1000))</f>
        <v/>
      </c>
      <c r="J178" s="39"/>
      <c r="K178" s="38" t="str">
        <f>IF(A178="","",_xlfn.XLOOKUP($A178,'[2]ANTICIPOS SAN FERMÍN'!$C$1:$C$1000,'[2]ANTICIPOS SAN FERMÍN'!$I$1:$I$1000))</f>
        <v/>
      </c>
      <c r="L178" s="39"/>
      <c r="M178" s="38" t="str">
        <f>IF(A178="","",_xlfn.XLOOKUP($A178,'[2]ANTICIPOS SAN FERMÍN'!$C$1:$C$1000,'[2]ANTICIPOS SAN FERMÍN'!$J$1:$J$1000))</f>
        <v/>
      </c>
      <c r="N178" s="39"/>
      <c r="O178" s="38" t="str">
        <f>IF(A178="","",_xlfn.XLOOKUP($A178,'[2]ANTICIPOS SAN FERMÍN'!$C$1:$C$1000,'[2]ANTICIPOS SAN FERMÍN'!$L$1:$L$1000))</f>
        <v/>
      </c>
      <c r="P178" s="39"/>
      <c r="Q178" s="38" t="str">
        <f>IF(A178="","",_xlfn.XLOOKUP($A178,'[2]ANTICIPOS SAN FERMÍN'!$C$1:$C$1000,'[2]ANTICIPOS SAN FERMÍN'!$N$1:$N$1000))</f>
        <v/>
      </c>
      <c r="R178" s="39"/>
    </row>
    <row r="179" spans="1:18" hidden="1" x14ac:dyDescent="0.2">
      <c r="A179" s="34"/>
      <c r="B179" s="35" t="str">
        <f>IF(A179="","",_xlfn.XLOOKUP($A179,'[2]ANTICIPOS SAN FERMÍN'!$B$1:$B$1000,'[2]ANTICIPOS SAN FERMÍN'!$I$1:$I$1000))</f>
        <v/>
      </c>
      <c r="C179" s="36" t="str">
        <f>IF(A179="","",IF(_xlfn.XLOOKUP($A179,'[2]ANTICIPOS SAN FERMÍN'!$B$1:$B$1000,'[2]ANTICIPOS SAN FERMÍN'!$K$1:$K$1000)="","",_xlfn.XLOOKUP($A179,'[2]ANTICIPOS SAN FERMÍN'!$B$1:$B$1000,'[2]ANTICIPOS SAN FERMÍN'!$K$1:$K$1000)))</f>
        <v/>
      </c>
      <c r="D179" s="37" t="str">
        <f>IF(A179="","",_xlfn.XLOOKUP($A179,'[2]ANTICIPOS SAN FERMÍN'!$B$1:$B$1000,'[2]ANTICIPOS SAN FERMÍN'!$M$1:$M$1000))</f>
        <v/>
      </c>
      <c r="E179" s="37" t="str">
        <f>IF(A179="","",_xlfn.XLOOKUP($A179,'[2]ANTICIPOS SAN FERMÍN'!$B$1:$B$1000,'[2]ANTICIPOS SAN FERMÍN'!$O$1:$O$1000))</f>
        <v/>
      </c>
      <c r="F179" s="52"/>
      <c r="G179" s="52"/>
      <c r="H179" s="53"/>
      <c r="I179" s="38" t="str">
        <f>IF(A179="","",_xlfn.XLOOKUP($A179,'[2]ANTICIPOS SAN FERMÍN'!$C$1:$C$1000,'[2]ANTICIPOS SAN FERMÍN'!$H$1:$H$1000))</f>
        <v/>
      </c>
      <c r="J179" s="39"/>
      <c r="K179" s="38" t="str">
        <f>IF(A179="","",_xlfn.XLOOKUP($A179,'[2]ANTICIPOS SAN FERMÍN'!$C$1:$C$1000,'[2]ANTICIPOS SAN FERMÍN'!$I$1:$I$1000))</f>
        <v/>
      </c>
      <c r="L179" s="39"/>
      <c r="M179" s="38" t="str">
        <f>IF(A179="","",_xlfn.XLOOKUP($A179,'[2]ANTICIPOS SAN FERMÍN'!$C$1:$C$1000,'[2]ANTICIPOS SAN FERMÍN'!$J$1:$J$1000))</f>
        <v/>
      </c>
      <c r="N179" s="39"/>
      <c r="O179" s="38" t="str">
        <f>IF(A179="","",_xlfn.XLOOKUP($A179,'[2]ANTICIPOS SAN FERMÍN'!$C$1:$C$1000,'[2]ANTICIPOS SAN FERMÍN'!$L$1:$L$1000))</f>
        <v/>
      </c>
      <c r="P179" s="39"/>
      <c r="Q179" s="38" t="str">
        <f>IF(A179="","",_xlfn.XLOOKUP($A179,'[2]ANTICIPOS SAN FERMÍN'!$C$1:$C$1000,'[2]ANTICIPOS SAN FERMÍN'!$N$1:$N$1000))</f>
        <v/>
      </c>
      <c r="R179" s="39"/>
    </row>
    <row r="180" spans="1:18" hidden="1" x14ac:dyDescent="0.2">
      <c r="A180" s="34"/>
      <c r="B180" s="35" t="str">
        <f>IF(A180="","",_xlfn.XLOOKUP($A180,'[2]ANTICIPOS SAN FERMÍN'!$B$1:$B$1000,'[2]ANTICIPOS SAN FERMÍN'!$I$1:$I$1000))</f>
        <v/>
      </c>
      <c r="C180" s="36" t="str">
        <f>IF(A180="","",IF(_xlfn.XLOOKUP($A180,'[2]ANTICIPOS SAN FERMÍN'!$B$1:$B$1000,'[2]ANTICIPOS SAN FERMÍN'!$K$1:$K$1000)="","",_xlfn.XLOOKUP($A180,'[2]ANTICIPOS SAN FERMÍN'!$B$1:$B$1000,'[2]ANTICIPOS SAN FERMÍN'!$K$1:$K$1000)))</f>
        <v/>
      </c>
      <c r="D180" s="37" t="str">
        <f>IF(A180="","",_xlfn.XLOOKUP($A180,'[2]ANTICIPOS SAN FERMÍN'!$B$1:$B$1000,'[2]ANTICIPOS SAN FERMÍN'!$M$1:$M$1000))</f>
        <v/>
      </c>
      <c r="E180" s="37" t="str">
        <f>IF(A180="","",_xlfn.XLOOKUP($A180,'[2]ANTICIPOS SAN FERMÍN'!$B$1:$B$1000,'[2]ANTICIPOS SAN FERMÍN'!$O$1:$O$1000))</f>
        <v/>
      </c>
      <c r="F180" s="52"/>
      <c r="G180" s="52"/>
      <c r="H180" s="53"/>
      <c r="I180" s="38" t="str">
        <f>IF(A180="","",_xlfn.XLOOKUP($A180,'[2]ANTICIPOS SAN FERMÍN'!$C$1:$C$1000,'[2]ANTICIPOS SAN FERMÍN'!$H$1:$H$1000))</f>
        <v/>
      </c>
      <c r="J180" s="39"/>
      <c r="K180" s="38" t="str">
        <f>IF(A180="","",_xlfn.XLOOKUP($A180,'[2]ANTICIPOS SAN FERMÍN'!$C$1:$C$1000,'[2]ANTICIPOS SAN FERMÍN'!$I$1:$I$1000))</f>
        <v/>
      </c>
      <c r="L180" s="39"/>
      <c r="M180" s="38" t="str">
        <f>IF(A180="","",_xlfn.XLOOKUP($A180,'[2]ANTICIPOS SAN FERMÍN'!$C$1:$C$1000,'[2]ANTICIPOS SAN FERMÍN'!$J$1:$J$1000))</f>
        <v/>
      </c>
      <c r="N180" s="39"/>
      <c r="O180" s="38" t="str">
        <f>IF(A180="","",_xlfn.XLOOKUP($A180,'[2]ANTICIPOS SAN FERMÍN'!$C$1:$C$1000,'[2]ANTICIPOS SAN FERMÍN'!$L$1:$L$1000))</f>
        <v/>
      </c>
      <c r="P180" s="39"/>
      <c r="Q180" s="38" t="str">
        <f>IF(A180="","",_xlfn.XLOOKUP($A180,'[2]ANTICIPOS SAN FERMÍN'!$C$1:$C$1000,'[2]ANTICIPOS SAN FERMÍN'!$N$1:$N$1000))</f>
        <v/>
      </c>
      <c r="R180" s="39"/>
    </row>
    <row r="181" spans="1:18" hidden="1" x14ac:dyDescent="0.2">
      <c r="A181" s="34"/>
      <c r="B181" s="35" t="str">
        <f>IF(A181="","",_xlfn.XLOOKUP($A181,'[2]ANTICIPOS SAN FERMÍN'!$B$1:$B$1000,'[2]ANTICIPOS SAN FERMÍN'!$I$1:$I$1000))</f>
        <v/>
      </c>
      <c r="C181" s="36" t="str">
        <f>IF(A181="","",IF(_xlfn.XLOOKUP($A181,'[2]ANTICIPOS SAN FERMÍN'!$B$1:$B$1000,'[2]ANTICIPOS SAN FERMÍN'!$K$1:$K$1000)="","",_xlfn.XLOOKUP($A181,'[2]ANTICIPOS SAN FERMÍN'!$B$1:$B$1000,'[2]ANTICIPOS SAN FERMÍN'!$K$1:$K$1000)))</f>
        <v/>
      </c>
      <c r="D181" s="37" t="str">
        <f>IF(A181="","",_xlfn.XLOOKUP($A181,'[2]ANTICIPOS SAN FERMÍN'!$B$1:$B$1000,'[2]ANTICIPOS SAN FERMÍN'!$M$1:$M$1000))</f>
        <v/>
      </c>
      <c r="E181" s="37" t="str">
        <f>IF(A181="","",_xlfn.XLOOKUP($A181,'[2]ANTICIPOS SAN FERMÍN'!$B$1:$B$1000,'[2]ANTICIPOS SAN FERMÍN'!$O$1:$O$1000))</f>
        <v/>
      </c>
      <c r="F181" s="52"/>
      <c r="G181" s="52"/>
      <c r="H181" s="53"/>
      <c r="I181" s="38" t="str">
        <f>IF(A181="","",_xlfn.XLOOKUP($A181,'[2]ANTICIPOS SAN FERMÍN'!$C$1:$C$1000,'[2]ANTICIPOS SAN FERMÍN'!$H$1:$H$1000))</f>
        <v/>
      </c>
      <c r="J181" s="39"/>
      <c r="K181" s="38" t="str">
        <f>IF(A181="","",_xlfn.XLOOKUP($A181,'[2]ANTICIPOS SAN FERMÍN'!$C$1:$C$1000,'[2]ANTICIPOS SAN FERMÍN'!$I$1:$I$1000))</f>
        <v/>
      </c>
      <c r="L181" s="39"/>
      <c r="M181" s="38" t="str">
        <f>IF(A181="","",_xlfn.XLOOKUP($A181,'[2]ANTICIPOS SAN FERMÍN'!$C$1:$C$1000,'[2]ANTICIPOS SAN FERMÍN'!$J$1:$J$1000))</f>
        <v/>
      </c>
      <c r="N181" s="39"/>
      <c r="O181" s="38" t="str">
        <f>IF(A181="","",_xlfn.XLOOKUP($A181,'[2]ANTICIPOS SAN FERMÍN'!$C$1:$C$1000,'[2]ANTICIPOS SAN FERMÍN'!$L$1:$L$1000))</f>
        <v/>
      </c>
      <c r="P181" s="39"/>
      <c r="Q181" s="38" t="str">
        <f>IF(A181="","",_xlfn.XLOOKUP($A181,'[2]ANTICIPOS SAN FERMÍN'!$C$1:$C$1000,'[2]ANTICIPOS SAN FERMÍN'!$N$1:$N$1000))</f>
        <v/>
      </c>
      <c r="R181" s="39"/>
    </row>
    <row r="182" spans="1:18" hidden="1" x14ac:dyDescent="0.2">
      <c r="A182" s="34"/>
      <c r="B182" s="35" t="str">
        <f>IF(A182="","",_xlfn.XLOOKUP($A182,'[2]ANTICIPOS SAN FERMÍN'!$B$1:$B$1000,'[2]ANTICIPOS SAN FERMÍN'!$I$1:$I$1000))</f>
        <v/>
      </c>
      <c r="C182" s="36" t="str">
        <f>IF(A182="","",IF(_xlfn.XLOOKUP($A182,'[2]ANTICIPOS SAN FERMÍN'!$B$1:$B$1000,'[2]ANTICIPOS SAN FERMÍN'!$K$1:$K$1000)="","",_xlfn.XLOOKUP($A182,'[2]ANTICIPOS SAN FERMÍN'!$B$1:$B$1000,'[2]ANTICIPOS SAN FERMÍN'!$K$1:$K$1000)))</f>
        <v/>
      </c>
      <c r="D182" s="37" t="str">
        <f>IF(A182="","",_xlfn.XLOOKUP($A182,'[2]ANTICIPOS SAN FERMÍN'!$B$1:$B$1000,'[2]ANTICIPOS SAN FERMÍN'!$M$1:$M$1000))</f>
        <v/>
      </c>
      <c r="E182" s="37" t="str">
        <f>IF(A182="","",_xlfn.XLOOKUP($A182,'[2]ANTICIPOS SAN FERMÍN'!$B$1:$B$1000,'[2]ANTICIPOS SAN FERMÍN'!$O$1:$O$1000))</f>
        <v/>
      </c>
      <c r="F182" s="52"/>
      <c r="G182" s="52"/>
      <c r="H182" s="53"/>
      <c r="I182" s="38" t="str">
        <f>IF(A182="","",_xlfn.XLOOKUP($A182,'[2]ANTICIPOS SAN FERMÍN'!$C$1:$C$1000,'[2]ANTICIPOS SAN FERMÍN'!$H$1:$H$1000))</f>
        <v/>
      </c>
      <c r="J182" s="39"/>
      <c r="K182" s="38" t="str">
        <f>IF(A182="","",_xlfn.XLOOKUP($A182,'[2]ANTICIPOS SAN FERMÍN'!$C$1:$C$1000,'[2]ANTICIPOS SAN FERMÍN'!$I$1:$I$1000))</f>
        <v/>
      </c>
      <c r="L182" s="39"/>
      <c r="M182" s="38" t="str">
        <f>IF(A182="","",_xlfn.XLOOKUP($A182,'[2]ANTICIPOS SAN FERMÍN'!$C$1:$C$1000,'[2]ANTICIPOS SAN FERMÍN'!$J$1:$J$1000))</f>
        <v/>
      </c>
      <c r="N182" s="39"/>
      <c r="O182" s="38" t="str">
        <f>IF(A182="","",_xlfn.XLOOKUP($A182,'[2]ANTICIPOS SAN FERMÍN'!$C$1:$C$1000,'[2]ANTICIPOS SAN FERMÍN'!$L$1:$L$1000))</f>
        <v/>
      </c>
      <c r="P182" s="39"/>
      <c r="Q182" s="38" t="str">
        <f>IF(A182="","",_xlfn.XLOOKUP($A182,'[2]ANTICIPOS SAN FERMÍN'!$C$1:$C$1000,'[2]ANTICIPOS SAN FERMÍN'!$N$1:$N$1000))</f>
        <v/>
      </c>
      <c r="R182" s="39"/>
    </row>
    <row r="183" spans="1:18" hidden="1" x14ac:dyDescent="0.2">
      <c r="A183" s="34"/>
      <c r="B183" s="35" t="str">
        <f>IF(A183="","",_xlfn.XLOOKUP($A183,'[2]ANTICIPOS SAN FERMÍN'!$B$1:$B$1000,'[2]ANTICIPOS SAN FERMÍN'!$I$1:$I$1000))</f>
        <v/>
      </c>
      <c r="C183" s="36" t="str">
        <f>IF(A183="","",IF(_xlfn.XLOOKUP($A183,'[2]ANTICIPOS SAN FERMÍN'!$B$1:$B$1000,'[2]ANTICIPOS SAN FERMÍN'!$K$1:$K$1000)="","",_xlfn.XLOOKUP($A183,'[2]ANTICIPOS SAN FERMÍN'!$B$1:$B$1000,'[2]ANTICIPOS SAN FERMÍN'!$K$1:$K$1000)))</f>
        <v/>
      </c>
      <c r="D183" s="37" t="str">
        <f>IF(A183="","",_xlfn.XLOOKUP($A183,'[2]ANTICIPOS SAN FERMÍN'!$B$1:$B$1000,'[2]ANTICIPOS SAN FERMÍN'!$M$1:$M$1000))</f>
        <v/>
      </c>
      <c r="E183" s="37" t="str">
        <f>IF(A183="","",_xlfn.XLOOKUP($A183,'[2]ANTICIPOS SAN FERMÍN'!$B$1:$B$1000,'[2]ANTICIPOS SAN FERMÍN'!$O$1:$O$1000))</f>
        <v/>
      </c>
      <c r="F183" s="52"/>
      <c r="G183" s="52"/>
      <c r="H183" s="53"/>
      <c r="I183" s="38" t="str">
        <f>IF(A183="","",_xlfn.XLOOKUP($A183,'[2]ANTICIPOS SAN FERMÍN'!$C$1:$C$1000,'[2]ANTICIPOS SAN FERMÍN'!$H$1:$H$1000))</f>
        <v/>
      </c>
      <c r="J183" s="39"/>
      <c r="K183" s="38" t="str">
        <f>IF(A183="","",_xlfn.XLOOKUP($A183,'[2]ANTICIPOS SAN FERMÍN'!$C$1:$C$1000,'[2]ANTICIPOS SAN FERMÍN'!$I$1:$I$1000))</f>
        <v/>
      </c>
      <c r="L183" s="39"/>
      <c r="M183" s="38" t="str">
        <f>IF(A183="","",_xlfn.XLOOKUP($A183,'[2]ANTICIPOS SAN FERMÍN'!$C$1:$C$1000,'[2]ANTICIPOS SAN FERMÍN'!$J$1:$J$1000))</f>
        <v/>
      </c>
      <c r="N183" s="39"/>
      <c r="O183" s="38" t="str">
        <f>IF(A183="","",_xlfn.XLOOKUP($A183,'[2]ANTICIPOS SAN FERMÍN'!$C$1:$C$1000,'[2]ANTICIPOS SAN FERMÍN'!$L$1:$L$1000))</f>
        <v/>
      </c>
      <c r="P183" s="39"/>
      <c r="Q183" s="38" t="str">
        <f>IF(A183="","",_xlfn.XLOOKUP($A183,'[2]ANTICIPOS SAN FERMÍN'!$C$1:$C$1000,'[2]ANTICIPOS SAN FERMÍN'!$N$1:$N$1000))</f>
        <v/>
      </c>
      <c r="R183" s="39"/>
    </row>
    <row r="184" spans="1:18" hidden="1" x14ac:dyDescent="0.2">
      <c r="A184" s="34"/>
      <c r="B184" s="35" t="str">
        <f>IF(A184="","",_xlfn.XLOOKUP($A184,'[2]ANTICIPOS SAN FERMÍN'!$B$1:$B$1000,'[2]ANTICIPOS SAN FERMÍN'!$I$1:$I$1000))</f>
        <v/>
      </c>
      <c r="C184" s="36" t="str">
        <f>IF(A184="","",IF(_xlfn.XLOOKUP($A184,'[2]ANTICIPOS SAN FERMÍN'!$B$1:$B$1000,'[2]ANTICIPOS SAN FERMÍN'!$K$1:$K$1000)="","",_xlfn.XLOOKUP($A184,'[2]ANTICIPOS SAN FERMÍN'!$B$1:$B$1000,'[2]ANTICIPOS SAN FERMÍN'!$K$1:$K$1000)))</f>
        <v/>
      </c>
      <c r="D184" s="37" t="str">
        <f>IF(A184="","",_xlfn.XLOOKUP($A184,'[2]ANTICIPOS SAN FERMÍN'!$B$1:$B$1000,'[2]ANTICIPOS SAN FERMÍN'!$M$1:$M$1000))</f>
        <v/>
      </c>
      <c r="E184" s="37" t="str">
        <f>IF(A184="","",_xlfn.XLOOKUP($A184,'[2]ANTICIPOS SAN FERMÍN'!$B$1:$B$1000,'[2]ANTICIPOS SAN FERMÍN'!$O$1:$O$1000))</f>
        <v/>
      </c>
      <c r="F184" s="52"/>
      <c r="G184" s="52"/>
      <c r="H184" s="53"/>
      <c r="I184" s="38" t="str">
        <f>IF(A184="","",_xlfn.XLOOKUP($A184,'[2]ANTICIPOS SAN FERMÍN'!$C$1:$C$1000,'[2]ANTICIPOS SAN FERMÍN'!$H$1:$H$1000))</f>
        <v/>
      </c>
      <c r="J184" s="39"/>
      <c r="K184" s="38" t="str">
        <f>IF(A184="","",_xlfn.XLOOKUP($A184,'[2]ANTICIPOS SAN FERMÍN'!$C$1:$C$1000,'[2]ANTICIPOS SAN FERMÍN'!$I$1:$I$1000))</f>
        <v/>
      </c>
      <c r="L184" s="39"/>
      <c r="M184" s="38" t="str">
        <f>IF(A184="","",_xlfn.XLOOKUP($A184,'[2]ANTICIPOS SAN FERMÍN'!$C$1:$C$1000,'[2]ANTICIPOS SAN FERMÍN'!$J$1:$J$1000))</f>
        <v/>
      </c>
      <c r="N184" s="39"/>
      <c r="O184" s="38" t="str">
        <f>IF(A184="","",_xlfn.XLOOKUP($A184,'[2]ANTICIPOS SAN FERMÍN'!$C$1:$C$1000,'[2]ANTICIPOS SAN FERMÍN'!$L$1:$L$1000))</f>
        <v/>
      </c>
      <c r="P184" s="39"/>
      <c r="Q184" s="38" t="str">
        <f>IF(A184="","",_xlfn.XLOOKUP($A184,'[2]ANTICIPOS SAN FERMÍN'!$C$1:$C$1000,'[2]ANTICIPOS SAN FERMÍN'!$N$1:$N$1000))</f>
        <v/>
      </c>
      <c r="R184" s="39"/>
    </row>
    <row r="185" spans="1:18" hidden="1" x14ac:dyDescent="0.2">
      <c r="A185" s="34"/>
      <c r="B185" s="35" t="str">
        <f>IF(A185="","",_xlfn.XLOOKUP($A185,'[2]ANTICIPOS SAN FERMÍN'!$B$1:$B$1000,'[2]ANTICIPOS SAN FERMÍN'!$I$1:$I$1000))</f>
        <v/>
      </c>
      <c r="C185" s="36" t="str">
        <f>IF(A185="","",IF(_xlfn.XLOOKUP($A185,'[2]ANTICIPOS SAN FERMÍN'!$B$1:$B$1000,'[2]ANTICIPOS SAN FERMÍN'!$K$1:$K$1000)="","",_xlfn.XLOOKUP($A185,'[2]ANTICIPOS SAN FERMÍN'!$B$1:$B$1000,'[2]ANTICIPOS SAN FERMÍN'!$K$1:$K$1000)))</f>
        <v/>
      </c>
      <c r="D185" s="37" t="str">
        <f>IF(A185="","",_xlfn.XLOOKUP($A185,'[2]ANTICIPOS SAN FERMÍN'!$B$1:$B$1000,'[2]ANTICIPOS SAN FERMÍN'!$M$1:$M$1000))</f>
        <v/>
      </c>
      <c r="E185" s="37" t="str">
        <f>IF(A185="","",_xlfn.XLOOKUP($A185,'[2]ANTICIPOS SAN FERMÍN'!$B$1:$B$1000,'[2]ANTICIPOS SAN FERMÍN'!$O$1:$O$1000))</f>
        <v/>
      </c>
      <c r="F185" s="52"/>
      <c r="G185" s="52"/>
      <c r="H185" s="53"/>
      <c r="I185" s="38" t="str">
        <f>IF(A185="","",_xlfn.XLOOKUP($A185,'[2]ANTICIPOS SAN FERMÍN'!$C$1:$C$1000,'[2]ANTICIPOS SAN FERMÍN'!$H$1:$H$1000))</f>
        <v/>
      </c>
      <c r="J185" s="39"/>
      <c r="K185" s="38" t="str">
        <f>IF(A185="","",_xlfn.XLOOKUP($A185,'[2]ANTICIPOS SAN FERMÍN'!$C$1:$C$1000,'[2]ANTICIPOS SAN FERMÍN'!$I$1:$I$1000))</f>
        <v/>
      </c>
      <c r="L185" s="39"/>
      <c r="M185" s="38" t="str">
        <f>IF(A185="","",_xlfn.XLOOKUP($A185,'[2]ANTICIPOS SAN FERMÍN'!$C$1:$C$1000,'[2]ANTICIPOS SAN FERMÍN'!$J$1:$J$1000))</f>
        <v/>
      </c>
      <c r="N185" s="39"/>
      <c r="O185" s="38" t="str">
        <f>IF(A185="","",_xlfn.XLOOKUP($A185,'[2]ANTICIPOS SAN FERMÍN'!$C$1:$C$1000,'[2]ANTICIPOS SAN FERMÍN'!$L$1:$L$1000))</f>
        <v/>
      </c>
      <c r="P185" s="39"/>
      <c r="Q185" s="38" t="str">
        <f>IF(A185="","",_xlfn.XLOOKUP($A185,'[2]ANTICIPOS SAN FERMÍN'!$C$1:$C$1000,'[2]ANTICIPOS SAN FERMÍN'!$N$1:$N$1000))</f>
        <v/>
      </c>
      <c r="R185" s="39"/>
    </row>
    <row r="186" spans="1:18" hidden="1" x14ac:dyDescent="0.2">
      <c r="A186" s="34"/>
      <c r="B186" s="35" t="str">
        <f>IF(A186="","",_xlfn.XLOOKUP($A186,'[2]ANTICIPOS SAN FERMÍN'!$B$1:$B$1000,'[2]ANTICIPOS SAN FERMÍN'!$I$1:$I$1000))</f>
        <v/>
      </c>
      <c r="C186" s="36" t="str">
        <f>IF(A186="","",IF(_xlfn.XLOOKUP($A186,'[2]ANTICIPOS SAN FERMÍN'!$B$1:$B$1000,'[2]ANTICIPOS SAN FERMÍN'!$K$1:$K$1000)="","",_xlfn.XLOOKUP($A186,'[2]ANTICIPOS SAN FERMÍN'!$B$1:$B$1000,'[2]ANTICIPOS SAN FERMÍN'!$K$1:$K$1000)))</f>
        <v/>
      </c>
      <c r="D186" s="37" t="str">
        <f>IF(A186="","",_xlfn.XLOOKUP($A186,'[2]ANTICIPOS SAN FERMÍN'!$B$1:$B$1000,'[2]ANTICIPOS SAN FERMÍN'!$M$1:$M$1000))</f>
        <v/>
      </c>
      <c r="E186" s="37" t="str">
        <f>IF(A186="","",_xlfn.XLOOKUP($A186,'[2]ANTICIPOS SAN FERMÍN'!$B$1:$B$1000,'[2]ANTICIPOS SAN FERMÍN'!$O$1:$O$1000))</f>
        <v/>
      </c>
      <c r="F186" s="52"/>
      <c r="G186" s="52"/>
      <c r="H186" s="53"/>
      <c r="I186" s="38" t="str">
        <f>IF(A186="","",_xlfn.XLOOKUP($A186,'[2]ANTICIPOS SAN FERMÍN'!$C$1:$C$1000,'[2]ANTICIPOS SAN FERMÍN'!$H$1:$H$1000))</f>
        <v/>
      </c>
      <c r="J186" s="39"/>
      <c r="K186" s="38" t="str">
        <f>IF(A186="","",_xlfn.XLOOKUP($A186,'[2]ANTICIPOS SAN FERMÍN'!$C$1:$C$1000,'[2]ANTICIPOS SAN FERMÍN'!$I$1:$I$1000))</f>
        <v/>
      </c>
      <c r="L186" s="39"/>
      <c r="M186" s="38" t="str">
        <f>IF(A186="","",_xlfn.XLOOKUP($A186,'[2]ANTICIPOS SAN FERMÍN'!$C$1:$C$1000,'[2]ANTICIPOS SAN FERMÍN'!$J$1:$J$1000))</f>
        <v/>
      </c>
      <c r="N186" s="39"/>
      <c r="O186" s="38" t="str">
        <f>IF(A186="","",_xlfn.XLOOKUP($A186,'[2]ANTICIPOS SAN FERMÍN'!$C$1:$C$1000,'[2]ANTICIPOS SAN FERMÍN'!$L$1:$L$1000))</f>
        <v/>
      </c>
      <c r="P186" s="39"/>
      <c r="Q186" s="38" t="str">
        <f>IF(A186="","",_xlfn.XLOOKUP($A186,'[2]ANTICIPOS SAN FERMÍN'!$C$1:$C$1000,'[2]ANTICIPOS SAN FERMÍN'!$N$1:$N$1000))</f>
        <v/>
      </c>
      <c r="R186" s="39"/>
    </row>
    <row r="187" spans="1:18" hidden="1" x14ac:dyDescent="0.2">
      <c r="A187" s="34"/>
      <c r="B187" s="35" t="str">
        <f>IF(A187="","",_xlfn.XLOOKUP($A187,'[2]ANTICIPOS SAN FERMÍN'!$B$1:$B$1000,'[2]ANTICIPOS SAN FERMÍN'!$I$1:$I$1000))</f>
        <v/>
      </c>
      <c r="C187" s="36" t="str">
        <f>IF(A187="","",IF(_xlfn.XLOOKUP($A187,'[2]ANTICIPOS SAN FERMÍN'!$B$1:$B$1000,'[2]ANTICIPOS SAN FERMÍN'!$K$1:$K$1000)="","",_xlfn.XLOOKUP($A187,'[2]ANTICIPOS SAN FERMÍN'!$B$1:$B$1000,'[2]ANTICIPOS SAN FERMÍN'!$K$1:$K$1000)))</f>
        <v/>
      </c>
      <c r="D187" s="37" t="str">
        <f>IF(A187="","",_xlfn.XLOOKUP($A187,'[2]ANTICIPOS SAN FERMÍN'!$B$1:$B$1000,'[2]ANTICIPOS SAN FERMÍN'!$M$1:$M$1000))</f>
        <v/>
      </c>
      <c r="E187" s="37" t="str">
        <f>IF(A187="","",_xlfn.XLOOKUP($A187,'[2]ANTICIPOS SAN FERMÍN'!$B$1:$B$1000,'[2]ANTICIPOS SAN FERMÍN'!$O$1:$O$1000))</f>
        <v/>
      </c>
      <c r="F187" s="52"/>
      <c r="G187" s="52"/>
      <c r="H187" s="53"/>
      <c r="I187" s="38" t="str">
        <f>IF(A187="","",_xlfn.XLOOKUP($A187,'[2]ANTICIPOS SAN FERMÍN'!$C$1:$C$1000,'[2]ANTICIPOS SAN FERMÍN'!$H$1:$H$1000))</f>
        <v/>
      </c>
      <c r="J187" s="39"/>
      <c r="K187" s="38" t="str">
        <f>IF(A187="","",_xlfn.XLOOKUP($A187,'[2]ANTICIPOS SAN FERMÍN'!$C$1:$C$1000,'[2]ANTICIPOS SAN FERMÍN'!$I$1:$I$1000))</f>
        <v/>
      </c>
      <c r="L187" s="39"/>
      <c r="M187" s="38" t="str">
        <f>IF(A187="","",_xlfn.XLOOKUP($A187,'[2]ANTICIPOS SAN FERMÍN'!$C$1:$C$1000,'[2]ANTICIPOS SAN FERMÍN'!$J$1:$J$1000))</f>
        <v/>
      </c>
      <c r="N187" s="39"/>
      <c r="O187" s="38" t="str">
        <f>IF(A187="","",_xlfn.XLOOKUP($A187,'[2]ANTICIPOS SAN FERMÍN'!$C$1:$C$1000,'[2]ANTICIPOS SAN FERMÍN'!$L$1:$L$1000))</f>
        <v/>
      </c>
      <c r="P187" s="39"/>
      <c r="Q187" s="38" t="str">
        <f>IF(A187="","",_xlfn.XLOOKUP($A187,'[2]ANTICIPOS SAN FERMÍN'!$C$1:$C$1000,'[2]ANTICIPOS SAN FERMÍN'!$N$1:$N$1000))</f>
        <v/>
      </c>
      <c r="R187" s="39"/>
    </row>
    <row r="188" spans="1:18" hidden="1" x14ac:dyDescent="0.2">
      <c r="A188" s="34"/>
      <c r="B188" s="35" t="str">
        <f>IF(A188="","",_xlfn.XLOOKUP($A188,'[2]ANTICIPOS SAN FERMÍN'!$B$1:$B$1000,'[2]ANTICIPOS SAN FERMÍN'!$I$1:$I$1000))</f>
        <v/>
      </c>
      <c r="C188" s="36" t="str">
        <f>IF(A188="","",IF(_xlfn.XLOOKUP($A188,'[2]ANTICIPOS SAN FERMÍN'!$B$1:$B$1000,'[2]ANTICIPOS SAN FERMÍN'!$K$1:$K$1000)="","",_xlfn.XLOOKUP($A188,'[2]ANTICIPOS SAN FERMÍN'!$B$1:$B$1000,'[2]ANTICIPOS SAN FERMÍN'!$K$1:$K$1000)))</f>
        <v/>
      </c>
      <c r="D188" s="37" t="str">
        <f>IF(A188="","",_xlfn.XLOOKUP($A188,'[2]ANTICIPOS SAN FERMÍN'!$B$1:$B$1000,'[2]ANTICIPOS SAN FERMÍN'!$M$1:$M$1000))</f>
        <v/>
      </c>
      <c r="E188" s="37" t="str">
        <f>IF(A188="","",_xlfn.XLOOKUP($A188,'[2]ANTICIPOS SAN FERMÍN'!$B$1:$B$1000,'[2]ANTICIPOS SAN FERMÍN'!$O$1:$O$1000))</f>
        <v/>
      </c>
      <c r="F188" s="52"/>
      <c r="G188" s="52"/>
      <c r="H188" s="53"/>
      <c r="I188" s="38" t="str">
        <f>IF(A188="","",_xlfn.XLOOKUP($A188,'[2]ANTICIPOS SAN FERMÍN'!$C$1:$C$1000,'[2]ANTICIPOS SAN FERMÍN'!$H$1:$H$1000))</f>
        <v/>
      </c>
      <c r="J188" s="39"/>
      <c r="K188" s="38" t="str">
        <f>IF(A188="","",_xlfn.XLOOKUP($A188,'[2]ANTICIPOS SAN FERMÍN'!$C$1:$C$1000,'[2]ANTICIPOS SAN FERMÍN'!$I$1:$I$1000))</f>
        <v/>
      </c>
      <c r="L188" s="39"/>
      <c r="M188" s="38" t="str">
        <f>IF(A188="","",_xlfn.XLOOKUP($A188,'[2]ANTICIPOS SAN FERMÍN'!$C$1:$C$1000,'[2]ANTICIPOS SAN FERMÍN'!$J$1:$J$1000))</f>
        <v/>
      </c>
      <c r="N188" s="39"/>
      <c r="O188" s="38" t="str">
        <f>IF(A188="","",_xlfn.XLOOKUP($A188,'[2]ANTICIPOS SAN FERMÍN'!$C$1:$C$1000,'[2]ANTICIPOS SAN FERMÍN'!$L$1:$L$1000))</f>
        <v/>
      </c>
      <c r="P188" s="39"/>
      <c r="Q188" s="38" t="str">
        <f>IF(A188="","",_xlfn.XLOOKUP($A188,'[2]ANTICIPOS SAN FERMÍN'!$C$1:$C$1000,'[2]ANTICIPOS SAN FERMÍN'!$N$1:$N$1000))</f>
        <v/>
      </c>
      <c r="R188" s="39"/>
    </row>
    <row r="189" spans="1:18" hidden="1" x14ac:dyDescent="0.2">
      <c r="A189" s="34"/>
      <c r="B189" s="35" t="str">
        <f>IF(A189="","",_xlfn.XLOOKUP($A189,'[2]ANTICIPOS SAN FERMÍN'!$B$1:$B$1000,'[2]ANTICIPOS SAN FERMÍN'!$I$1:$I$1000))</f>
        <v/>
      </c>
      <c r="C189" s="36" t="str">
        <f>IF(A189="","",IF(_xlfn.XLOOKUP($A189,'[2]ANTICIPOS SAN FERMÍN'!$B$1:$B$1000,'[2]ANTICIPOS SAN FERMÍN'!$K$1:$K$1000)="","",_xlfn.XLOOKUP($A189,'[2]ANTICIPOS SAN FERMÍN'!$B$1:$B$1000,'[2]ANTICIPOS SAN FERMÍN'!$K$1:$K$1000)))</f>
        <v/>
      </c>
      <c r="D189" s="37" t="str">
        <f>IF(A189="","",_xlfn.XLOOKUP($A189,'[2]ANTICIPOS SAN FERMÍN'!$B$1:$B$1000,'[2]ANTICIPOS SAN FERMÍN'!$M$1:$M$1000))</f>
        <v/>
      </c>
      <c r="E189" s="37" t="str">
        <f>IF(A189="","",_xlfn.XLOOKUP($A189,'[2]ANTICIPOS SAN FERMÍN'!$B$1:$B$1000,'[2]ANTICIPOS SAN FERMÍN'!$O$1:$O$1000))</f>
        <v/>
      </c>
      <c r="F189" s="52"/>
      <c r="G189" s="52"/>
      <c r="H189" s="53"/>
      <c r="I189" s="38" t="str">
        <f>IF(A189="","",_xlfn.XLOOKUP($A189,'[2]ANTICIPOS SAN FERMÍN'!$C$1:$C$1000,'[2]ANTICIPOS SAN FERMÍN'!$H$1:$H$1000))</f>
        <v/>
      </c>
      <c r="J189" s="39"/>
      <c r="K189" s="38" t="str">
        <f>IF(A189="","",_xlfn.XLOOKUP($A189,'[2]ANTICIPOS SAN FERMÍN'!$C$1:$C$1000,'[2]ANTICIPOS SAN FERMÍN'!$I$1:$I$1000))</f>
        <v/>
      </c>
      <c r="L189" s="39"/>
      <c r="M189" s="38" t="str">
        <f>IF(A189="","",_xlfn.XLOOKUP($A189,'[2]ANTICIPOS SAN FERMÍN'!$C$1:$C$1000,'[2]ANTICIPOS SAN FERMÍN'!$J$1:$J$1000))</f>
        <v/>
      </c>
      <c r="N189" s="39"/>
      <c r="O189" s="38" t="str">
        <f>IF(A189="","",_xlfn.XLOOKUP($A189,'[2]ANTICIPOS SAN FERMÍN'!$C$1:$C$1000,'[2]ANTICIPOS SAN FERMÍN'!$L$1:$L$1000))</f>
        <v/>
      </c>
      <c r="P189" s="39"/>
      <c r="Q189" s="38" t="str">
        <f>IF(A189="","",_xlfn.XLOOKUP($A189,'[2]ANTICIPOS SAN FERMÍN'!$C$1:$C$1000,'[2]ANTICIPOS SAN FERMÍN'!$N$1:$N$1000))</f>
        <v/>
      </c>
      <c r="R189" s="39"/>
    </row>
    <row r="190" spans="1:18" hidden="1" x14ac:dyDescent="0.2">
      <c r="A190" s="34"/>
      <c r="B190" s="35" t="str">
        <f>IF(A190="","",_xlfn.XLOOKUP($A190,'[2]ANTICIPOS SAN FERMÍN'!$B$1:$B$1000,'[2]ANTICIPOS SAN FERMÍN'!$I$1:$I$1000))</f>
        <v/>
      </c>
      <c r="C190" s="36" t="str">
        <f>IF(A190="","",IF(_xlfn.XLOOKUP($A190,'[2]ANTICIPOS SAN FERMÍN'!$B$1:$B$1000,'[2]ANTICIPOS SAN FERMÍN'!$K$1:$K$1000)="","",_xlfn.XLOOKUP($A190,'[2]ANTICIPOS SAN FERMÍN'!$B$1:$B$1000,'[2]ANTICIPOS SAN FERMÍN'!$K$1:$K$1000)))</f>
        <v/>
      </c>
      <c r="D190" s="37" t="str">
        <f>IF(A190="","",_xlfn.XLOOKUP($A190,'[2]ANTICIPOS SAN FERMÍN'!$B$1:$B$1000,'[2]ANTICIPOS SAN FERMÍN'!$M$1:$M$1000))</f>
        <v/>
      </c>
      <c r="E190" s="37" t="str">
        <f>IF(A190="","",_xlfn.XLOOKUP($A190,'[2]ANTICIPOS SAN FERMÍN'!$B$1:$B$1000,'[2]ANTICIPOS SAN FERMÍN'!$O$1:$O$1000))</f>
        <v/>
      </c>
      <c r="F190" s="52"/>
      <c r="G190" s="52"/>
      <c r="H190" s="53"/>
      <c r="I190" s="38" t="str">
        <f>IF(A190="","",_xlfn.XLOOKUP($A190,'[2]ANTICIPOS SAN FERMÍN'!$C$1:$C$1000,'[2]ANTICIPOS SAN FERMÍN'!$H$1:$H$1000))</f>
        <v/>
      </c>
      <c r="J190" s="39"/>
      <c r="K190" s="38" t="str">
        <f>IF(A190="","",_xlfn.XLOOKUP($A190,'[2]ANTICIPOS SAN FERMÍN'!$C$1:$C$1000,'[2]ANTICIPOS SAN FERMÍN'!$I$1:$I$1000))</f>
        <v/>
      </c>
      <c r="L190" s="39"/>
      <c r="M190" s="38" t="str">
        <f>IF(A190="","",_xlfn.XLOOKUP($A190,'[2]ANTICIPOS SAN FERMÍN'!$C$1:$C$1000,'[2]ANTICIPOS SAN FERMÍN'!$J$1:$J$1000))</f>
        <v/>
      </c>
      <c r="N190" s="39"/>
      <c r="O190" s="38" t="str">
        <f>IF(A190="","",_xlfn.XLOOKUP($A190,'[2]ANTICIPOS SAN FERMÍN'!$C$1:$C$1000,'[2]ANTICIPOS SAN FERMÍN'!$L$1:$L$1000))</f>
        <v/>
      </c>
      <c r="P190" s="39"/>
      <c r="Q190" s="38" t="str">
        <f>IF(A190="","",_xlfn.XLOOKUP($A190,'[2]ANTICIPOS SAN FERMÍN'!$C$1:$C$1000,'[2]ANTICIPOS SAN FERMÍN'!$N$1:$N$1000))</f>
        <v/>
      </c>
      <c r="R190" s="39"/>
    </row>
    <row r="191" spans="1:18" hidden="1" x14ac:dyDescent="0.2">
      <c r="A191" s="34"/>
      <c r="B191" s="35" t="str">
        <f>IF(A191="","",_xlfn.XLOOKUP($A191,'[2]ANTICIPOS SAN FERMÍN'!$B$1:$B$1000,'[2]ANTICIPOS SAN FERMÍN'!$I$1:$I$1000))</f>
        <v/>
      </c>
      <c r="C191" s="36" t="str">
        <f>IF(A191="","",IF(_xlfn.XLOOKUP($A191,'[2]ANTICIPOS SAN FERMÍN'!$B$1:$B$1000,'[2]ANTICIPOS SAN FERMÍN'!$K$1:$K$1000)="","",_xlfn.XLOOKUP($A191,'[2]ANTICIPOS SAN FERMÍN'!$B$1:$B$1000,'[2]ANTICIPOS SAN FERMÍN'!$K$1:$K$1000)))</f>
        <v/>
      </c>
      <c r="D191" s="37" t="str">
        <f>IF(A191="","",_xlfn.XLOOKUP($A191,'[2]ANTICIPOS SAN FERMÍN'!$B$1:$B$1000,'[2]ANTICIPOS SAN FERMÍN'!$M$1:$M$1000))</f>
        <v/>
      </c>
      <c r="E191" s="37" t="str">
        <f>IF(A191="","",_xlfn.XLOOKUP($A191,'[2]ANTICIPOS SAN FERMÍN'!$B$1:$B$1000,'[2]ANTICIPOS SAN FERMÍN'!$O$1:$O$1000))</f>
        <v/>
      </c>
      <c r="F191" s="52"/>
      <c r="G191" s="52"/>
      <c r="H191" s="53"/>
      <c r="I191" s="38" t="str">
        <f>IF(A191="","",_xlfn.XLOOKUP($A191,'[2]ANTICIPOS SAN FERMÍN'!$C$1:$C$1000,'[2]ANTICIPOS SAN FERMÍN'!$H$1:$H$1000))</f>
        <v/>
      </c>
      <c r="J191" s="39"/>
      <c r="K191" s="38" t="str">
        <f>IF(A191="","",_xlfn.XLOOKUP($A191,'[2]ANTICIPOS SAN FERMÍN'!$C$1:$C$1000,'[2]ANTICIPOS SAN FERMÍN'!$I$1:$I$1000))</f>
        <v/>
      </c>
      <c r="L191" s="39"/>
      <c r="M191" s="38" t="str">
        <f>IF(A191="","",_xlfn.XLOOKUP($A191,'[2]ANTICIPOS SAN FERMÍN'!$C$1:$C$1000,'[2]ANTICIPOS SAN FERMÍN'!$J$1:$J$1000))</f>
        <v/>
      </c>
      <c r="N191" s="39"/>
      <c r="O191" s="38" t="str">
        <f>IF(A191="","",_xlfn.XLOOKUP($A191,'[2]ANTICIPOS SAN FERMÍN'!$C$1:$C$1000,'[2]ANTICIPOS SAN FERMÍN'!$L$1:$L$1000))</f>
        <v/>
      </c>
      <c r="P191" s="39"/>
      <c r="Q191" s="38" t="str">
        <f>IF(A191="","",_xlfn.XLOOKUP($A191,'[2]ANTICIPOS SAN FERMÍN'!$C$1:$C$1000,'[2]ANTICIPOS SAN FERMÍN'!$N$1:$N$1000))</f>
        <v/>
      </c>
      <c r="R191" s="39"/>
    </row>
    <row r="192" spans="1:18" hidden="1" x14ac:dyDescent="0.2">
      <c r="A192" s="34"/>
      <c r="B192" s="35" t="str">
        <f>IF(A192="","",_xlfn.XLOOKUP($A192,'[2]ANTICIPOS SAN FERMÍN'!$B$1:$B$1000,'[2]ANTICIPOS SAN FERMÍN'!$I$1:$I$1000))</f>
        <v/>
      </c>
      <c r="C192" s="36" t="str">
        <f>IF(A192="","",IF(_xlfn.XLOOKUP($A192,'[2]ANTICIPOS SAN FERMÍN'!$B$1:$B$1000,'[2]ANTICIPOS SAN FERMÍN'!$K$1:$K$1000)="","",_xlfn.XLOOKUP($A192,'[2]ANTICIPOS SAN FERMÍN'!$B$1:$B$1000,'[2]ANTICIPOS SAN FERMÍN'!$K$1:$K$1000)))</f>
        <v/>
      </c>
      <c r="D192" s="37" t="str">
        <f>IF(A192="","",_xlfn.XLOOKUP($A192,'[2]ANTICIPOS SAN FERMÍN'!$B$1:$B$1000,'[2]ANTICIPOS SAN FERMÍN'!$M$1:$M$1000))</f>
        <v/>
      </c>
      <c r="E192" s="37" t="str">
        <f>IF(A192="","",_xlfn.XLOOKUP($A192,'[2]ANTICIPOS SAN FERMÍN'!$B$1:$B$1000,'[2]ANTICIPOS SAN FERMÍN'!$O$1:$O$1000))</f>
        <v/>
      </c>
      <c r="F192" s="52"/>
      <c r="G192" s="52"/>
      <c r="H192" s="53"/>
      <c r="I192" s="38" t="str">
        <f>IF(A192="","",_xlfn.XLOOKUP($A192,'[2]ANTICIPOS SAN FERMÍN'!$C$1:$C$1000,'[2]ANTICIPOS SAN FERMÍN'!$H$1:$H$1000))</f>
        <v/>
      </c>
      <c r="J192" s="39"/>
      <c r="K192" s="38" t="str">
        <f>IF(A192="","",_xlfn.XLOOKUP($A192,'[2]ANTICIPOS SAN FERMÍN'!$C$1:$C$1000,'[2]ANTICIPOS SAN FERMÍN'!$I$1:$I$1000))</f>
        <v/>
      </c>
      <c r="L192" s="39"/>
      <c r="M192" s="38" t="str">
        <f>IF(A192="","",_xlfn.XLOOKUP($A192,'[2]ANTICIPOS SAN FERMÍN'!$C$1:$C$1000,'[2]ANTICIPOS SAN FERMÍN'!$J$1:$J$1000))</f>
        <v/>
      </c>
      <c r="N192" s="39"/>
      <c r="O192" s="38" t="str">
        <f>IF(A192="","",_xlfn.XLOOKUP($A192,'[2]ANTICIPOS SAN FERMÍN'!$C$1:$C$1000,'[2]ANTICIPOS SAN FERMÍN'!$L$1:$L$1000))</f>
        <v/>
      </c>
      <c r="P192" s="39"/>
      <c r="Q192" s="38" t="str">
        <f>IF(A192="","",_xlfn.XLOOKUP($A192,'[2]ANTICIPOS SAN FERMÍN'!$C$1:$C$1000,'[2]ANTICIPOS SAN FERMÍN'!$N$1:$N$1000))</f>
        <v/>
      </c>
      <c r="R192" s="39"/>
    </row>
    <row r="193" spans="1:18" hidden="1" x14ac:dyDescent="0.2">
      <c r="A193" s="34"/>
      <c r="B193" s="35" t="str">
        <f>IF(A193="","",_xlfn.XLOOKUP($A193,'[2]ANTICIPOS SAN FERMÍN'!$B$1:$B$1000,'[2]ANTICIPOS SAN FERMÍN'!$I$1:$I$1000))</f>
        <v/>
      </c>
      <c r="C193" s="36" t="str">
        <f>IF(A193="","",IF(_xlfn.XLOOKUP($A193,'[2]ANTICIPOS SAN FERMÍN'!$B$1:$B$1000,'[2]ANTICIPOS SAN FERMÍN'!$K$1:$K$1000)="","",_xlfn.XLOOKUP($A193,'[2]ANTICIPOS SAN FERMÍN'!$B$1:$B$1000,'[2]ANTICIPOS SAN FERMÍN'!$K$1:$K$1000)))</f>
        <v/>
      </c>
      <c r="D193" s="37" t="str">
        <f>IF(A193="","",_xlfn.XLOOKUP($A193,'[2]ANTICIPOS SAN FERMÍN'!$B$1:$B$1000,'[2]ANTICIPOS SAN FERMÍN'!$M$1:$M$1000))</f>
        <v/>
      </c>
      <c r="E193" s="37" t="str">
        <f>IF(A193="","",_xlfn.XLOOKUP($A193,'[2]ANTICIPOS SAN FERMÍN'!$B$1:$B$1000,'[2]ANTICIPOS SAN FERMÍN'!$O$1:$O$1000))</f>
        <v/>
      </c>
      <c r="F193" s="52"/>
      <c r="G193" s="52"/>
      <c r="H193" s="53"/>
      <c r="I193" s="38" t="str">
        <f>IF(A193="","",_xlfn.XLOOKUP($A193,'[2]ANTICIPOS SAN FERMÍN'!$C$1:$C$1000,'[2]ANTICIPOS SAN FERMÍN'!$H$1:$H$1000))</f>
        <v/>
      </c>
      <c r="J193" s="39"/>
      <c r="K193" s="38" t="str">
        <f>IF(A193="","",_xlfn.XLOOKUP($A193,'[2]ANTICIPOS SAN FERMÍN'!$C$1:$C$1000,'[2]ANTICIPOS SAN FERMÍN'!$I$1:$I$1000))</f>
        <v/>
      </c>
      <c r="L193" s="39"/>
      <c r="M193" s="38" t="str">
        <f>IF(A193="","",_xlfn.XLOOKUP($A193,'[2]ANTICIPOS SAN FERMÍN'!$C$1:$C$1000,'[2]ANTICIPOS SAN FERMÍN'!$J$1:$J$1000))</f>
        <v/>
      </c>
      <c r="N193" s="39"/>
      <c r="O193" s="38" t="str">
        <f>IF(A193="","",_xlfn.XLOOKUP($A193,'[2]ANTICIPOS SAN FERMÍN'!$C$1:$C$1000,'[2]ANTICIPOS SAN FERMÍN'!$L$1:$L$1000))</f>
        <v/>
      </c>
      <c r="P193" s="39"/>
      <c r="Q193" s="38" t="str">
        <f>IF(A193="","",_xlfn.XLOOKUP($A193,'[2]ANTICIPOS SAN FERMÍN'!$C$1:$C$1000,'[2]ANTICIPOS SAN FERMÍN'!$N$1:$N$1000))</f>
        <v/>
      </c>
      <c r="R193" s="39"/>
    </row>
    <row r="194" spans="1:18" hidden="1" x14ac:dyDescent="0.2">
      <c r="A194" s="34"/>
      <c r="B194" s="35" t="str">
        <f>IF(A194="","",_xlfn.XLOOKUP($A194,'[2]ANTICIPOS SAN FERMÍN'!$B$1:$B$1000,'[2]ANTICIPOS SAN FERMÍN'!$I$1:$I$1000))</f>
        <v/>
      </c>
      <c r="C194" s="36" t="str">
        <f>IF(A194="","",IF(_xlfn.XLOOKUP($A194,'[2]ANTICIPOS SAN FERMÍN'!$B$1:$B$1000,'[2]ANTICIPOS SAN FERMÍN'!$K$1:$K$1000)="","",_xlfn.XLOOKUP($A194,'[2]ANTICIPOS SAN FERMÍN'!$B$1:$B$1000,'[2]ANTICIPOS SAN FERMÍN'!$K$1:$K$1000)))</f>
        <v/>
      </c>
      <c r="D194" s="37" t="str">
        <f>IF(A194="","",_xlfn.XLOOKUP($A194,'[2]ANTICIPOS SAN FERMÍN'!$B$1:$B$1000,'[2]ANTICIPOS SAN FERMÍN'!$M$1:$M$1000))</f>
        <v/>
      </c>
      <c r="E194" s="37" t="str">
        <f>IF(A194="","",_xlfn.XLOOKUP($A194,'[2]ANTICIPOS SAN FERMÍN'!$B$1:$B$1000,'[2]ANTICIPOS SAN FERMÍN'!$O$1:$O$1000))</f>
        <v/>
      </c>
      <c r="F194" s="52"/>
      <c r="G194" s="52"/>
      <c r="H194" s="53"/>
      <c r="I194" s="38" t="str">
        <f>IF(A194="","",_xlfn.XLOOKUP($A194,'[2]ANTICIPOS SAN FERMÍN'!$C$1:$C$1000,'[2]ANTICIPOS SAN FERMÍN'!$H$1:$H$1000))</f>
        <v/>
      </c>
      <c r="J194" s="39"/>
      <c r="K194" s="38" t="str">
        <f>IF(A194="","",_xlfn.XLOOKUP($A194,'[2]ANTICIPOS SAN FERMÍN'!$C$1:$C$1000,'[2]ANTICIPOS SAN FERMÍN'!$I$1:$I$1000))</f>
        <v/>
      </c>
      <c r="L194" s="39"/>
      <c r="M194" s="38" t="str">
        <f>IF(A194="","",_xlfn.XLOOKUP($A194,'[2]ANTICIPOS SAN FERMÍN'!$C$1:$C$1000,'[2]ANTICIPOS SAN FERMÍN'!$J$1:$J$1000))</f>
        <v/>
      </c>
      <c r="N194" s="39"/>
      <c r="O194" s="38" t="str">
        <f>IF(A194="","",_xlfn.XLOOKUP($A194,'[2]ANTICIPOS SAN FERMÍN'!$C$1:$C$1000,'[2]ANTICIPOS SAN FERMÍN'!$L$1:$L$1000))</f>
        <v/>
      </c>
      <c r="P194" s="39"/>
      <c r="Q194" s="38" t="str">
        <f>IF(A194="","",_xlfn.XLOOKUP($A194,'[2]ANTICIPOS SAN FERMÍN'!$C$1:$C$1000,'[2]ANTICIPOS SAN FERMÍN'!$N$1:$N$1000))</f>
        <v/>
      </c>
      <c r="R194" s="39"/>
    </row>
    <row r="195" spans="1:18" hidden="1" x14ac:dyDescent="0.2">
      <c r="A195" s="34"/>
      <c r="B195" s="35" t="str">
        <f>IF(A195="","",_xlfn.XLOOKUP($A195,'[2]ANTICIPOS SAN FERMÍN'!$B$1:$B$1000,'[2]ANTICIPOS SAN FERMÍN'!$I$1:$I$1000))</f>
        <v/>
      </c>
      <c r="C195" s="36" t="str">
        <f>IF(A195="","",IF(_xlfn.XLOOKUP($A195,'[2]ANTICIPOS SAN FERMÍN'!$B$1:$B$1000,'[2]ANTICIPOS SAN FERMÍN'!$K$1:$K$1000)="","",_xlfn.XLOOKUP($A195,'[2]ANTICIPOS SAN FERMÍN'!$B$1:$B$1000,'[2]ANTICIPOS SAN FERMÍN'!$K$1:$K$1000)))</f>
        <v/>
      </c>
      <c r="D195" s="37" t="str">
        <f>IF(A195="","",_xlfn.XLOOKUP($A195,'[2]ANTICIPOS SAN FERMÍN'!$B$1:$B$1000,'[2]ANTICIPOS SAN FERMÍN'!$M$1:$M$1000))</f>
        <v/>
      </c>
      <c r="E195" s="37" t="str">
        <f>IF(A195="","",_xlfn.XLOOKUP($A195,'[2]ANTICIPOS SAN FERMÍN'!$B$1:$B$1000,'[2]ANTICIPOS SAN FERMÍN'!$O$1:$O$1000))</f>
        <v/>
      </c>
      <c r="F195" s="52"/>
      <c r="G195" s="52"/>
      <c r="H195" s="53"/>
      <c r="I195" s="38" t="str">
        <f>IF(A195="","",_xlfn.XLOOKUP($A195,'[2]ANTICIPOS SAN FERMÍN'!$C$1:$C$1000,'[2]ANTICIPOS SAN FERMÍN'!$H$1:$H$1000))</f>
        <v/>
      </c>
      <c r="J195" s="39"/>
      <c r="K195" s="38" t="str">
        <f>IF(A195="","",_xlfn.XLOOKUP($A195,'[2]ANTICIPOS SAN FERMÍN'!$C$1:$C$1000,'[2]ANTICIPOS SAN FERMÍN'!$I$1:$I$1000))</f>
        <v/>
      </c>
      <c r="L195" s="39"/>
      <c r="M195" s="38" t="str">
        <f>IF(A195="","",_xlfn.XLOOKUP($A195,'[2]ANTICIPOS SAN FERMÍN'!$C$1:$C$1000,'[2]ANTICIPOS SAN FERMÍN'!$J$1:$J$1000))</f>
        <v/>
      </c>
      <c r="N195" s="39"/>
      <c r="O195" s="38" t="str">
        <f>IF(A195="","",_xlfn.XLOOKUP($A195,'[2]ANTICIPOS SAN FERMÍN'!$C$1:$C$1000,'[2]ANTICIPOS SAN FERMÍN'!$L$1:$L$1000))</f>
        <v/>
      </c>
      <c r="P195" s="39"/>
      <c r="Q195" s="38" t="str">
        <f>IF(A195="","",_xlfn.XLOOKUP($A195,'[2]ANTICIPOS SAN FERMÍN'!$C$1:$C$1000,'[2]ANTICIPOS SAN FERMÍN'!$N$1:$N$1000))</f>
        <v/>
      </c>
      <c r="R195" s="39"/>
    </row>
    <row r="196" spans="1:18" hidden="1" x14ac:dyDescent="0.2">
      <c r="A196" s="34"/>
      <c r="B196" s="35" t="str">
        <f>IF(A196="","",_xlfn.XLOOKUP($A196,'[2]ANTICIPOS SAN FERMÍN'!$B$1:$B$1000,'[2]ANTICIPOS SAN FERMÍN'!$I$1:$I$1000))</f>
        <v/>
      </c>
      <c r="C196" s="36" t="str">
        <f>IF(A196="","",IF(_xlfn.XLOOKUP($A196,'[2]ANTICIPOS SAN FERMÍN'!$B$1:$B$1000,'[2]ANTICIPOS SAN FERMÍN'!$K$1:$K$1000)="","",_xlfn.XLOOKUP($A196,'[2]ANTICIPOS SAN FERMÍN'!$B$1:$B$1000,'[2]ANTICIPOS SAN FERMÍN'!$K$1:$K$1000)))</f>
        <v/>
      </c>
      <c r="D196" s="37" t="str">
        <f>IF(A196="","",_xlfn.XLOOKUP($A196,'[2]ANTICIPOS SAN FERMÍN'!$B$1:$B$1000,'[2]ANTICIPOS SAN FERMÍN'!$M$1:$M$1000))</f>
        <v/>
      </c>
      <c r="E196" s="37" t="str">
        <f>IF(A196="","",_xlfn.XLOOKUP($A196,'[2]ANTICIPOS SAN FERMÍN'!$B$1:$B$1000,'[2]ANTICIPOS SAN FERMÍN'!$O$1:$O$1000))</f>
        <v/>
      </c>
      <c r="F196" s="52"/>
      <c r="G196" s="52"/>
      <c r="H196" s="53"/>
      <c r="I196" s="38" t="str">
        <f>IF(A196="","",_xlfn.XLOOKUP($A196,'[2]ANTICIPOS SAN FERMÍN'!$C$1:$C$1000,'[2]ANTICIPOS SAN FERMÍN'!$H$1:$H$1000))</f>
        <v/>
      </c>
      <c r="J196" s="39"/>
      <c r="K196" s="38" t="str">
        <f>IF(A196="","",_xlfn.XLOOKUP($A196,'[2]ANTICIPOS SAN FERMÍN'!$C$1:$C$1000,'[2]ANTICIPOS SAN FERMÍN'!$I$1:$I$1000))</f>
        <v/>
      </c>
      <c r="L196" s="39"/>
      <c r="M196" s="38" t="str">
        <f>IF(A196="","",_xlfn.XLOOKUP($A196,'[2]ANTICIPOS SAN FERMÍN'!$C$1:$C$1000,'[2]ANTICIPOS SAN FERMÍN'!$J$1:$J$1000))</f>
        <v/>
      </c>
      <c r="N196" s="39"/>
      <c r="O196" s="38" t="str">
        <f>IF(A196="","",_xlfn.XLOOKUP($A196,'[2]ANTICIPOS SAN FERMÍN'!$C$1:$C$1000,'[2]ANTICIPOS SAN FERMÍN'!$L$1:$L$1000))</f>
        <v/>
      </c>
      <c r="P196" s="39"/>
      <c r="Q196" s="38" t="str">
        <f>IF(A196="","",_xlfn.XLOOKUP($A196,'[2]ANTICIPOS SAN FERMÍN'!$C$1:$C$1000,'[2]ANTICIPOS SAN FERMÍN'!$N$1:$N$1000))</f>
        <v/>
      </c>
      <c r="R196" s="39"/>
    </row>
    <row r="197" spans="1:18" ht="11.4" customHeight="1" thickTop="1" x14ac:dyDescent="0.2">
      <c r="A197" s="34"/>
      <c r="B197" s="35" t="str">
        <f>IF(A197="","",_xlfn.XLOOKUP($A197,'[2]ANTICIPOS SAN FERMÍN'!$B$1:$B$1000,'[2]ANTICIPOS SAN FERMÍN'!$I$1:$I$1000))</f>
        <v/>
      </c>
      <c r="C197" s="36" t="str">
        <f>IF(A197="","",IF(_xlfn.XLOOKUP($A197,'[2]ANTICIPOS SAN FERMÍN'!$B$1:$B$1000,'[2]ANTICIPOS SAN FERMÍN'!$K$1:$K$1000)="","",_xlfn.XLOOKUP($A197,'[2]ANTICIPOS SAN FERMÍN'!$B$1:$B$1000,'[2]ANTICIPOS SAN FERMÍN'!$K$1:$K$1000)))</f>
        <v/>
      </c>
      <c r="D197" s="37" t="str">
        <f>IF(A197="","",_xlfn.XLOOKUP($A197,'[2]ANTICIPOS SAN FERMÍN'!$B$1:$B$1000,'[2]ANTICIPOS SAN FERMÍN'!$M$1:$M$1000))</f>
        <v/>
      </c>
      <c r="E197" s="20"/>
      <c r="F197" s="52"/>
      <c r="G197" s="52"/>
      <c r="H197" s="53"/>
      <c r="I197" s="38" t="str">
        <f>IF(A197="","",_xlfn.XLOOKUP($A197,'[2]ANTICIPOS SAN FERMÍN'!$C$1:$C$1000,'[2]ANTICIPOS SAN FERMÍN'!$H$1:$H$1000))</f>
        <v/>
      </c>
      <c r="J197" s="39"/>
      <c r="K197" s="38" t="str">
        <f>IF(A197="","",_xlfn.XLOOKUP($A197,'[2]ANTICIPOS SAN FERMÍN'!$C$1:$C$1000,'[2]ANTICIPOS SAN FERMÍN'!$I$1:$I$1000))</f>
        <v/>
      </c>
      <c r="L197" s="39"/>
      <c r="M197" s="38" t="str">
        <f>IF(A197="","",_xlfn.XLOOKUP($A197,'[2]ANTICIPOS SAN FERMÍN'!$C$1:$C$1000,'[2]ANTICIPOS SAN FERMÍN'!$J$1:$J$1000))</f>
        <v/>
      </c>
      <c r="N197" s="39"/>
      <c r="O197" s="38" t="str">
        <f>IF(A197="","",_xlfn.XLOOKUP($A197,'[2]ANTICIPOS SAN FERMÍN'!$C$1:$C$1000,'[2]ANTICIPOS SAN FERMÍN'!$L$1:$L$1000))</f>
        <v/>
      </c>
      <c r="P197" s="39"/>
      <c r="Q197" s="38" t="str">
        <f>IF(A197="","",_xlfn.XLOOKUP($A197,'[2]ANTICIPOS SAN FERMÍN'!$C$1:$C$1000,'[2]ANTICIPOS SAN FERMÍN'!$N$1:$N$1000))</f>
        <v/>
      </c>
      <c r="R197" s="39"/>
    </row>
    <row r="198" spans="1:18" ht="20.399999999999999" customHeight="1" x14ac:dyDescent="0.2">
      <c r="A198" s="34"/>
      <c r="B198" s="35" t="str">
        <f>IF(A198="","",_xlfn.XLOOKUP($A198,'[2]ANTICIPOS SAN FERMÍN'!$B$1:$B$1000,'[2]ANTICIPOS SAN FERMÍN'!$I$1:$I$1000))</f>
        <v/>
      </c>
      <c r="C198" s="36" t="str">
        <f>IF(A198="","",IF(_xlfn.XLOOKUP($A198,'[2]ANTICIPOS SAN FERMÍN'!$B$1:$B$1000,'[2]ANTICIPOS SAN FERMÍN'!$K$1:$K$1000)="","",_xlfn.XLOOKUP($A198,'[2]ANTICIPOS SAN FERMÍN'!$B$1:$B$1000,'[2]ANTICIPOS SAN FERMÍN'!$K$1:$K$1000)))</f>
        <v/>
      </c>
      <c r="D198" s="37" t="str">
        <f>IF(A198="","",_xlfn.XLOOKUP($A198,'[2]ANTICIPOS SAN FERMÍN'!$B$1:$B$1000,'[2]ANTICIPOS SAN FERMÍN'!$M$1:$M$1000))</f>
        <v/>
      </c>
      <c r="E198" s="37" t="str">
        <f>IF(A198="","",_xlfn.XLOOKUP($A198,'[2]ANTICIPOS SAN FERMÍN'!$B$1:$B$1000,'[2]ANTICIPOS SAN FERMÍN'!$O$1:$O$1000))</f>
        <v/>
      </c>
      <c r="F198" s="52"/>
      <c r="G198" s="52"/>
      <c r="H198" s="53"/>
      <c r="I198" s="38" t="str">
        <f>IF(A198="","",_xlfn.XLOOKUP($A198,'[2]ANTICIPOS SAN FERMÍN'!$C$1:$C$1000,'[2]ANTICIPOS SAN FERMÍN'!$H$1:$H$1000))</f>
        <v/>
      </c>
      <c r="J198" s="39"/>
      <c r="K198" s="38" t="str">
        <f>IF(A198="","",_xlfn.XLOOKUP($A198,'[2]ANTICIPOS SAN FERMÍN'!$C$1:$C$1000,'[2]ANTICIPOS SAN FERMÍN'!$I$1:$I$1000))</f>
        <v/>
      </c>
      <c r="L198" s="39"/>
      <c r="M198" s="38" t="str">
        <f>IF(A198="","",_xlfn.XLOOKUP($A198,'[2]ANTICIPOS SAN FERMÍN'!$C$1:$C$1000,'[2]ANTICIPOS SAN FERMÍN'!$J$1:$J$1000))</f>
        <v/>
      </c>
      <c r="N198" s="39"/>
      <c r="O198" s="38" t="str">
        <f>IF(A198="","",_xlfn.XLOOKUP($A198,'[2]ANTICIPOS SAN FERMÍN'!$C$1:$C$1000,'[2]ANTICIPOS SAN FERMÍN'!$L$1:$L$1000))</f>
        <v/>
      </c>
      <c r="P198" s="39"/>
      <c r="Q198" s="38" t="str">
        <f>IF(A198="","",_xlfn.XLOOKUP($A198,'[2]ANTICIPOS SAN FERMÍN'!$C$1:$C$1000,'[2]ANTICIPOS SAN FERMÍN'!$N$1:$N$1000))</f>
        <v/>
      </c>
      <c r="R198" s="39"/>
    </row>
    <row r="199" spans="1:18" x14ac:dyDescent="0.2">
      <c r="F199" s="52"/>
      <c r="G199" s="52"/>
      <c r="H199" s="53"/>
    </row>
    <row r="200" spans="1:18" x14ac:dyDescent="0.2">
      <c r="F200" s="52"/>
      <c r="G200" s="52"/>
      <c r="H200" s="53"/>
    </row>
  </sheetData>
  <autoFilter ref="B4:R198" xr:uid="{00000000-0009-0000-0000-000004000000}">
    <filterColumn colId="0">
      <filters>
        <filter val="ANGEL ALAMEDA"/>
      </filters>
    </filterColumn>
    <sortState xmlns:xlrd2="http://schemas.microsoft.com/office/spreadsheetml/2017/richdata2" ref="B6:R21">
      <sortCondition ref="B4:B21"/>
    </sortState>
  </autoFilter>
  <mergeCells count="14">
    <mergeCell ref="F2:F3"/>
    <mergeCell ref="G2:G3"/>
    <mergeCell ref="H2:H3"/>
    <mergeCell ref="A1:E1"/>
    <mergeCell ref="A2:A4"/>
    <mergeCell ref="B2:B4"/>
    <mergeCell ref="C2:C4"/>
    <mergeCell ref="D2:D4"/>
    <mergeCell ref="E2:E4"/>
    <mergeCell ref="I2:J2"/>
    <mergeCell ref="K2:L2"/>
    <mergeCell ref="M2:N2"/>
    <mergeCell ref="O2:P2"/>
    <mergeCell ref="Q2:R2"/>
  </mergeCells>
  <conditionalFormatting sqref="R5:R17 P5:P17 N5:N17 L5:L17 J5:J17">
    <cfRule type="cellIs" dxfId="2" priority="7" operator="greaterThan">
      <formula>I5</formula>
    </cfRule>
  </conditionalFormatting>
  <conditionalFormatting sqref="G5:G17">
    <cfRule type="cellIs" dxfId="1" priority="2" operator="greaterThan">
      <formula>F5</formula>
    </cfRule>
  </conditionalFormatting>
  <conditionalFormatting sqref="H5:H17">
    <cfRule type="cellIs" dxfId="0" priority="1" operator="lessThan">
      <formula>0</formula>
    </cfRule>
  </conditionalFormatting>
  <printOptions horizontalCentered="1"/>
  <pageMargins left="0.11811023622047245" right="0.11811023622047245" top="0.74803149606299213" bottom="0.74803149606299213" header="0.31496062992125984" footer="0.31496062992125984"/>
  <pageSetup scale="47" fitToHeight="0" orientation="landscape" r:id="rId1"/>
  <headerFooter>
    <oddHeader>&amp;R&amp;"Arial Nova,Negrita"&amp;K002060RESUMEN DE ANTICIPOS DE EDIFICACIÓN PARA CONTRATISTAS</oddHeader>
    <oddFooter>&amp;L&amp;"Arial Nova,Negrita"&amp;12&amp;K002060DEPARTAMENTO DE PRESUPUESTOS Y CONTROL DE OBRA&amp;R&amp;"Arial Nova,Negrita"&amp;12&amp;K002060ING. MARIO PINEDA
ING. IRVING ABREGO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3784-693B-45A8-B0F0-CD9E5DF6F140}">
  <dimension ref="A1:AV18"/>
  <sheetViews>
    <sheetView showGridLines="0" workbookViewId="0">
      <pane xSplit="4" ySplit="5" topLeftCell="E6" activePane="bottomRight" state="frozen"/>
      <selection activeCell="E1" sqref="E1"/>
      <selection pane="topRight" activeCell="E1" sqref="E1"/>
      <selection pane="bottomLeft" activeCell="E1" sqref="E1"/>
      <selection pane="bottomRight" activeCell="D25" sqref="D25"/>
    </sheetView>
  </sheetViews>
  <sheetFormatPr baseColWidth="10" defaultColWidth="11.375" defaultRowHeight="11.4" x14ac:dyDescent="0.2"/>
  <cols>
    <col min="1" max="1" width="11.25" style="3" bestFit="1" customWidth="1"/>
    <col min="2" max="2" width="15.875" style="3" bestFit="1" customWidth="1"/>
    <col min="3" max="3" width="10.125" style="3" bestFit="1" customWidth="1"/>
    <col min="4" max="4" width="26.5" style="3" customWidth="1"/>
    <col min="5" max="8" width="10.125" style="6" bestFit="1" customWidth="1"/>
    <col min="9" max="16384" width="11.375" style="3"/>
  </cols>
  <sheetData>
    <row r="1" spans="1:48" ht="21" thickBot="1" x14ac:dyDescent="0.25">
      <c r="A1" s="115" t="s">
        <v>13</v>
      </c>
      <c r="B1" s="115"/>
      <c r="C1" s="115"/>
      <c r="D1" s="115"/>
    </row>
    <row r="2" spans="1:48" s="7" customFormat="1" ht="13.5" customHeight="1" thickBot="1" x14ac:dyDescent="0.25">
      <c r="A2" s="116" t="s">
        <v>0</v>
      </c>
      <c r="B2" s="119" t="s">
        <v>1</v>
      </c>
      <c r="C2" s="119" t="s">
        <v>2</v>
      </c>
      <c r="D2" s="119" t="s">
        <v>5</v>
      </c>
      <c r="E2" s="9" t="s">
        <v>3</v>
      </c>
      <c r="F2" s="9" t="s">
        <v>4</v>
      </c>
      <c r="G2" s="9" t="s">
        <v>3</v>
      </c>
      <c r="H2" s="10" t="s">
        <v>4</v>
      </c>
      <c r="I2" s="9" t="s">
        <v>3</v>
      </c>
      <c r="J2" s="10" t="s">
        <v>4</v>
      </c>
      <c r="K2" s="9" t="s">
        <v>3</v>
      </c>
      <c r="L2" s="10" t="s">
        <v>4</v>
      </c>
      <c r="M2" s="9" t="s">
        <v>3</v>
      </c>
      <c r="N2" s="10" t="s">
        <v>4</v>
      </c>
      <c r="O2" s="9" t="s">
        <v>3</v>
      </c>
      <c r="P2" s="10" t="s">
        <v>4</v>
      </c>
      <c r="Q2" s="9" t="s">
        <v>3</v>
      </c>
      <c r="R2" s="10" t="s">
        <v>4</v>
      </c>
      <c r="S2" s="9" t="s">
        <v>3</v>
      </c>
      <c r="T2" s="10" t="s">
        <v>4</v>
      </c>
      <c r="U2" s="9" t="s">
        <v>3</v>
      </c>
      <c r="V2" s="10" t="s">
        <v>4</v>
      </c>
      <c r="W2" s="9" t="s">
        <v>3</v>
      </c>
      <c r="X2" s="10" t="s">
        <v>4</v>
      </c>
      <c r="Y2" s="9" t="s">
        <v>3</v>
      </c>
      <c r="Z2" s="10" t="s">
        <v>4</v>
      </c>
      <c r="AA2" s="9" t="s">
        <v>3</v>
      </c>
      <c r="AB2" s="10" t="s">
        <v>4</v>
      </c>
      <c r="AC2" s="9" t="s">
        <v>3</v>
      </c>
      <c r="AD2" s="10" t="s">
        <v>4</v>
      </c>
      <c r="AE2" s="9" t="s">
        <v>3</v>
      </c>
      <c r="AF2" s="10" t="s">
        <v>4</v>
      </c>
      <c r="AG2" s="9" t="s">
        <v>3</v>
      </c>
      <c r="AH2" s="10" t="s">
        <v>4</v>
      </c>
      <c r="AI2" s="9" t="s">
        <v>3</v>
      </c>
      <c r="AJ2" s="10" t="s">
        <v>4</v>
      </c>
      <c r="AK2" s="123" t="s">
        <v>36</v>
      </c>
      <c r="AL2" s="124"/>
      <c r="AM2" s="123" t="s">
        <v>36</v>
      </c>
      <c r="AN2" s="124"/>
      <c r="AO2" s="9" t="s">
        <v>3</v>
      </c>
      <c r="AP2" s="10" t="s">
        <v>4</v>
      </c>
      <c r="AQ2" s="9" t="s">
        <v>3</v>
      </c>
      <c r="AR2" s="10" t="s">
        <v>4</v>
      </c>
      <c r="AS2" s="9" t="s">
        <v>3</v>
      </c>
      <c r="AT2" s="10" t="s">
        <v>4</v>
      </c>
      <c r="AU2" s="9" t="s">
        <v>3</v>
      </c>
      <c r="AV2" s="10" t="s">
        <v>4</v>
      </c>
    </row>
    <row r="3" spans="1:48" s="6" customFormat="1" ht="13.5" customHeight="1" thickTop="1" thickBot="1" x14ac:dyDescent="0.25">
      <c r="A3" s="117"/>
      <c r="B3" s="120"/>
      <c r="C3" s="120"/>
      <c r="D3" s="120"/>
      <c r="E3" s="5">
        <v>44466</v>
      </c>
      <c r="F3" s="5">
        <f>E3+5</f>
        <v>44471</v>
      </c>
      <c r="G3" s="5">
        <v>44466</v>
      </c>
      <c r="H3" s="11">
        <f>G3+5</f>
        <v>44471</v>
      </c>
      <c r="I3" s="5">
        <f>G3+7</f>
        <v>44473</v>
      </c>
      <c r="J3" s="11">
        <f>I3+5</f>
        <v>44478</v>
      </c>
      <c r="K3" s="5">
        <v>44487</v>
      </c>
      <c r="L3" s="11">
        <f>K3+5</f>
        <v>44492</v>
      </c>
      <c r="M3" s="5">
        <v>44487</v>
      </c>
      <c r="N3" s="11">
        <f>M3+5</f>
        <v>44492</v>
      </c>
      <c r="O3" s="5">
        <v>44487</v>
      </c>
      <c r="P3" s="11">
        <f>O3+5</f>
        <v>44492</v>
      </c>
      <c r="Q3" s="5">
        <v>44585</v>
      </c>
      <c r="R3" s="11">
        <f>Q3+5</f>
        <v>44590</v>
      </c>
      <c r="S3" s="5">
        <v>44501</v>
      </c>
      <c r="T3" s="11">
        <f>S3+5</f>
        <v>44506</v>
      </c>
      <c r="U3" s="5">
        <f>S3+7</f>
        <v>44508</v>
      </c>
      <c r="V3" s="11">
        <f>U3+5</f>
        <v>44513</v>
      </c>
      <c r="W3" s="5">
        <f>U3+7</f>
        <v>44515</v>
      </c>
      <c r="X3" s="11">
        <f>W3+5</f>
        <v>44520</v>
      </c>
      <c r="Y3" s="5">
        <f>W3+7</f>
        <v>44522</v>
      </c>
      <c r="Z3" s="11">
        <f>Y3+5</f>
        <v>44527</v>
      </c>
      <c r="AA3" s="5">
        <f>Y3+7</f>
        <v>44529</v>
      </c>
      <c r="AB3" s="11">
        <f>AA3+5</f>
        <v>44534</v>
      </c>
      <c r="AC3" s="5">
        <f>AA3+7</f>
        <v>44536</v>
      </c>
      <c r="AD3" s="11">
        <f>AC3+5</f>
        <v>44541</v>
      </c>
      <c r="AE3" s="5">
        <f>AC3+7</f>
        <v>44543</v>
      </c>
      <c r="AF3" s="11">
        <f>AE3+5</f>
        <v>44548</v>
      </c>
      <c r="AG3" s="5">
        <f>AE3+7</f>
        <v>44550</v>
      </c>
      <c r="AH3" s="11">
        <f>AG3+5</f>
        <v>44555</v>
      </c>
      <c r="AI3" s="5">
        <f>AG3+7</f>
        <v>44557</v>
      </c>
      <c r="AJ3" s="11">
        <f>AI3+5</f>
        <v>44562</v>
      </c>
      <c r="AK3" s="125">
        <v>44564</v>
      </c>
      <c r="AL3" s="126"/>
      <c r="AM3" s="125">
        <f>AK3+7</f>
        <v>44571</v>
      </c>
      <c r="AN3" s="126"/>
      <c r="AO3" s="5">
        <f>AM3+7</f>
        <v>44578</v>
      </c>
      <c r="AP3" s="11">
        <f>AO3+5</f>
        <v>44583</v>
      </c>
      <c r="AQ3" s="5">
        <f>AO3+7</f>
        <v>44585</v>
      </c>
      <c r="AR3" s="11">
        <f>AQ3+5</f>
        <v>44590</v>
      </c>
      <c r="AS3" s="5">
        <f>AQ3+7</f>
        <v>44592</v>
      </c>
      <c r="AT3" s="11">
        <f>AS3+5</f>
        <v>44597</v>
      </c>
      <c r="AU3" s="5">
        <f>AS3+7</f>
        <v>44599</v>
      </c>
      <c r="AV3" s="11">
        <f>AU3+5</f>
        <v>44604</v>
      </c>
    </row>
    <row r="4" spans="1:48" s="8" customFormat="1" ht="13.5" customHeight="1" thickTop="1" thickBot="1" x14ac:dyDescent="0.25">
      <c r="A4" s="117"/>
      <c r="B4" s="120"/>
      <c r="C4" s="120"/>
      <c r="D4" s="120"/>
      <c r="E4" s="113">
        <v>1</v>
      </c>
      <c r="F4" s="114"/>
      <c r="G4" s="113">
        <f>E4+1</f>
        <v>2</v>
      </c>
      <c r="H4" s="114"/>
      <c r="I4" s="113">
        <f>G4+1</f>
        <v>3</v>
      </c>
      <c r="J4" s="114"/>
      <c r="K4" s="113">
        <f>I4+1</f>
        <v>4</v>
      </c>
      <c r="L4" s="114"/>
      <c r="M4" s="113">
        <f>K4+1</f>
        <v>5</v>
      </c>
      <c r="N4" s="114"/>
      <c r="O4" s="113">
        <f>M4+1</f>
        <v>6</v>
      </c>
      <c r="P4" s="114"/>
      <c r="Q4" s="113">
        <f>O4+1</f>
        <v>7</v>
      </c>
      <c r="R4" s="114"/>
      <c r="S4" s="109">
        <f>Q4+1</f>
        <v>8</v>
      </c>
      <c r="T4" s="110"/>
      <c r="U4" s="109">
        <f>S4+1</f>
        <v>9</v>
      </c>
      <c r="V4" s="110"/>
      <c r="W4" s="109">
        <f>U4+1</f>
        <v>10</v>
      </c>
      <c r="X4" s="110"/>
      <c r="Y4" s="109">
        <f>W4+1</f>
        <v>11</v>
      </c>
      <c r="Z4" s="110"/>
      <c r="AA4" s="109">
        <f>Y4+1</f>
        <v>12</v>
      </c>
      <c r="AB4" s="110"/>
      <c r="AC4" s="109">
        <f>AA4+1</f>
        <v>13</v>
      </c>
      <c r="AD4" s="110"/>
      <c r="AE4" s="109">
        <f>AC4+1</f>
        <v>14</v>
      </c>
      <c r="AF4" s="110"/>
      <c r="AG4" s="104">
        <v>1</v>
      </c>
      <c r="AH4" s="108"/>
      <c r="AI4" s="104">
        <f>AG4+1</f>
        <v>2</v>
      </c>
      <c r="AJ4" s="108"/>
      <c r="AK4" s="104">
        <v>1</v>
      </c>
      <c r="AL4" s="105"/>
      <c r="AM4" s="109">
        <f>AK4+1</f>
        <v>2</v>
      </c>
      <c r="AN4" s="110"/>
      <c r="AO4" s="104">
        <f>AM4+1</f>
        <v>3</v>
      </c>
      <c r="AP4" s="108"/>
      <c r="AQ4" s="104">
        <f>AO4+1</f>
        <v>4</v>
      </c>
      <c r="AR4" s="108"/>
      <c r="AS4" s="104">
        <f>AQ4+1</f>
        <v>5</v>
      </c>
      <c r="AT4" s="108"/>
      <c r="AU4" s="104">
        <f>AS4+1</f>
        <v>6</v>
      </c>
      <c r="AV4" s="108"/>
    </row>
    <row r="5" spans="1:48" s="8" customFormat="1" ht="12.75" customHeight="1" thickTop="1" thickBot="1" x14ac:dyDescent="0.25">
      <c r="A5" s="118"/>
      <c r="B5" s="121"/>
      <c r="C5" s="121"/>
      <c r="D5" s="121"/>
      <c r="E5" s="106">
        <f>SUM(E6:F18)</f>
        <v>2006797.12</v>
      </c>
      <c r="F5" s="122"/>
      <c r="G5" s="106">
        <f>SUM(G6:H18)</f>
        <v>1314627.2999999998</v>
      </c>
      <c r="H5" s="107"/>
      <c r="I5" s="106">
        <f>SUM(I6:J18)</f>
        <v>0</v>
      </c>
      <c r="J5" s="107"/>
      <c r="K5" s="106">
        <f>SUM(K6:L18)</f>
        <v>391812.04000000004</v>
      </c>
      <c r="L5" s="107"/>
      <c r="M5" s="106">
        <f>SUM(M6:N18)</f>
        <v>488435.4</v>
      </c>
      <c r="N5" s="107"/>
      <c r="O5" s="106">
        <f>SUM(O6:P18)</f>
        <v>1952738.2</v>
      </c>
      <c r="P5" s="107"/>
      <c r="Q5" s="106">
        <f>SUM(Q6:R18)</f>
        <v>522568.4</v>
      </c>
      <c r="R5" s="107"/>
      <c r="S5" s="106">
        <f>SUM(S6:T18)</f>
        <v>0</v>
      </c>
      <c r="T5" s="107"/>
      <c r="U5" s="106">
        <f>SUM(U6:V18)</f>
        <v>0</v>
      </c>
      <c r="V5" s="107"/>
      <c r="W5" s="106">
        <f>SUM(W6:X18)</f>
        <v>0</v>
      </c>
      <c r="X5" s="107"/>
      <c r="Y5" s="106">
        <f>SUM(Y6:Z18)</f>
        <v>0</v>
      </c>
      <c r="Z5" s="107"/>
      <c r="AA5" s="106">
        <f>SUM(AA6:AB18)</f>
        <v>0</v>
      </c>
      <c r="AB5" s="107"/>
      <c r="AC5" s="106">
        <f>SUM(AC6:AD18)</f>
        <v>0</v>
      </c>
      <c r="AD5" s="107"/>
      <c r="AE5" s="106">
        <f>SUM(AE6:AF18)</f>
        <v>0</v>
      </c>
      <c r="AF5" s="107"/>
      <c r="AG5" s="106">
        <f>SUM(AG6:AH18)</f>
        <v>0</v>
      </c>
      <c r="AH5" s="107"/>
      <c r="AI5" s="106">
        <f>SUM(AI6:AJ18)</f>
        <v>0</v>
      </c>
      <c r="AJ5" s="107"/>
      <c r="AK5" s="106">
        <f>SUM(AK6:AL18)</f>
        <v>0</v>
      </c>
      <c r="AL5" s="107"/>
      <c r="AM5" s="106">
        <f>SUM(AM6:AN18)</f>
        <v>0</v>
      </c>
      <c r="AN5" s="107"/>
      <c r="AO5" s="106">
        <f>SUM(AO6:AP18)</f>
        <v>0</v>
      </c>
      <c r="AP5" s="107"/>
      <c r="AQ5" s="106">
        <f>SUM(AQ6:AR18)</f>
        <v>0</v>
      </c>
      <c r="AR5" s="107"/>
      <c r="AS5" s="106">
        <f>SUM(AS6:AT18)</f>
        <v>0</v>
      </c>
      <c r="AT5" s="107"/>
      <c r="AU5" s="106">
        <f>SUM(AU6:AV18)</f>
        <v>0</v>
      </c>
      <c r="AV5" s="107"/>
    </row>
    <row r="6" spans="1:48" ht="12.6" thickTop="1" thickBot="1" x14ac:dyDescent="0.25">
      <c r="A6" s="12">
        <v>3</v>
      </c>
      <c r="B6" s="1" t="s">
        <v>16</v>
      </c>
      <c r="C6" s="2">
        <v>27</v>
      </c>
      <c r="D6" s="4">
        <f t="shared" ref="D6:D17" si="0">SUM(E6:ZZ6)</f>
        <v>851567.62000000011</v>
      </c>
      <c r="E6" s="100">
        <f>467539.74+369580.08</f>
        <v>837119.82000000007</v>
      </c>
      <c r="F6" s="111"/>
      <c r="G6" s="100">
        <v>0</v>
      </c>
      <c r="H6" s="101"/>
      <c r="I6" s="100">
        <v>0</v>
      </c>
      <c r="J6" s="101"/>
      <c r="K6" s="100"/>
      <c r="L6" s="101"/>
      <c r="M6" s="100">
        <v>8659.4</v>
      </c>
      <c r="N6" s="101"/>
      <c r="O6" s="100">
        <v>5788.4</v>
      </c>
      <c r="P6" s="101"/>
      <c r="Q6" s="100">
        <v>0</v>
      </c>
      <c r="R6" s="101"/>
      <c r="S6" s="100">
        <v>0</v>
      </c>
      <c r="T6" s="101"/>
      <c r="U6" s="100">
        <v>0</v>
      </c>
      <c r="V6" s="101"/>
      <c r="W6" s="100">
        <v>0</v>
      </c>
      <c r="X6" s="101"/>
      <c r="Y6" s="100">
        <v>0</v>
      </c>
      <c r="Z6" s="101"/>
      <c r="AA6" s="100">
        <v>0</v>
      </c>
      <c r="AB6" s="101"/>
      <c r="AC6" s="100">
        <v>0</v>
      </c>
      <c r="AD6" s="101"/>
      <c r="AE6" s="100">
        <v>0</v>
      </c>
      <c r="AF6" s="101"/>
      <c r="AG6" s="100">
        <v>0</v>
      </c>
      <c r="AH6" s="101"/>
      <c r="AI6" s="100">
        <v>0</v>
      </c>
      <c r="AJ6" s="101"/>
      <c r="AK6" s="100">
        <v>0</v>
      </c>
      <c r="AL6" s="101"/>
      <c r="AM6" s="100">
        <v>0</v>
      </c>
      <c r="AN6" s="101"/>
      <c r="AO6" s="100">
        <v>0</v>
      </c>
      <c r="AP6" s="101"/>
      <c r="AQ6" s="100">
        <v>0</v>
      </c>
      <c r="AR6" s="101"/>
      <c r="AS6" s="100">
        <v>0</v>
      </c>
      <c r="AT6" s="101"/>
      <c r="AU6" s="100">
        <v>0</v>
      </c>
      <c r="AV6" s="101"/>
    </row>
    <row r="7" spans="1:48" ht="12.6" thickTop="1" thickBot="1" x14ac:dyDescent="0.25">
      <c r="A7" s="12">
        <v>4</v>
      </c>
      <c r="B7" s="1" t="s">
        <v>17</v>
      </c>
      <c r="C7" s="2">
        <v>27</v>
      </c>
      <c r="D7" s="4">
        <f t="shared" si="0"/>
        <v>818710.60000000009</v>
      </c>
      <c r="E7" s="100">
        <v>0</v>
      </c>
      <c r="F7" s="111"/>
      <c r="G7" s="100">
        <v>272705.56</v>
      </c>
      <c r="H7" s="101"/>
      <c r="I7" s="100">
        <v>0</v>
      </c>
      <c r="J7" s="101"/>
      <c r="K7" s="100">
        <v>160548.64000000001</v>
      </c>
      <c r="L7" s="101"/>
      <c r="M7" s="100"/>
      <c r="N7" s="101"/>
      <c r="O7" s="100">
        <v>0</v>
      </c>
      <c r="P7" s="101"/>
      <c r="Q7" s="100">
        <v>385456.4</v>
      </c>
      <c r="R7" s="101"/>
      <c r="S7" s="100">
        <v>0</v>
      </c>
      <c r="T7" s="101"/>
      <c r="U7" s="100">
        <v>0</v>
      </c>
      <c r="V7" s="101"/>
      <c r="W7" s="100">
        <v>0</v>
      </c>
      <c r="X7" s="101"/>
      <c r="Y7" s="100">
        <v>0</v>
      </c>
      <c r="Z7" s="101"/>
      <c r="AA7" s="100">
        <v>0</v>
      </c>
      <c r="AB7" s="101"/>
      <c r="AC7" s="100">
        <v>0</v>
      </c>
      <c r="AD7" s="101"/>
      <c r="AE7" s="100">
        <v>0</v>
      </c>
      <c r="AF7" s="101"/>
      <c r="AG7" s="100">
        <v>0</v>
      </c>
      <c r="AH7" s="101"/>
      <c r="AI7" s="100">
        <v>0</v>
      </c>
      <c r="AJ7" s="101"/>
      <c r="AK7" s="100">
        <v>0</v>
      </c>
      <c r="AL7" s="101"/>
      <c r="AM7" s="100">
        <v>0</v>
      </c>
      <c r="AN7" s="101"/>
      <c r="AO7" s="100">
        <v>0</v>
      </c>
      <c r="AP7" s="101"/>
      <c r="AQ7" s="100">
        <v>0</v>
      </c>
      <c r="AR7" s="101"/>
      <c r="AS7" s="100">
        <v>0</v>
      </c>
      <c r="AT7" s="101"/>
      <c r="AU7" s="100">
        <v>0</v>
      </c>
      <c r="AV7" s="101"/>
    </row>
    <row r="8" spans="1:48" ht="12.6" thickTop="1" thickBot="1" x14ac:dyDescent="0.25">
      <c r="A8" s="12">
        <v>5</v>
      </c>
      <c r="B8" s="1" t="s">
        <v>18</v>
      </c>
      <c r="C8" s="2">
        <v>28</v>
      </c>
      <c r="D8" s="4">
        <f t="shared" si="0"/>
        <v>999490.8</v>
      </c>
      <c r="E8" s="100">
        <v>303572</v>
      </c>
      <c r="F8" s="111"/>
      <c r="G8" s="100">
        <v>230149.8</v>
      </c>
      <c r="H8" s="101"/>
      <c r="I8" s="100">
        <v>0</v>
      </c>
      <c r="J8" s="101"/>
      <c r="K8" s="100">
        <v>0</v>
      </c>
      <c r="L8" s="101"/>
      <c r="M8" s="100">
        <v>43065</v>
      </c>
      <c r="N8" s="101"/>
      <c r="O8" s="100">
        <f>269352+153352</f>
        <v>422704</v>
      </c>
      <c r="P8" s="101"/>
      <c r="Q8" s="100">
        <v>0</v>
      </c>
      <c r="R8" s="101"/>
      <c r="S8" s="100">
        <v>0</v>
      </c>
      <c r="T8" s="101"/>
      <c r="U8" s="100">
        <v>0</v>
      </c>
      <c r="V8" s="101"/>
      <c r="W8" s="100">
        <v>0</v>
      </c>
      <c r="X8" s="101"/>
      <c r="Y8" s="100">
        <v>0</v>
      </c>
      <c r="Z8" s="101"/>
      <c r="AA8" s="100">
        <v>0</v>
      </c>
      <c r="AB8" s="101"/>
      <c r="AC8" s="100">
        <v>0</v>
      </c>
      <c r="AD8" s="101"/>
      <c r="AE8" s="100">
        <v>0</v>
      </c>
      <c r="AF8" s="101"/>
      <c r="AG8" s="100">
        <v>0</v>
      </c>
      <c r="AH8" s="101"/>
      <c r="AI8" s="100">
        <v>0</v>
      </c>
      <c r="AJ8" s="101"/>
      <c r="AK8" s="100">
        <v>0</v>
      </c>
      <c r="AL8" s="101"/>
      <c r="AM8" s="100">
        <v>0</v>
      </c>
      <c r="AN8" s="101"/>
      <c r="AO8" s="100">
        <v>0</v>
      </c>
      <c r="AP8" s="101"/>
      <c r="AQ8" s="100">
        <v>0</v>
      </c>
      <c r="AR8" s="101"/>
      <c r="AS8" s="100">
        <v>0</v>
      </c>
      <c r="AT8" s="101"/>
      <c r="AU8" s="100">
        <v>0</v>
      </c>
      <c r="AV8" s="101"/>
    </row>
    <row r="9" spans="1:48" ht="12.6" thickTop="1" thickBot="1" x14ac:dyDescent="0.25">
      <c r="A9" s="12">
        <v>6</v>
      </c>
      <c r="B9" s="1" t="s">
        <v>19</v>
      </c>
      <c r="C9" s="2" t="s">
        <v>20</v>
      </c>
      <c r="D9" s="4">
        <f t="shared" si="0"/>
        <v>36914.1</v>
      </c>
      <c r="E9" s="100">
        <v>36914.1</v>
      </c>
      <c r="F9" s="111"/>
      <c r="G9" s="100">
        <v>0</v>
      </c>
      <c r="H9" s="101"/>
      <c r="I9" s="100">
        <v>0</v>
      </c>
      <c r="J9" s="101"/>
      <c r="K9" s="100">
        <v>0</v>
      </c>
      <c r="L9" s="101"/>
      <c r="M9" s="100"/>
      <c r="N9" s="101"/>
      <c r="O9" s="100">
        <v>0</v>
      </c>
      <c r="P9" s="101"/>
      <c r="Q9" s="100">
        <v>0</v>
      </c>
      <c r="R9" s="101"/>
      <c r="S9" s="100">
        <v>0</v>
      </c>
      <c r="T9" s="101"/>
      <c r="U9" s="100">
        <v>0</v>
      </c>
      <c r="V9" s="101"/>
      <c r="W9" s="100">
        <v>0</v>
      </c>
      <c r="X9" s="101"/>
      <c r="Y9" s="100">
        <v>0</v>
      </c>
      <c r="Z9" s="101"/>
      <c r="AA9" s="100">
        <v>0</v>
      </c>
      <c r="AB9" s="101"/>
      <c r="AC9" s="100">
        <v>0</v>
      </c>
      <c r="AD9" s="101"/>
      <c r="AE9" s="100">
        <v>0</v>
      </c>
      <c r="AF9" s="101"/>
      <c r="AG9" s="100">
        <v>0</v>
      </c>
      <c r="AH9" s="101"/>
      <c r="AI9" s="100">
        <v>0</v>
      </c>
      <c r="AJ9" s="101"/>
      <c r="AK9" s="100">
        <v>0</v>
      </c>
      <c r="AL9" s="101"/>
      <c r="AM9" s="100">
        <v>0</v>
      </c>
      <c r="AN9" s="101"/>
      <c r="AO9" s="100">
        <v>0</v>
      </c>
      <c r="AP9" s="101"/>
      <c r="AQ9" s="100">
        <v>0</v>
      </c>
      <c r="AR9" s="101"/>
      <c r="AS9" s="100">
        <v>0</v>
      </c>
      <c r="AT9" s="101"/>
      <c r="AU9" s="100">
        <v>0</v>
      </c>
      <c r="AV9" s="101"/>
    </row>
    <row r="10" spans="1:48" ht="12.6" thickTop="1" thickBot="1" x14ac:dyDescent="0.25">
      <c r="A10" s="12">
        <v>7</v>
      </c>
      <c r="B10" s="1" t="s">
        <v>21</v>
      </c>
      <c r="C10" s="2">
        <v>31</v>
      </c>
      <c r="D10" s="4">
        <f t="shared" si="0"/>
        <v>1247328.74</v>
      </c>
      <c r="E10" s="100">
        <v>829191.2</v>
      </c>
      <c r="F10" s="111"/>
      <c r="G10" s="100">
        <f>114135.88+304001.66</f>
        <v>418137.54</v>
      </c>
      <c r="H10" s="101"/>
      <c r="I10" s="100">
        <v>0</v>
      </c>
      <c r="J10" s="101"/>
      <c r="K10" s="100">
        <v>0</v>
      </c>
      <c r="L10" s="101"/>
      <c r="M10" s="100"/>
      <c r="N10" s="101"/>
      <c r="O10" s="100">
        <v>0</v>
      </c>
      <c r="P10" s="101"/>
      <c r="Q10" s="100">
        <v>0</v>
      </c>
      <c r="R10" s="101"/>
      <c r="S10" s="100">
        <v>0</v>
      </c>
      <c r="T10" s="101"/>
      <c r="U10" s="100">
        <v>0</v>
      </c>
      <c r="V10" s="101"/>
      <c r="W10" s="100">
        <v>0</v>
      </c>
      <c r="X10" s="101"/>
      <c r="Y10" s="100">
        <v>0</v>
      </c>
      <c r="Z10" s="101"/>
      <c r="AA10" s="100">
        <v>0</v>
      </c>
      <c r="AB10" s="101"/>
      <c r="AC10" s="100">
        <v>0</v>
      </c>
      <c r="AD10" s="101"/>
      <c r="AE10" s="100">
        <v>0</v>
      </c>
      <c r="AF10" s="101"/>
      <c r="AG10" s="100">
        <v>0</v>
      </c>
      <c r="AH10" s="101"/>
      <c r="AI10" s="100">
        <v>0</v>
      </c>
      <c r="AJ10" s="101"/>
      <c r="AK10" s="100">
        <v>0</v>
      </c>
      <c r="AL10" s="101"/>
      <c r="AM10" s="100">
        <v>0</v>
      </c>
      <c r="AN10" s="101"/>
      <c r="AO10" s="100">
        <v>0</v>
      </c>
      <c r="AP10" s="101"/>
      <c r="AQ10" s="100">
        <v>0</v>
      </c>
      <c r="AR10" s="101"/>
      <c r="AS10" s="100">
        <v>0</v>
      </c>
      <c r="AT10" s="101"/>
      <c r="AU10" s="100">
        <v>0</v>
      </c>
      <c r="AV10" s="101"/>
    </row>
    <row r="11" spans="1:48" ht="12.6" thickTop="1" thickBot="1" x14ac:dyDescent="0.25">
      <c r="A11" s="12">
        <v>8</v>
      </c>
      <c r="B11" s="1" t="s">
        <v>21</v>
      </c>
      <c r="C11" s="2">
        <v>31</v>
      </c>
      <c r="D11" s="4">
        <f t="shared" si="0"/>
        <v>71920</v>
      </c>
      <c r="E11" s="100">
        <v>0</v>
      </c>
      <c r="F11" s="111"/>
      <c r="G11" s="100">
        <v>0</v>
      </c>
      <c r="H11" s="101"/>
      <c r="I11" s="100">
        <v>0</v>
      </c>
      <c r="J11" s="101"/>
      <c r="K11" s="100">
        <v>0</v>
      </c>
      <c r="L11" s="101"/>
      <c r="M11" s="100"/>
      <c r="N11" s="101"/>
      <c r="O11" s="100">
        <v>71920</v>
      </c>
      <c r="P11" s="101"/>
      <c r="Q11" s="100">
        <v>0</v>
      </c>
      <c r="R11" s="101"/>
      <c r="S11" s="100">
        <v>0</v>
      </c>
      <c r="T11" s="101"/>
      <c r="U11" s="100">
        <v>0</v>
      </c>
      <c r="V11" s="101"/>
      <c r="W11" s="100">
        <v>0</v>
      </c>
      <c r="X11" s="101"/>
      <c r="Y11" s="100">
        <v>0</v>
      </c>
      <c r="Z11" s="101"/>
      <c r="AA11" s="100">
        <v>0</v>
      </c>
      <c r="AB11" s="101"/>
      <c r="AC11" s="100">
        <v>0</v>
      </c>
      <c r="AD11" s="101"/>
      <c r="AE11" s="100">
        <v>0</v>
      </c>
      <c r="AF11" s="101"/>
      <c r="AG11" s="100">
        <v>0</v>
      </c>
      <c r="AH11" s="101"/>
      <c r="AI11" s="100">
        <v>0</v>
      </c>
      <c r="AJ11" s="101"/>
      <c r="AK11" s="100">
        <v>0</v>
      </c>
      <c r="AL11" s="101"/>
      <c r="AM11" s="100">
        <v>0</v>
      </c>
      <c r="AN11" s="101"/>
      <c r="AO11" s="100">
        <v>0</v>
      </c>
      <c r="AP11" s="101"/>
      <c r="AQ11" s="100">
        <v>0</v>
      </c>
      <c r="AR11" s="101"/>
      <c r="AS11" s="100">
        <v>0</v>
      </c>
      <c r="AT11" s="101"/>
      <c r="AU11" s="100">
        <v>0</v>
      </c>
      <c r="AV11" s="101"/>
    </row>
    <row r="12" spans="1:48" ht="12.6" thickTop="1" thickBot="1" x14ac:dyDescent="0.25">
      <c r="A12" s="12">
        <v>9</v>
      </c>
      <c r="B12" s="1" t="s">
        <v>21</v>
      </c>
      <c r="C12" s="2">
        <v>32</v>
      </c>
      <c r="D12" s="4">
        <f t="shared" si="0"/>
        <v>0</v>
      </c>
      <c r="E12" s="100">
        <v>0</v>
      </c>
      <c r="F12" s="111"/>
      <c r="G12" s="100">
        <v>0</v>
      </c>
      <c r="H12" s="101"/>
      <c r="I12" s="100">
        <v>0</v>
      </c>
      <c r="J12" s="101"/>
      <c r="K12" s="100">
        <v>0</v>
      </c>
      <c r="L12" s="101"/>
      <c r="M12" s="100"/>
      <c r="N12" s="101"/>
      <c r="O12" s="100">
        <v>0</v>
      </c>
      <c r="P12" s="101"/>
      <c r="Q12" s="100">
        <v>0</v>
      </c>
      <c r="R12" s="101"/>
      <c r="S12" s="100">
        <v>0</v>
      </c>
      <c r="T12" s="101"/>
      <c r="U12" s="100">
        <v>0</v>
      </c>
      <c r="V12" s="101"/>
      <c r="W12" s="100">
        <v>0</v>
      </c>
      <c r="X12" s="101"/>
      <c r="Y12" s="100">
        <v>0</v>
      </c>
      <c r="Z12" s="101"/>
      <c r="AA12" s="100">
        <v>0</v>
      </c>
      <c r="AB12" s="101"/>
      <c r="AC12" s="100">
        <v>0</v>
      </c>
      <c r="AD12" s="101"/>
      <c r="AE12" s="100">
        <v>0</v>
      </c>
      <c r="AF12" s="101"/>
      <c r="AG12" s="100">
        <v>0</v>
      </c>
      <c r="AH12" s="101"/>
      <c r="AI12" s="100">
        <v>0</v>
      </c>
      <c r="AJ12" s="101"/>
      <c r="AK12" s="100">
        <v>0</v>
      </c>
      <c r="AL12" s="101"/>
      <c r="AM12" s="100">
        <v>0</v>
      </c>
      <c r="AN12" s="101"/>
      <c r="AO12" s="100">
        <v>0</v>
      </c>
      <c r="AP12" s="101"/>
      <c r="AQ12" s="100">
        <v>0</v>
      </c>
      <c r="AR12" s="101"/>
      <c r="AS12" s="100">
        <v>0</v>
      </c>
      <c r="AT12" s="101"/>
      <c r="AU12" s="100">
        <v>0</v>
      </c>
      <c r="AV12" s="101"/>
    </row>
    <row r="13" spans="1:48" ht="12.6" thickTop="1" thickBot="1" x14ac:dyDescent="0.25">
      <c r="A13" s="12">
        <v>10</v>
      </c>
      <c r="B13" s="1" t="s">
        <v>22</v>
      </c>
      <c r="C13" s="2">
        <v>33</v>
      </c>
      <c r="D13" s="4">
        <f t="shared" si="0"/>
        <v>598229.4</v>
      </c>
      <c r="E13" s="100">
        <v>0</v>
      </c>
      <c r="F13" s="111"/>
      <c r="G13" s="100">
        <v>0</v>
      </c>
      <c r="H13" s="101"/>
      <c r="I13" s="100">
        <v>0</v>
      </c>
      <c r="J13" s="101"/>
      <c r="K13" s="100">
        <v>231263.4</v>
      </c>
      <c r="L13" s="101"/>
      <c r="M13" s="100"/>
      <c r="N13" s="101"/>
      <c r="O13" s="100">
        <v>366966</v>
      </c>
      <c r="P13" s="101"/>
      <c r="Q13" s="100">
        <v>0</v>
      </c>
      <c r="R13" s="101"/>
      <c r="S13" s="100">
        <v>0</v>
      </c>
      <c r="T13" s="101"/>
      <c r="U13" s="100">
        <v>0</v>
      </c>
      <c r="V13" s="101"/>
      <c r="W13" s="100">
        <v>0</v>
      </c>
      <c r="X13" s="101"/>
      <c r="Y13" s="100">
        <v>0</v>
      </c>
      <c r="Z13" s="101"/>
      <c r="AA13" s="100">
        <v>0</v>
      </c>
      <c r="AB13" s="101"/>
      <c r="AC13" s="100">
        <v>0</v>
      </c>
      <c r="AD13" s="101"/>
      <c r="AE13" s="100">
        <v>0</v>
      </c>
      <c r="AF13" s="101"/>
      <c r="AG13" s="100">
        <v>0</v>
      </c>
      <c r="AH13" s="101"/>
      <c r="AI13" s="100">
        <v>0</v>
      </c>
      <c r="AJ13" s="101"/>
      <c r="AK13" s="100">
        <v>0</v>
      </c>
      <c r="AL13" s="101"/>
      <c r="AM13" s="100">
        <v>0</v>
      </c>
      <c r="AN13" s="101"/>
      <c r="AO13" s="100">
        <v>0</v>
      </c>
      <c r="AP13" s="101"/>
      <c r="AQ13" s="100">
        <v>0</v>
      </c>
      <c r="AR13" s="101"/>
      <c r="AS13" s="100">
        <v>0</v>
      </c>
      <c r="AT13" s="101"/>
      <c r="AU13" s="100">
        <v>0</v>
      </c>
      <c r="AV13" s="101"/>
    </row>
    <row r="14" spans="1:48" ht="12.6" thickTop="1" thickBot="1" x14ac:dyDescent="0.25">
      <c r="A14" s="12">
        <v>11</v>
      </c>
      <c r="B14" s="1" t="s">
        <v>18</v>
      </c>
      <c r="C14" s="2">
        <v>33</v>
      </c>
      <c r="D14" s="4">
        <f t="shared" si="0"/>
        <v>0</v>
      </c>
      <c r="E14" s="100">
        <v>0</v>
      </c>
      <c r="F14" s="111"/>
      <c r="G14" s="100">
        <v>0</v>
      </c>
      <c r="H14" s="101"/>
      <c r="I14" s="100">
        <v>0</v>
      </c>
      <c r="J14" s="101"/>
      <c r="K14" s="100">
        <v>0</v>
      </c>
      <c r="L14" s="101"/>
      <c r="M14" s="100"/>
      <c r="N14" s="101"/>
      <c r="O14" s="100">
        <v>0</v>
      </c>
      <c r="P14" s="101"/>
      <c r="Q14" s="100">
        <v>0</v>
      </c>
      <c r="R14" s="101"/>
      <c r="S14" s="100">
        <v>0</v>
      </c>
      <c r="T14" s="101"/>
      <c r="U14" s="100">
        <v>0</v>
      </c>
      <c r="V14" s="101"/>
      <c r="W14" s="100">
        <v>0</v>
      </c>
      <c r="X14" s="101"/>
      <c r="Y14" s="100">
        <v>0</v>
      </c>
      <c r="Z14" s="101"/>
      <c r="AA14" s="100">
        <v>0</v>
      </c>
      <c r="AB14" s="101"/>
      <c r="AC14" s="100">
        <v>0</v>
      </c>
      <c r="AD14" s="101"/>
      <c r="AE14" s="100">
        <v>0</v>
      </c>
      <c r="AF14" s="101"/>
      <c r="AG14" s="100">
        <v>0</v>
      </c>
      <c r="AH14" s="101"/>
      <c r="AI14" s="100">
        <v>0</v>
      </c>
      <c r="AJ14" s="101"/>
      <c r="AK14" s="100">
        <v>0</v>
      </c>
      <c r="AL14" s="101"/>
      <c r="AM14" s="100">
        <v>0</v>
      </c>
      <c r="AN14" s="101"/>
      <c r="AO14" s="100">
        <v>0</v>
      </c>
      <c r="AP14" s="101"/>
      <c r="AQ14" s="100">
        <v>0</v>
      </c>
      <c r="AR14" s="101"/>
      <c r="AS14" s="100">
        <v>0</v>
      </c>
      <c r="AT14" s="101"/>
      <c r="AU14" s="100">
        <v>0</v>
      </c>
      <c r="AV14" s="101"/>
    </row>
    <row r="15" spans="1:48" ht="12.6" thickTop="1" thickBot="1" x14ac:dyDescent="0.25">
      <c r="A15" s="12">
        <v>12</v>
      </c>
      <c r="B15" s="1" t="s">
        <v>23</v>
      </c>
      <c r="C15" s="2">
        <v>34</v>
      </c>
      <c r="D15" s="4">
        <f t="shared" si="0"/>
        <v>0</v>
      </c>
      <c r="E15" s="100">
        <v>0</v>
      </c>
      <c r="F15" s="111"/>
      <c r="G15" s="100">
        <v>0</v>
      </c>
      <c r="H15" s="101"/>
      <c r="I15" s="100">
        <v>0</v>
      </c>
      <c r="J15" s="101"/>
      <c r="K15" s="100">
        <v>0</v>
      </c>
      <c r="L15" s="101"/>
      <c r="M15" s="100"/>
      <c r="N15" s="101"/>
      <c r="O15" s="100">
        <v>0</v>
      </c>
      <c r="P15" s="101"/>
      <c r="Q15" s="100">
        <v>0</v>
      </c>
      <c r="R15" s="101"/>
      <c r="S15" s="100">
        <v>0</v>
      </c>
      <c r="T15" s="101"/>
      <c r="U15" s="100">
        <v>0</v>
      </c>
      <c r="V15" s="101"/>
      <c r="W15" s="100">
        <v>0</v>
      </c>
      <c r="X15" s="101"/>
      <c r="Y15" s="100">
        <v>0</v>
      </c>
      <c r="Z15" s="101"/>
      <c r="AA15" s="100">
        <v>0</v>
      </c>
      <c r="AB15" s="101"/>
      <c r="AC15" s="100">
        <v>0</v>
      </c>
      <c r="AD15" s="101"/>
      <c r="AE15" s="100">
        <v>0</v>
      </c>
      <c r="AF15" s="101"/>
      <c r="AG15" s="100">
        <v>0</v>
      </c>
      <c r="AH15" s="101"/>
      <c r="AI15" s="100">
        <v>0</v>
      </c>
      <c r="AJ15" s="101"/>
      <c r="AK15" s="100">
        <v>0</v>
      </c>
      <c r="AL15" s="101"/>
      <c r="AM15" s="100">
        <v>0</v>
      </c>
      <c r="AN15" s="101"/>
      <c r="AO15" s="100">
        <v>0</v>
      </c>
      <c r="AP15" s="101"/>
      <c r="AQ15" s="100">
        <v>0</v>
      </c>
      <c r="AR15" s="101"/>
      <c r="AS15" s="100">
        <v>0</v>
      </c>
      <c r="AT15" s="101"/>
      <c r="AU15" s="100">
        <v>0</v>
      </c>
      <c r="AV15" s="101"/>
    </row>
    <row r="16" spans="1:48" ht="12.6" thickTop="1" thickBot="1" x14ac:dyDescent="0.25">
      <c r="A16" s="12">
        <v>13</v>
      </c>
      <c r="B16" s="1" t="s">
        <v>23</v>
      </c>
      <c r="C16" s="2">
        <v>34</v>
      </c>
      <c r="D16" s="4">
        <f t="shared" si="0"/>
        <v>1053222</v>
      </c>
      <c r="E16" s="100">
        <v>0</v>
      </c>
      <c r="F16" s="111"/>
      <c r="G16" s="100">
        <v>0</v>
      </c>
      <c r="H16" s="101"/>
      <c r="I16" s="100">
        <v>0</v>
      </c>
      <c r="J16" s="101"/>
      <c r="K16" s="100">
        <v>0</v>
      </c>
      <c r="L16" s="101"/>
      <c r="M16" s="100"/>
      <c r="N16" s="101"/>
      <c r="O16" s="100">
        <v>1053222</v>
      </c>
      <c r="P16" s="101"/>
      <c r="Q16" s="100">
        <v>0</v>
      </c>
      <c r="R16" s="101"/>
      <c r="S16" s="100">
        <v>0</v>
      </c>
      <c r="T16" s="101"/>
      <c r="U16" s="100">
        <v>0</v>
      </c>
      <c r="V16" s="101"/>
      <c r="W16" s="100">
        <v>0</v>
      </c>
      <c r="X16" s="101"/>
      <c r="Y16" s="100">
        <v>0</v>
      </c>
      <c r="Z16" s="101"/>
      <c r="AA16" s="100">
        <v>0</v>
      </c>
      <c r="AB16" s="101"/>
      <c r="AC16" s="100">
        <v>0</v>
      </c>
      <c r="AD16" s="101"/>
      <c r="AE16" s="100">
        <v>0</v>
      </c>
      <c r="AF16" s="101"/>
      <c r="AG16" s="100">
        <v>0</v>
      </c>
      <c r="AH16" s="101"/>
      <c r="AI16" s="100">
        <v>0</v>
      </c>
      <c r="AJ16" s="101"/>
      <c r="AK16" s="100">
        <v>0</v>
      </c>
      <c r="AL16" s="101"/>
      <c r="AM16" s="100">
        <v>0</v>
      </c>
      <c r="AN16" s="101"/>
      <c r="AO16" s="100">
        <v>0</v>
      </c>
      <c r="AP16" s="101"/>
      <c r="AQ16" s="100">
        <v>0</v>
      </c>
      <c r="AR16" s="101"/>
      <c r="AS16" s="100">
        <v>0</v>
      </c>
      <c r="AT16" s="101"/>
      <c r="AU16" s="100">
        <v>0</v>
      </c>
      <c r="AV16" s="101"/>
    </row>
    <row r="17" spans="1:48" ht="12.6" thickTop="1" thickBot="1" x14ac:dyDescent="0.25">
      <c r="A17" s="12">
        <v>14</v>
      </c>
      <c r="B17" s="1" t="s">
        <v>24</v>
      </c>
      <c r="C17" s="2">
        <v>35</v>
      </c>
      <c r="D17" s="4">
        <f t="shared" si="0"/>
        <v>999595.20000000007</v>
      </c>
      <c r="E17" s="100">
        <v>0</v>
      </c>
      <c r="F17" s="111"/>
      <c r="G17" s="100">
        <v>393634.4</v>
      </c>
      <c r="H17" s="111"/>
      <c r="I17" s="100">
        <v>0</v>
      </c>
      <c r="J17" s="111"/>
      <c r="K17" s="100">
        <v>0</v>
      </c>
      <c r="L17" s="111"/>
      <c r="M17" s="100">
        <f>428098+8613</f>
        <v>436711</v>
      </c>
      <c r="N17" s="111"/>
      <c r="O17" s="100">
        <v>32137.8</v>
      </c>
      <c r="P17" s="111"/>
      <c r="Q17" s="100">
        <f>114144+22968</f>
        <v>137112</v>
      </c>
      <c r="R17" s="111"/>
      <c r="S17" s="100">
        <v>0</v>
      </c>
      <c r="T17" s="101"/>
      <c r="U17" s="100">
        <v>0</v>
      </c>
      <c r="V17" s="101"/>
      <c r="W17" s="100">
        <v>0</v>
      </c>
      <c r="X17" s="101"/>
      <c r="Y17" s="100">
        <v>0</v>
      </c>
      <c r="Z17" s="101"/>
      <c r="AA17" s="100">
        <v>0</v>
      </c>
      <c r="AB17" s="101"/>
      <c r="AC17" s="100">
        <v>0</v>
      </c>
      <c r="AD17" s="101"/>
      <c r="AE17" s="100">
        <v>0</v>
      </c>
      <c r="AF17" s="101"/>
      <c r="AG17" s="100">
        <v>0</v>
      </c>
      <c r="AH17" s="101"/>
      <c r="AI17" s="100">
        <v>0</v>
      </c>
      <c r="AJ17" s="101"/>
      <c r="AK17" s="100">
        <v>0</v>
      </c>
      <c r="AL17" s="101"/>
      <c r="AM17" s="100">
        <v>0</v>
      </c>
      <c r="AN17" s="101"/>
      <c r="AO17" s="100">
        <v>0</v>
      </c>
      <c r="AP17" s="101"/>
      <c r="AQ17" s="100">
        <v>0</v>
      </c>
      <c r="AR17" s="101"/>
      <c r="AS17" s="100">
        <v>0</v>
      </c>
      <c r="AT17" s="101"/>
      <c r="AU17" s="100">
        <v>0</v>
      </c>
      <c r="AV17" s="101"/>
    </row>
    <row r="18" spans="1:48" ht="12.6" thickTop="1" thickBot="1" x14ac:dyDescent="0.25">
      <c r="A18" s="13">
        <v>15</v>
      </c>
      <c r="B18" s="14" t="s">
        <v>22</v>
      </c>
      <c r="C18" s="15">
        <v>36</v>
      </c>
      <c r="D18" s="4">
        <f>SUM(E18:ZZ18)</f>
        <v>0</v>
      </c>
      <c r="E18" s="102">
        <v>0</v>
      </c>
      <c r="F18" s="112"/>
      <c r="G18" s="102">
        <v>0</v>
      </c>
      <c r="H18" s="103"/>
      <c r="I18" s="102">
        <v>0</v>
      </c>
      <c r="J18" s="103"/>
      <c r="K18" s="102">
        <v>0</v>
      </c>
      <c r="L18" s="103"/>
      <c r="M18" s="102">
        <v>0</v>
      </c>
      <c r="N18" s="103"/>
      <c r="O18" s="102">
        <v>0</v>
      </c>
      <c r="P18" s="103"/>
      <c r="Q18" s="102">
        <v>0</v>
      </c>
      <c r="R18" s="103"/>
      <c r="S18" s="102">
        <v>0</v>
      </c>
      <c r="T18" s="103"/>
      <c r="U18" s="102">
        <v>0</v>
      </c>
      <c r="V18" s="103"/>
      <c r="W18" s="102">
        <v>0</v>
      </c>
      <c r="X18" s="103"/>
      <c r="Y18" s="102">
        <v>0</v>
      </c>
      <c r="Z18" s="103"/>
      <c r="AA18" s="102">
        <v>0</v>
      </c>
      <c r="AB18" s="103"/>
      <c r="AC18" s="102">
        <v>0</v>
      </c>
      <c r="AD18" s="103"/>
      <c r="AE18" s="102">
        <v>0</v>
      </c>
      <c r="AF18" s="103"/>
      <c r="AG18" s="102">
        <v>0</v>
      </c>
      <c r="AH18" s="103"/>
      <c r="AI18" s="102">
        <v>0</v>
      </c>
      <c r="AJ18" s="103"/>
      <c r="AK18" s="102">
        <v>0</v>
      </c>
      <c r="AL18" s="103"/>
      <c r="AM18" s="102">
        <v>0</v>
      </c>
      <c r="AN18" s="103"/>
      <c r="AO18" s="102">
        <v>0</v>
      </c>
      <c r="AP18" s="103"/>
      <c r="AQ18" s="102">
        <v>0</v>
      </c>
      <c r="AR18" s="103"/>
      <c r="AS18" s="102">
        <v>0</v>
      </c>
      <c r="AT18" s="103"/>
      <c r="AU18" s="102">
        <v>0</v>
      </c>
      <c r="AV18" s="103"/>
    </row>
  </sheetData>
  <autoFilter ref="A5:AV18" xr:uid="{C86D3784-693B-45A8-B0F0-CD9E5DF6F140}"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  <filterColumn colId="40" showButton="0"/>
    <filterColumn colId="42" showButton="0"/>
    <filterColumn colId="44" showButton="0"/>
    <filterColumn colId="46" showButton="0"/>
  </autoFilter>
  <mergeCells count="339">
    <mergeCell ref="AK2:AL2"/>
    <mergeCell ref="AM2:AN2"/>
    <mergeCell ref="AK3:AL3"/>
    <mergeCell ref="AM3:AN3"/>
    <mergeCell ref="AU13:AV13"/>
    <mergeCell ref="AU14:AV14"/>
    <mergeCell ref="AU15:AV15"/>
    <mergeCell ref="AU16:AV16"/>
    <mergeCell ref="AU17:AV17"/>
    <mergeCell ref="AQ16:AR16"/>
    <mergeCell ref="AQ17:AR17"/>
    <mergeCell ref="AQ12:AR12"/>
    <mergeCell ref="AM13:AN13"/>
    <mergeCell ref="AM14:AN14"/>
    <mergeCell ref="AM15:AN15"/>
    <mergeCell ref="AM10:AN10"/>
    <mergeCell ref="AM11:AN11"/>
    <mergeCell ref="AM12:AN12"/>
    <mergeCell ref="AQ13:AR13"/>
    <mergeCell ref="AQ14:AR14"/>
    <mergeCell ref="AQ15:AR15"/>
    <mergeCell ref="AM16:AN16"/>
    <mergeCell ref="AM17:AN17"/>
    <mergeCell ref="AK13:AL13"/>
    <mergeCell ref="AU18:AV18"/>
    <mergeCell ref="AU4:AV4"/>
    <mergeCell ref="AU5:AV5"/>
    <mergeCell ref="AU6:AV6"/>
    <mergeCell ref="AU7:AV7"/>
    <mergeCell ref="AU8:AV8"/>
    <mergeCell ref="AU9:AV9"/>
    <mergeCell ref="AU10:AV10"/>
    <mergeCell ref="AU11:AV11"/>
    <mergeCell ref="AU12:AV12"/>
    <mergeCell ref="AQ18:AR18"/>
    <mergeCell ref="AS4:AT4"/>
    <mergeCell ref="AS5:AT5"/>
    <mergeCell ref="AS6:AT6"/>
    <mergeCell ref="AS7:AT7"/>
    <mergeCell ref="AS8:AT8"/>
    <mergeCell ref="AS9:AT9"/>
    <mergeCell ref="AS10:AT10"/>
    <mergeCell ref="AS11:AT11"/>
    <mergeCell ref="AS12:AT12"/>
    <mergeCell ref="AS13:AT13"/>
    <mergeCell ref="AS14:AT14"/>
    <mergeCell ref="AS15:AT15"/>
    <mergeCell ref="AS16:AT16"/>
    <mergeCell ref="AS17:AT17"/>
    <mergeCell ref="AS18:AT18"/>
    <mergeCell ref="AQ4:AR4"/>
    <mergeCell ref="AQ5:AR5"/>
    <mergeCell ref="AQ6:AR6"/>
    <mergeCell ref="AQ7:AR7"/>
    <mergeCell ref="AQ8:AR8"/>
    <mergeCell ref="AQ9:AR9"/>
    <mergeCell ref="AQ10:AR10"/>
    <mergeCell ref="AQ11:AR11"/>
    <mergeCell ref="AM18:AN18"/>
    <mergeCell ref="AO4:AP4"/>
    <mergeCell ref="AO5:AP5"/>
    <mergeCell ref="AO6:AP6"/>
    <mergeCell ref="AO7:AP7"/>
    <mergeCell ref="AO8:AP8"/>
    <mergeCell ref="AO9:AP9"/>
    <mergeCell ref="AO10:AP10"/>
    <mergeCell ref="AO11:AP11"/>
    <mergeCell ref="AO12:AP12"/>
    <mergeCell ref="AO13:AP13"/>
    <mergeCell ref="AO14:AP14"/>
    <mergeCell ref="AO15:AP15"/>
    <mergeCell ref="AO16:AP16"/>
    <mergeCell ref="AO17:AP17"/>
    <mergeCell ref="AO18:AP18"/>
    <mergeCell ref="AM4:AN4"/>
    <mergeCell ref="AM5:AN5"/>
    <mergeCell ref="AM6:AN6"/>
    <mergeCell ref="AM7:AN7"/>
    <mergeCell ref="AM8:AN8"/>
    <mergeCell ref="AM9:AN9"/>
    <mergeCell ref="Q14:R14"/>
    <mergeCell ref="Q15:R15"/>
    <mergeCell ref="Q16:R16"/>
    <mergeCell ref="Q17:R17"/>
    <mergeCell ref="Q18:R18"/>
    <mergeCell ref="Q9:R9"/>
    <mergeCell ref="Q10:R10"/>
    <mergeCell ref="Q11:R11"/>
    <mergeCell ref="Q12:R12"/>
    <mergeCell ref="Q13:R13"/>
    <mergeCell ref="O4:P4"/>
    <mergeCell ref="O5:P5"/>
    <mergeCell ref="O6:P6"/>
    <mergeCell ref="O7:P7"/>
    <mergeCell ref="O8:P8"/>
    <mergeCell ref="Q4:R4"/>
    <mergeCell ref="Q5:R5"/>
    <mergeCell ref="Q6:R6"/>
    <mergeCell ref="Q7:R7"/>
    <mergeCell ref="Q8:R8"/>
    <mergeCell ref="M17:N17"/>
    <mergeCell ref="M18:N18"/>
    <mergeCell ref="M9:N9"/>
    <mergeCell ref="M10:N10"/>
    <mergeCell ref="M11:N11"/>
    <mergeCell ref="M12:N12"/>
    <mergeCell ref="M13:N13"/>
    <mergeCell ref="O18:P1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K4:L4"/>
    <mergeCell ref="K5:L5"/>
    <mergeCell ref="K6:L6"/>
    <mergeCell ref="K7:L7"/>
    <mergeCell ref="K8:L8"/>
    <mergeCell ref="M4:N4"/>
    <mergeCell ref="M5:N5"/>
    <mergeCell ref="M6:N6"/>
    <mergeCell ref="M7:N7"/>
    <mergeCell ref="M8:N8"/>
    <mergeCell ref="I9:J9"/>
    <mergeCell ref="I10:J10"/>
    <mergeCell ref="I11:J11"/>
    <mergeCell ref="I12:J12"/>
    <mergeCell ref="I13:J13"/>
    <mergeCell ref="K18:L1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I4:J4"/>
    <mergeCell ref="I5:J5"/>
    <mergeCell ref="I6:J6"/>
    <mergeCell ref="I7:J7"/>
    <mergeCell ref="I8:J8"/>
    <mergeCell ref="E7:F7"/>
    <mergeCell ref="G7:H7"/>
    <mergeCell ref="A1:D1"/>
    <mergeCell ref="A2:A5"/>
    <mergeCell ref="B2:B5"/>
    <mergeCell ref="C2:C5"/>
    <mergeCell ref="D2:D5"/>
    <mergeCell ref="E4:F4"/>
    <mergeCell ref="G4:H4"/>
    <mergeCell ref="E5:F5"/>
    <mergeCell ref="G5:H5"/>
    <mergeCell ref="E6:F6"/>
    <mergeCell ref="G6:H6"/>
    <mergeCell ref="E8:F8"/>
    <mergeCell ref="G8:H8"/>
    <mergeCell ref="E9:F9"/>
    <mergeCell ref="G9:H9"/>
    <mergeCell ref="E10:F10"/>
    <mergeCell ref="G10:H10"/>
    <mergeCell ref="E11:F11"/>
    <mergeCell ref="G11:H11"/>
    <mergeCell ref="E12:F12"/>
    <mergeCell ref="G12:H12"/>
    <mergeCell ref="E13:F13"/>
    <mergeCell ref="G13:H13"/>
    <mergeCell ref="S13:T13"/>
    <mergeCell ref="S14:T14"/>
    <mergeCell ref="S15:T15"/>
    <mergeCell ref="S16:T16"/>
    <mergeCell ref="S17:T17"/>
    <mergeCell ref="S18:T18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  <mergeCell ref="I14:J14"/>
    <mergeCell ref="I15:J15"/>
    <mergeCell ref="I16:J16"/>
    <mergeCell ref="I17:J17"/>
    <mergeCell ref="I18:J18"/>
    <mergeCell ref="M14:N14"/>
    <mergeCell ref="M15:N15"/>
    <mergeCell ref="M16:N16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U16:V16"/>
    <mergeCell ref="U17:V17"/>
    <mergeCell ref="U18:V18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U4:V4"/>
    <mergeCell ref="U5:V5"/>
    <mergeCell ref="U6:V6"/>
    <mergeCell ref="U7:V7"/>
    <mergeCell ref="U8:V8"/>
    <mergeCell ref="U9:V9"/>
    <mergeCell ref="Y10:Z10"/>
    <mergeCell ref="Y11:Z11"/>
    <mergeCell ref="Y12:Z12"/>
    <mergeCell ref="U13:V13"/>
    <mergeCell ref="U14:V14"/>
    <mergeCell ref="U15:V15"/>
    <mergeCell ref="U10:V10"/>
    <mergeCell ref="U11:V11"/>
    <mergeCell ref="U12:V12"/>
    <mergeCell ref="Y13:Z13"/>
    <mergeCell ref="Y14:Z14"/>
    <mergeCell ref="Y15:Z15"/>
    <mergeCell ref="Y16:Z16"/>
    <mergeCell ref="Y17:Z17"/>
    <mergeCell ref="Y18:Z18"/>
    <mergeCell ref="AA4:AB4"/>
    <mergeCell ref="AA5:AB5"/>
    <mergeCell ref="AA6:AB6"/>
    <mergeCell ref="AA7:AB7"/>
    <mergeCell ref="AA8:AB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Y4:Z4"/>
    <mergeCell ref="Y5:Z5"/>
    <mergeCell ref="Y6:Z6"/>
    <mergeCell ref="Y7:Z7"/>
    <mergeCell ref="Y8:Z8"/>
    <mergeCell ref="Y9:Z9"/>
    <mergeCell ref="AC16:AD16"/>
    <mergeCell ref="AC17:AD17"/>
    <mergeCell ref="AC18:AD18"/>
    <mergeCell ref="AE4:AF4"/>
    <mergeCell ref="AE5:AF5"/>
    <mergeCell ref="AE6:AF6"/>
    <mergeCell ref="AE7:AF7"/>
    <mergeCell ref="AE8:AF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18:AF18"/>
    <mergeCell ref="AC4:AD4"/>
    <mergeCell ref="AC5:AD5"/>
    <mergeCell ref="AC6:AD6"/>
    <mergeCell ref="AC7:AD7"/>
    <mergeCell ref="AC8:AD8"/>
    <mergeCell ref="AC9:AD9"/>
    <mergeCell ref="AG10:AH10"/>
    <mergeCell ref="AG11:AH11"/>
    <mergeCell ref="AG12:AH12"/>
    <mergeCell ref="AC13:AD13"/>
    <mergeCell ref="AC14:AD14"/>
    <mergeCell ref="AC15:AD15"/>
    <mergeCell ref="AC10:AD10"/>
    <mergeCell ref="AC11:AD11"/>
    <mergeCell ref="AC12:AD12"/>
    <mergeCell ref="AG13:AH13"/>
    <mergeCell ref="AG14:AH14"/>
    <mergeCell ref="AG15:AH15"/>
    <mergeCell ref="AG16:AH16"/>
    <mergeCell ref="AG17:AH17"/>
    <mergeCell ref="AG18:AH18"/>
    <mergeCell ref="AI4:AJ4"/>
    <mergeCell ref="AI5:AJ5"/>
    <mergeCell ref="AI6:AJ6"/>
    <mergeCell ref="AI7:AJ7"/>
    <mergeCell ref="AI8:AJ8"/>
    <mergeCell ref="AI9:AJ9"/>
    <mergeCell ref="AI10:AJ10"/>
    <mergeCell ref="AI11:AJ11"/>
    <mergeCell ref="AI12:AJ12"/>
    <mergeCell ref="AI13:AJ13"/>
    <mergeCell ref="AI14:AJ14"/>
    <mergeCell ref="AI15:AJ15"/>
    <mergeCell ref="AI16:AJ16"/>
    <mergeCell ref="AI17:AJ17"/>
    <mergeCell ref="AI18:AJ18"/>
    <mergeCell ref="AG4:AH4"/>
    <mergeCell ref="AG5:AH5"/>
    <mergeCell ref="AG6:AH6"/>
    <mergeCell ref="AG7:AH7"/>
    <mergeCell ref="AG8:AH8"/>
    <mergeCell ref="AG9:AH9"/>
    <mergeCell ref="AK14:AL14"/>
    <mergeCell ref="AK15:AL15"/>
    <mergeCell ref="AK16:AL16"/>
    <mergeCell ref="AK17:AL17"/>
    <mergeCell ref="AK18:AL18"/>
    <mergeCell ref="AK4:AL4"/>
    <mergeCell ref="AK5:AL5"/>
    <mergeCell ref="AK6:AL6"/>
    <mergeCell ref="AK7:AL7"/>
    <mergeCell ref="AK8:AL8"/>
    <mergeCell ref="AK9:AL9"/>
    <mergeCell ref="AK10:AL10"/>
    <mergeCell ref="AK11:AL11"/>
    <mergeCell ref="AK12:AL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016D7-6975-47A4-AB39-EB23FCC8D7E0}">
  <dimension ref="A1:AP18"/>
  <sheetViews>
    <sheetView showGridLines="0" workbookViewId="0">
      <pane xSplit="4" ySplit="5" topLeftCell="E6" activePane="bottomRight" state="frozen"/>
      <selection activeCell="E1" sqref="E1"/>
      <selection pane="topRight" activeCell="E1" sqref="E1"/>
      <selection pane="bottomLeft" activeCell="E1" sqref="E1"/>
      <selection pane="bottomRight" activeCell="D18" sqref="D18"/>
    </sheetView>
  </sheetViews>
  <sheetFormatPr baseColWidth="10" defaultColWidth="11.375" defaultRowHeight="11.4" x14ac:dyDescent="0.2"/>
  <cols>
    <col min="1" max="1" width="11.25" style="3" bestFit="1" customWidth="1"/>
    <col min="2" max="2" width="15.875" style="3" bestFit="1" customWidth="1"/>
    <col min="3" max="3" width="10.125" style="3" bestFit="1" customWidth="1"/>
    <col min="4" max="4" width="21.375" style="3" customWidth="1"/>
    <col min="5" max="8" width="10.125" style="6" bestFit="1" customWidth="1"/>
    <col min="9" max="16384" width="11.375" style="3"/>
  </cols>
  <sheetData>
    <row r="1" spans="1:42" ht="21" thickBot="1" x14ac:dyDescent="0.25">
      <c r="A1" s="115" t="s">
        <v>12</v>
      </c>
      <c r="B1" s="115"/>
      <c r="C1" s="115"/>
      <c r="D1" s="115"/>
    </row>
    <row r="2" spans="1:42" s="7" customFormat="1" ht="13.5" customHeight="1" thickBot="1" x14ac:dyDescent="0.25">
      <c r="A2" s="116" t="s">
        <v>0</v>
      </c>
      <c r="B2" s="119" t="s">
        <v>1</v>
      </c>
      <c r="C2" s="119" t="s">
        <v>2</v>
      </c>
      <c r="D2" s="119" t="s">
        <v>5</v>
      </c>
      <c r="E2" s="9" t="s">
        <v>3</v>
      </c>
      <c r="F2" s="9" t="s">
        <v>4</v>
      </c>
      <c r="G2" s="9" t="s">
        <v>3</v>
      </c>
      <c r="H2" s="10" t="s">
        <v>4</v>
      </c>
      <c r="I2" s="9" t="s">
        <v>3</v>
      </c>
      <c r="J2" s="10" t="s">
        <v>4</v>
      </c>
      <c r="K2" s="9" t="s">
        <v>3</v>
      </c>
      <c r="L2" s="10" t="s">
        <v>4</v>
      </c>
      <c r="M2" s="9" t="s">
        <v>3</v>
      </c>
      <c r="N2" s="10" t="s">
        <v>4</v>
      </c>
      <c r="O2" s="9" t="s">
        <v>3</v>
      </c>
      <c r="P2" s="10" t="s">
        <v>4</v>
      </c>
      <c r="Q2" s="9" t="s">
        <v>3</v>
      </c>
      <c r="R2" s="10" t="s">
        <v>4</v>
      </c>
      <c r="S2" s="9" t="s">
        <v>3</v>
      </c>
      <c r="T2" s="10" t="s">
        <v>4</v>
      </c>
      <c r="U2" s="9" t="s">
        <v>3</v>
      </c>
      <c r="V2" s="10" t="s">
        <v>4</v>
      </c>
      <c r="W2" s="9" t="s">
        <v>3</v>
      </c>
      <c r="X2" s="10" t="s">
        <v>4</v>
      </c>
      <c r="Y2" s="9" t="s">
        <v>3</v>
      </c>
      <c r="Z2" s="10" t="s">
        <v>4</v>
      </c>
      <c r="AA2" s="9" t="s">
        <v>3</v>
      </c>
      <c r="AB2" s="10" t="s">
        <v>4</v>
      </c>
      <c r="AC2" s="123" t="s">
        <v>36</v>
      </c>
      <c r="AD2" s="124"/>
      <c r="AE2" s="123" t="s">
        <v>36</v>
      </c>
      <c r="AF2" s="124"/>
      <c r="AG2" s="9" t="s">
        <v>3</v>
      </c>
      <c r="AH2" s="10" t="s">
        <v>4</v>
      </c>
      <c r="AI2" s="9" t="s">
        <v>3</v>
      </c>
      <c r="AJ2" s="10" t="s">
        <v>4</v>
      </c>
      <c r="AK2" s="9" t="s">
        <v>3</v>
      </c>
      <c r="AL2" s="10" t="s">
        <v>4</v>
      </c>
      <c r="AM2" s="9" t="s">
        <v>3</v>
      </c>
      <c r="AN2" s="10" t="s">
        <v>4</v>
      </c>
      <c r="AO2" s="9" t="s">
        <v>3</v>
      </c>
      <c r="AP2" s="10" t="s">
        <v>4</v>
      </c>
    </row>
    <row r="3" spans="1:42" s="6" customFormat="1" ht="13.5" customHeight="1" thickTop="1" thickBot="1" x14ac:dyDescent="0.25">
      <c r="A3" s="117"/>
      <c r="B3" s="120"/>
      <c r="C3" s="120"/>
      <c r="D3" s="120"/>
      <c r="E3" s="5">
        <v>44480</v>
      </c>
      <c r="F3" s="5">
        <f>E3+5</f>
        <v>44485</v>
      </c>
      <c r="G3" s="5">
        <f>E3+7</f>
        <v>44487</v>
      </c>
      <c r="H3" s="11">
        <f>G3+5</f>
        <v>44492</v>
      </c>
      <c r="I3" s="5">
        <f>G3+7</f>
        <v>44494</v>
      </c>
      <c r="J3" s="11">
        <f>I3+5</f>
        <v>44499</v>
      </c>
      <c r="K3" s="5">
        <f>I3+7</f>
        <v>44501</v>
      </c>
      <c r="L3" s="11">
        <f>K3+5</f>
        <v>44506</v>
      </c>
      <c r="M3" s="5">
        <f>K3+7</f>
        <v>44508</v>
      </c>
      <c r="N3" s="11">
        <f>M3+5</f>
        <v>44513</v>
      </c>
      <c r="O3" s="5">
        <f>M3+7</f>
        <v>44515</v>
      </c>
      <c r="P3" s="11">
        <f>O3+5</f>
        <v>44520</v>
      </c>
      <c r="Q3" s="5">
        <f>O3+7</f>
        <v>44522</v>
      </c>
      <c r="R3" s="11">
        <f>Q3+5</f>
        <v>44527</v>
      </c>
      <c r="S3" s="5">
        <f>Q3+7</f>
        <v>44529</v>
      </c>
      <c r="T3" s="11">
        <f>S3+5</f>
        <v>44534</v>
      </c>
      <c r="U3" s="5">
        <f>S3+7</f>
        <v>44536</v>
      </c>
      <c r="V3" s="11">
        <f>U3+5</f>
        <v>44541</v>
      </c>
      <c r="W3" s="5">
        <f>U3+7</f>
        <v>44543</v>
      </c>
      <c r="X3" s="11">
        <f>W3+5</f>
        <v>44548</v>
      </c>
      <c r="Y3" s="5">
        <f>W3+7</f>
        <v>44550</v>
      </c>
      <c r="Z3" s="11">
        <f>Y3+5</f>
        <v>44555</v>
      </c>
      <c r="AA3" s="5">
        <f>Y3+7</f>
        <v>44557</v>
      </c>
      <c r="AB3" s="11">
        <f>AA3+5</f>
        <v>44562</v>
      </c>
      <c r="AC3" s="125">
        <v>44564</v>
      </c>
      <c r="AD3" s="126"/>
      <c r="AE3" s="125">
        <f>AC3+7</f>
        <v>44571</v>
      </c>
      <c r="AF3" s="126"/>
      <c r="AG3" s="5">
        <f>AE3+7</f>
        <v>44578</v>
      </c>
      <c r="AH3" s="11">
        <f>AG3+5</f>
        <v>44583</v>
      </c>
      <c r="AI3" s="5">
        <f>AG3+7</f>
        <v>44585</v>
      </c>
      <c r="AJ3" s="11">
        <f>AI3+5</f>
        <v>44590</v>
      </c>
      <c r="AK3" s="5">
        <f>AI3+7</f>
        <v>44592</v>
      </c>
      <c r="AL3" s="11">
        <f>AK3+5</f>
        <v>44597</v>
      </c>
      <c r="AM3" s="5">
        <f>AK3+7</f>
        <v>44599</v>
      </c>
      <c r="AN3" s="11">
        <f>AM3+5</f>
        <v>44604</v>
      </c>
      <c r="AO3" s="5">
        <f>AM3+7</f>
        <v>44606</v>
      </c>
      <c r="AP3" s="11">
        <f>AO3+5</f>
        <v>44611</v>
      </c>
    </row>
    <row r="4" spans="1:42" s="8" customFormat="1" ht="13.5" customHeight="1" thickTop="1" thickBot="1" x14ac:dyDescent="0.25">
      <c r="A4" s="117"/>
      <c r="B4" s="120"/>
      <c r="C4" s="120"/>
      <c r="D4" s="120"/>
      <c r="E4" s="109">
        <v>1</v>
      </c>
      <c r="F4" s="127"/>
      <c r="G4" s="109">
        <f>E4+1</f>
        <v>2</v>
      </c>
      <c r="H4" s="110"/>
      <c r="I4" s="109">
        <f>G4+1</f>
        <v>3</v>
      </c>
      <c r="J4" s="110"/>
      <c r="K4" s="109">
        <f>I4+1</f>
        <v>4</v>
      </c>
      <c r="L4" s="110"/>
      <c r="M4" s="109">
        <f>K4+1</f>
        <v>5</v>
      </c>
      <c r="N4" s="110"/>
      <c r="O4" s="109">
        <f>M4+1</f>
        <v>6</v>
      </c>
      <c r="P4" s="110"/>
      <c r="Q4" s="109">
        <f>O4+1</f>
        <v>7</v>
      </c>
      <c r="R4" s="110"/>
      <c r="S4" s="109">
        <f>Q4+1</f>
        <v>8</v>
      </c>
      <c r="T4" s="110"/>
      <c r="U4" s="109">
        <f>S4+1</f>
        <v>9</v>
      </c>
      <c r="V4" s="110"/>
      <c r="W4" s="109">
        <f>U4+1</f>
        <v>10</v>
      </c>
      <c r="X4" s="110"/>
      <c r="Y4" s="109">
        <f>W4+1</f>
        <v>11</v>
      </c>
      <c r="Z4" s="110"/>
      <c r="AA4" s="109">
        <f>Y4+1</f>
        <v>12</v>
      </c>
      <c r="AB4" s="110"/>
      <c r="AC4" s="104">
        <v>1</v>
      </c>
      <c r="AD4" s="105"/>
      <c r="AE4" s="109">
        <f>AC4+1</f>
        <v>2</v>
      </c>
      <c r="AF4" s="110"/>
      <c r="AG4" s="104">
        <f>AE4+1</f>
        <v>3</v>
      </c>
      <c r="AH4" s="108"/>
      <c r="AI4" s="104">
        <f>AG4+1</f>
        <v>4</v>
      </c>
      <c r="AJ4" s="108"/>
      <c r="AK4" s="104">
        <f>AI4+1</f>
        <v>5</v>
      </c>
      <c r="AL4" s="108"/>
      <c r="AM4" s="104">
        <f>AK4+1</f>
        <v>6</v>
      </c>
      <c r="AN4" s="108"/>
      <c r="AO4" s="104">
        <f>AM4+1</f>
        <v>7</v>
      </c>
      <c r="AP4" s="108"/>
    </row>
    <row r="5" spans="1:42" s="8" customFormat="1" ht="12.75" customHeight="1" thickTop="1" thickBot="1" x14ac:dyDescent="0.25">
      <c r="A5" s="118"/>
      <c r="B5" s="121"/>
      <c r="C5" s="121"/>
      <c r="D5" s="121"/>
      <c r="E5" s="106">
        <f>SUM(E6:F18)</f>
        <v>1558889.2</v>
      </c>
      <c r="F5" s="122"/>
      <c r="G5" s="106">
        <f>SUM(G6:H18)</f>
        <v>0</v>
      </c>
      <c r="H5" s="107"/>
      <c r="I5" s="106">
        <f>SUM(I6:J18)</f>
        <v>0</v>
      </c>
      <c r="J5" s="107"/>
      <c r="K5" s="106">
        <f>SUM(K6:L18)</f>
        <v>0</v>
      </c>
      <c r="L5" s="107"/>
      <c r="M5" s="106">
        <f>SUM(M6:N18)</f>
        <v>2509892</v>
      </c>
      <c r="N5" s="107"/>
      <c r="O5" s="106">
        <f>SUM(O6:P18)</f>
        <v>0</v>
      </c>
      <c r="P5" s="107"/>
      <c r="Q5" s="106">
        <f>SUM(Q6:R18)</f>
        <v>0</v>
      </c>
      <c r="R5" s="107"/>
      <c r="S5" s="106">
        <f>SUM(S6:T18)</f>
        <v>1378603.26</v>
      </c>
      <c r="T5" s="107"/>
      <c r="U5" s="106">
        <f>SUM(U6:V18)</f>
        <v>0</v>
      </c>
      <c r="V5" s="107"/>
      <c r="W5" s="106">
        <f>SUM(W6:X18)</f>
        <v>1674784.9</v>
      </c>
      <c r="X5" s="107"/>
      <c r="Y5" s="106">
        <f>SUM(Y6:Z18)</f>
        <v>0</v>
      </c>
      <c r="Z5" s="107"/>
      <c r="AA5" s="106">
        <f>SUM(AA6:AB18)</f>
        <v>0</v>
      </c>
      <c r="AB5" s="107"/>
      <c r="AC5" s="106">
        <f>SUM(AC6:AD18)</f>
        <v>0</v>
      </c>
      <c r="AD5" s="107"/>
      <c r="AE5" s="106">
        <f>SUM(AE6:AF18)</f>
        <v>0</v>
      </c>
      <c r="AF5" s="107"/>
      <c r="AG5" s="106">
        <f>SUM(AG6:AH18)</f>
        <v>0</v>
      </c>
      <c r="AH5" s="107"/>
      <c r="AI5" s="106">
        <f>SUM(AI6:AJ18)</f>
        <v>0</v>
      </c>
      <c r="AJ5" s="107"/>
      <c r="AK5" s="106">
        <f>SUM(AK6:AL18)</f>
        <v>0</v>
      </c>
      <c r="AL5" s="107"/>
      <c r="AM5" s="106">
        <f>SUM(AM6:AN18)</f>
        <v>0</v>
      </c>
      <c r="AN5" s="107"/>
      <c r="AO5" s="106">
        <f>SUM(AO6:AP18)</f>
        <v>0</v>
      </c>
      <c r="AP5" s="107"/>
    </row>
    <row r="6" spans="1:42" ht="12.6" thickTop="1" thickBot="1" x14ac:dyDescent="0.25">
      <c r="A6" s="12">
        <v>3</v>
      </c>
      <c r="B6" s="1" t="str">
        <f>IF(A6="","",_xlfn.XLOOKUP($A6,'[3]ANTICIPOS SAN SEBASTIÁN'!$B$1:$B$221,'[3]ANTICIPOS SAN SEBASTIÁN'!$I$1:$I$221))</f>
        <v>COINVI</v>
      </c>
      <c r="C6" s="2">
        <f>IF(A6="","",IF(_xlfn.XLOOKUP($A6,'[3]ANTICIPOS SAN SEBASTIÁN'!$B$1:$B$221,'[3]ANTICIPOS SAN SEBASTIÁN'!$K$1:$K$221)="","",_xlfn.XLOOKUP($A6,'[3]ANTICIPOS SAN SEBASTIÁN'!$B$1:$B$221,'[3]ANTICIPOS SAN SEBASTIÁN'!$K$1:$K$221)))</f>
        <v>27</v>
      </c>
      <c r="D6" s="16">
        <f t="shared" ref="D6:D17" si="0">SUM(E6:ZZ6)</f>
        <v>0</v>
      </c>
      <c r="E6" s="100">
        <v>0</v>
      </c>
      <c r="F6" s="111"/>
      <c r="G6" s="100">
        <v>0</v>
      </c>
      <c r="H6" s="101"/>
      <c r="I6" s="100">
        <v>0</v>
      </c>
      <c r="J6" s="101"/>
      <c r="K6" s="100">
        <v>0</v>
      </c>
      <c r="L6" s="101"/>
      <c r="M6" s="100">
        <v>0</v>
      </c>
      <c r="N6" s="101"/>
      <c r="O6" s="100">
        <v>0</v>
      </c>
      <c r="P6" s="101"/>
      <c r="Q6" s="100">
        <v>0</v>
      </c>
      <c r="R6" s="101"/>
      <c r="S6" s="100">
        <v>0</v>
      </c>
      <c r="T6" s="101"/>
      <c r="U6" s="100">
        <v>0</v>
      </c>
      <c r="V6" s="101"/>
      <c r="W6" s="100">
        <v>0</v>
      </c>
      <c r="X6" s="101"/>
      <c r="Y6" s="100">
        <v>0</v>
      </c>
      <c r="Z6" s="101"/>
      <c r="AA6" s="100">
        <v>0</v>
      </c>
      <c r="AB6" s="101"/>
      <c r="AC6" s="100">
        <v>0</v>
      </c>
      <c r="AD6" s="101"/>
      <c r="AE6" s="100">
        <v>0</v>
      </c>
      <c r="AF6" s="101"/>
      <c r="AG6" s="100">
        <v>0</v>
      </c>
      <c r="AH6" s="101"/>
      <c r="AI6" s="100">
        <v>0</v>
      </c>
      <c r="AJ6" s="101"/>
      <c r="AK6" s="100">
        <v>0</v>
      </c>
      <c r="AL6" s="101"/>
      <c r="AM6" s="100">
        <v>0</v>
      </c>
      <c r="AN6" s="101"/>
      <c r="AO6" s="100">
        <v>0</v>
      </c>
      <c r="AP6" s="101"/>
    </row>
    <row r="7" spans="1:42" ht="12.6" thickTop="1" thickBot="1" x14ac:dyDescent="0.25">
      <c r="A7" s="12">
        <v>4</v>
      </c>
      <c r="B7" s="1" t="str">
        <f>IF(A7="","",_xlfn.XLOOKUP($A7,'[3]ANTICIPOS SAN SEBASTIÁN'!$B$1:$B$221,'[3]ANTICIPOS SAN SEBASTIÁN'!$I$1:$I$221))</f>
        <v>OBREGÓN</v>
      </c>
      <c r="C7" s="2">
        <f>IF(A7="","",IF(_xlfn.XLOOKUP($A7,'[3]ANTICIPOS SAN SEBASTIÁN'!$B$1:$B$221,'[3]ANTICIPOS SAN SEBASTIÁN'!$K$1:$K$221)="","",_xlfn.XLOOKUP($A7,'[3]ANTICIPOS SAN SEBASTIÁN'!$B$1:$B$221,'[3]ANTICIPOS SAN SEBASTIÁN'!$K$1:$K$221)))</f>
        <v>27</v>
      </c>
      <c r="D7" s="16">
        <f t="shared" si="0"/>
        <v>1012697.86</v>
      </c>
      <c r="E7" s="100">
        <v>415001.59999999998</v>
      </c>
      <c r="F7" s="111"/>
      <c r="G7" s="100">
        <v>0</v>
      </c>
      <c r="H7" s="101"/>
      <c r="I7" s="100">
        <v>0</v>
      </c>
      <c r="J7" s="101"/>
      <c r="K7" s="100">
        <v>0</v>
      </c>
      <c r="L7" s="101"/>
      <c r="M7" s="100">
        <v>21576</v>
      </c>
      <c r="N7" s="101"/>
      <c r="O7" s="100">
        <v>0</v>
      </c>
      <c r="P7" s="101"/>
      <c r="Q7" s="100">
        <v>0</v>
      </c>
      <c r="R7" s="101"/>
      <c r="S7" s="100">
        <v>288060.13</v>
      </c>
      <c r="T7" s="101"/>
      <c r="U7" s="100">
        <v>0</v>
      </c>
      <c r="V7" s="101"/>
      <c r="W7" s="100">
        <v>288060.13</v>
      </c>
      <c r="X7" s="101"/>
      <c r="Y7" s="100">
        <v>0</v>
      </c>
      <c r="Z7" s="101"/>
      <c r="AA7" s="100">
        <v>0</v>
      </c>
      <c r="AB7" s="101"/>
      <c r="AC7" s="100">
        <v>0</v>
      </c>
      <c r="AD7" s="101"/>
      <c r="AE7" s="100">
        <v>0</v>
      </c>
      <c r="AF7" s="101"/>
      <c r="AG7" s="100">
        <v>0</v>
      </c>
      <c r="AH7" s="101"/>
      <c r="AI7" s="100">
        <v>0</v>
      </c>
      <c r="AJ7" s="101"/>
      <c r="AK7" s="100">
        <v>0</v>
      </c>
      <c r="AL7" s="101"/>
      <c r="AM7" s="100">
        <v>0</v>
      </c>
      <c r="AN7" s="101"/>
      <c r="AO7" s="100">
        <v>0</v>
      </c>
      <c r="AP7" s="101"/>
    </row>
    <row r="8" spans="1:42" ht="12.6" thickTop="1" thickBot="1" x14ac:dyDescent="0.25">
      <c r="A8" s="12">
        <v>5</v>
      </c>
      <c r="B8" s="1" t="str">
        <f>IF(A8="","",_xlfn.XLOOKUP($A8,'[3]ANTICIPOS SAN SEBASTIÁN'!$B$1:$B$221,'[3]ANTICIPOS SAN SEBASTIÁN'!$I$1:$I$221))</f>
        <v>POWER</v>
      </c>
      <c r="C8" s="2">
        <f>IF(A8="","",IF(_xlfn.XLOOKUP($A8,'[3]ANTICIPOS SAN SEBASTIÁN'!$B$1:$B$221,'[3]ANTICIPOS SAN SEBASTIÁN'!$K$1:$K$221)="","",_xlfn.XLOOKUP($A8,'[3]ANTICIPOS SAN SEBASTIÁN'!$B$1:$B$221,'[3]ANTICIPOS SAN SEBASTIÁN'!$K$1:$K$221)))</f>
        <v>28</v>
      </c>
      <c r="D8" s="16">
        <f t="shared" si="0"/>
        <v>596820</v>
      </c>
      <c r="E8" s="100">
        <v>0</v>
      </c>
      <c r="F8" s="111"/>
      <c r="G8" s="100">
        <v>0</v>
      </c>
      <c r="H8" s="101"/>
      <c r="I8" s="100">
        <v>0</v>
      </c>
      <c r="J8" s="101"/>
      <c r="K8" s="100">
        <v>0</v>
      </c>
      <c r="L8" s="101"/>
      <c r="M8" s="100">
        <v>596820</v>
      </c>
      <c r="N8" s="101"/>
      <c r="O8" s="100">
        <v>0</v>
      </c>
      <c r="P8" s="101"/>
      <c r="Q8" s="100">
        <v>0</v>
      </c>
      <c r="R8" s="101"/>
      <c r="S8" s="100">
        <v>0</v>
      </c>
      <c r="T8" s="101"/>
      <c r="U8" s="100">
        <v>0</v>
      </c>
      <c r="V8" s="101"/>
      <c r="W8" s="100">
        <v>0</v>
      </c>
      <c r="X8" s="101"/>
      <c r="Y8" s="100">
        <v>0</v>
      </c>
      <c r="Z8" s="101"/>
      <c r="AA8" s="100">
        <v>0</v>
      </c>
      <c r="AB8" s="101"/>
      <c r="AC8" s="100">
        <v>0</v>
      </c>
      <c r="AD8" s="101"/>
      <c r="AE8" s="100">
        <v>0</v>
      </c>
      <c r="AF8" s="101"/>
      <c r="AG8" s="100">
        <v>0</v>
      </c>
      <c r="AH8" s="101"/>
      <c r="AI8" s="100">
        <v>0</v>
      </c>
      <c r="AJ8" s="101"/>
      <c r="AK8" s="100">
        <v>0</v>
      </c>
      <c r="AL8" s="101"/>
      <c r="AM8" s="100">
        <v>0</v>
      </c>
      <c r="AN8" s="101"/>
      <c r="AO8" s="100">
        <v>0</v>
      </c>
      <c r="AP8" s="101"/>
    </row>
    <row r="9" spans="1:42" ht="12.6" thickTop="1" thickBot="1" x14ac:dyDescent="0.25">
      <c r="A9" s="12">
        <v>6</v>
      </c>
      <c r="B9" s="1" t="str">
        <f>IF(A9="","",_xlfn.XLOOKUP($A9,'[3]ANTICIPOS SAN SEBASTIÁN'!$B$1:$B$221,'[3]ANTICIPOS SAN SEBASTIÁN'!$I$1:$I$221))</f>
        <v>FASAR</v>
      </c>
      <c r="C9" s="2" t="str">
        <f>IF(A9="","",IF(_xlfn.XLOOKUP($A9,'[3]ANTICIPOS SAN SEBASTIÁN'!$B$1:$B$221,'[3]ANTICIPOS SAN SEBASTIÁN'!$K$1:$K$221)="","",_xlfn.XLOOKUP($A9,'[3]ANTICIPOS SAN SEBASTIÁN'!$B$1:$B$221,'[3]ANTICIPOS SAN SEBASTIÁN'!$K$1:$K$221)))</f>
        <v>29 Y 30</v>
      </c>
      <c r="D9" s="16">
        <f t="shared" si="0"/>
        <v>506635.80000000005</v>
      </c>
      <c r="E9" s="100">
        <v>0</v>
      </c>
      <c r="F9" s="111"/>
      <c r="G9" s="100">
        <v>0</v>
      </c>
      <c r="H9" s="101"/>
      <c r="I9" s="100">
        <v>0</v>
      </c>
      <c r="J9" s="101"/>
      <c r="K9" s="100">
        <v>0</v>
      </c>
      <c r="L9" s="101"/>
      <c r="M9" s="100">
        <v>0</v>
      </c>
      <c r="N9" s="101"/>
      <c r="O9" s="100">
        <v>0</v>
      </c>
      <c r="P9" s="101"/>
      <c r="Q9" s="100">
        <v>0</v>
      </c>
      <c r="R9" s="101"/>
      <c r="S9" s="100">
        <v>72154.899999999994</v>
      </c>
      <c r="T9" s="101"/>
      <c r="U9" s="100">
        <v>0</v>
      </c>
      <c r="V9" s="101"/>
      <c r="W9" s="100">
        <v>434480.9</v>
      </c>
      <c r="X9" s="101"/>
      <c r="Y9" s="100">
        <v>0</v>
      </c>
      <c r="Z9" s="101"/>
      <c r="AA9" s="100">
        <v>0</v>
      </c>
      <c r="AB9" s="101"/>
      <c r="AC9" s="100">
        <v>0</v>
      </c>
      <c r="AD9" s="101"/>
      <c r="AE9" s="100">
        <v>0</v>
      </c>
      <c r="AF9" s="101"/>
      <c r="AG9" s="100">
        <v>0</v>
      </c>
      <c r="AH9" s="101"/>
      <c r="AI9" s="100">
        <v>0</v>
      </c>
      <c r="AJ9" s="101"/>
      <c r="AK9" s="100">
        <v>0</v>
      </c>
      <c r="AL9" s="101"/>
      <c r="AM9" s="100">
        <v>0</v>
      </c>
      <c r="AN9" s="101"/>
      <c r="AO9" s="100">
        <v>0</v>
      </c>
      <c r="AP9" s="101"/>
    </row>
    <row r="10" spans="1:42" ht="12.6" thickTop="1" thickBot="1" x14ac:dyDescent="0.25">
      <c r="A10" s="12">
        <v>7</v>
      </c>
      <c r="B10" s="1" t="str">
        <f>IF(A10="","",_xlfn.XLOOKUP($A10,'[3]ANTICIPOS SAN SEBASTIÁN'!$B$1:$B$221,'[3]ANTICIPOS SAN SEBASTIÁN'!$I$1:$I$221))</f>
        <v>ULIGAB</v>
      </c>
      <c r="C10" s="2">
        <f>IF(A10="","",IF(_xlfn.XLOOKUP($A10,'[3]ANTICIPOS SAN SEBASTIÁN'!$B$1:$B$221,'[3]ANTICIPOS SAN SEBASTIÁN'!$K$1:$K$221)="","",_xlfn.XLOOKUP($A10,'[3]ANTICIPOS SAN SEBASTIÁN'!$B$1:$B$221,'[3]ANTICIPOS SAN SEBASTIÁN'!$K$1:$K$221)))</f>
        <v>31</v>
      </c>
      <c r="D10" s="16">
        <f t="shared" si="0"/>
        <v>0</v>
      </c>
      <c r="E10" s="100">
        <v>0</v>
      </c>
      <c r="F10" s="111"/>
      <c r="G10" s="100">
        <v>0</v>
      </c>
      <c r="H10" s="101"/>
      <c r="I10" s="100">
        <v>0</v>
      </c>
      <c r="J10" s="101"/>
      <c r="K10" s="100">
        <v>0</v>
      </c>
      <c r="L10" s="101"/>
      <c r="M10" s="100">
        <v>0</v>
      </c>
      <c r="N10" s="101"/>
      <c r="O10" s="100">
        <v>0</v>
      </c>
      <c r="P10" s="101"/>
      <c r="Q10" s="100">
        <v>0</v>
      </c>
      <c r="R10" s="101"/>
      <c r="S10" s="100">
        <v>0</v>
      </c>
      <c r="T10" s="101"/>
      <c r="U10" s="100">
        <v>0</v>
      </c>
      <c r="V10" s="101"/>
      <c r="W10" s="100">
        <v>0</v>
      </c>
      <c r="X10" s="101"/>
      <c r="Y10" s="100">
        <v>0</v>
      </c>
      <c r="Z10" s="101"/>
      <c r="AA10" s="100">
        <v>0</v>
      </c>
      <c r="AB10" s="101"/>
      <c r="AC10" s="100">
        <v>0</v>
      </c>
      <c r="AD10" s="101"/>
      <c r="AE10" s="100">
        <v>0</v>
      </c>
      <c r="AF10" s="101"/>
      <c r="AG10" s="100">
        <v>0</v>
      </c>
      <c r="AH10" s="101"/>
      <c r="AI10" s="100">
        <v>0</v>
      </c>
      <c r="AJ10" s="101"/>
      <c r="AK10" s="100">
        <v>0</v>
      </c>
      <c r="AL10" s="101"/>
      <c r="AM10" s="100">
        <v>0</v>
      </c>
      <c r="AN10" s="101"/>
      <c r="AO10" s="100">
        <v>0</v>
      </c>
      <c r="AP10" s="101"/>
    </row>
    <row r="11" spans="1:42" ht="12.6" thickTop="1" thickBot="1" x14ac:dyDescent="0.25">
      <c r="A11" s="12">
        <v>8</v>
      </c>
      <c r="B11" s="1" t="str">
        <f>IF(A11="","",_xlfn.XLOOKUP($A11,'[3]ANTICIPOS SAN SEBASTIÁN'!$B$1:$B$221,'[3]ANTICIPOS SAN SEBASTIÁN'!$I$1:$I$221))</f>
        <v>ULIGAB</v>
      </c>
      <c r="C11" s="2">
        <f>IF(A11="","",IF(_xlfn.XLOOKUP($A11,'[3]ANTICIPOS SAN SEBASTIÁN'!$B$1:$B$221,'[3]ANTICIPOS SAN SEBASTIÁN'!$K$1:$K$221)="","",_xlfn.XLOOKUP($A11,'[3]ANTICIPOS SAN SEBASTIÁN'!$B$1:$B$221,'[3]ANTICIPOS SAN SEBASTIÁN'!$K$1:$K$221)))</f>
        <v>31</v>
      </c>
      <c r="D11" s="16">
        <f t="shared" si="0"/>
        <v>476238</v>
      </c>
      <c r="E11" s="100">
        <v>0</v>
      </c>
      <c r="F11" s="111"/>
      <c r="G11" s="100">
        <v>0</v>
      </c>
      <c r="H11" s="101"/>
      <c r="I11" s="100">
        <v>0</v>
      </c>
      <c r="J11" s="101"/>
      <c r="K11" s="100">
        <v>0</v>
      </c>
      <c r="L11" s="101"/>
      <c r="M11" s="100">
        <v>476238</v>
      </c>
      <c r="N11" s="101"/>
      <c r="O11" s="100">
        <v>0</v>
      </c>
      <c r="P11" s="101"/>
      <c r="Q11" s="100">
        <v>0</v>
      </c>
      <c r="R11" s="101"/>
      <c r="S11" s="100">
        <v>0</v>
      </c>
      <c r="T11" s="101"/>
      <c r="U11" s="100">
        <v>0</v>
      </c>
      <c r="V11" s="101"/>
      <c r="W11" s="100">
        <v>0</v>
      </c>
      <c r="X11" s="101"/>
      <c r="Y11" s="100">
        <v>0</v>
      </c>
      <c r="Z11" s="101"/>
      <c r="AA11" s="100">
        <v>0</v>
      </c>
      <c r="AB11" s="101"/>
      <c r="AC11" s="100">
        <v>0</v>
      </c>
      <c r="AD11" s="101"/>
      <c r="AE11" s="100">
        <v>0</v>
      </c>
      <c r="AF11" s="101"/>
      <c r="AG11" s="100">
        <v>0</v>
      </c>
      <c r="AH11" s="101"/>
      <c r="AI11" s="100">
        <v>0</v>
      </c>
      <c r="AJ11" s="101"/>
      <c r="AK11" s="100">
        <v>0</v>
      </c>
      <c r="AL11" s="101"/>
      <c r="AM11" s="100">
        <v>0</v>
      </c>
      <c r="AN11" s="101"/>
      <c r="AO11" s="100">
        <v>0</v>
      </c>
      <c r="AP11" s="101"/>
    </row>
    <row r="12" spans="1:42" ht="12.6" thickTop="1" thickBot="1" x14ac:dyDescent="0.25">
      <c r="A12" s="12">
        <v>9</v>
      </c>
      <c r="B12" s="1" t="str">
        <f>IF(A12="","",_xlfn.XLOOKUP($A12,'[3]ANTICIPOS SAN SEBASTIÁN'!$B$1:$B$221,'[3]ANTICIPOS SAN SEBASTIÁN'!$I$1:$I$221))</f>
        <v>ULIGAB</v>
      </c>
      <c r="C12" s="2">
        <f>IF(A12="","",IF(_xlfn.XLOOKUP($A12,'[3]ANTICIPOS SAN SEBASTIÁN'!$B$1:$B$221,'[3]ANTICIPOS SAN SEBASTIÁN'!$K$1:$K$221)="","",_xlfn.XLOOKUP($A12,'[3]ANTICIPOS SAN SEBASTIÁN'!$B$1:$B$221,'[3]ANTICIPOS SAN SEBASTIÁN'!$K$1:$K$221)))</f>
        <v>32</v>
      </c>
      <c r="D12" s="16">
        <f t="shared" si="0"/>
        <v>567524.19999999995</v>
      </c>
      <c r="E12" s="100">
        <v>567524.19999999995</v>
      </c>
      <c r="F12" s="111"/>
      <c r="G12" s="100">
        <v>0</v>
      </c>
      <c r="H12" s="101"/>
      <c r="I12" s="100">
        <v>0</v>
      </c>
      <c r="J12" s="101"/>
      <c r="K12" s="100">
        <v>0</v>
      </c>
      <c r="L12" s="101"/>
      <c r="M12" s="100">
        <v>0</v>
      </c>
      <c r="N12" s="101"/>
      <c r="O12" s="100">
        <v>0</v>
      </c>
      <c r="P12" s="101"/>
      <c r="Q12" s="100">
        <v>0</v>
      </c>
      <c r="R12" s="101"/>
      <c r="S12" s="100">
        <v>0</v>
      </c>
      <c r="T12" s="101"/>
      <c r="U12" s="100">
        <v>0</v>
      </c>
      <c r="V12" s="101"/>
      <c r="W12" s="100">
        <v>0</v>
      </c>
      <c r="X12" s="101"/>
      <c r="Y12" s="100">
        <v>0</v>
      </c>
      <c r="Z12" s="101"/>
      <c r="AA12" s="100">
        <v>0</v>
      </c>
      <c r="AB12" s="101"/>
      <c r="AC12" s="100">
        <v>0</v>
      </c>
      <c r="AD12" s="101"/>
      <c r="AE12" s="100">
        <v>0</v>
      </c>
      <c r="AF12" s="101"/>
      <c r="AG12" s="100">
        <v>0</v>
      </c>
      <c r="AH12" s="101"/>
      <c r="AI12" s="100">
        <v>0</v>
      </c>
      <c r="AJ12" s="101"/>
      <c r="AK12" s="100">
        <v>0</v>
      </c>
      <c r="AL12" s="101"/>
      <c r="AM12" s="100">
        <v>0</v>
      </c>
      <c r="AN12" s="101"/>
      <c r="AO12" s="100">
        <v>0</v>
      </c>
      <c r="AP12" s="101"/>
    </row>
    <row r="13" spans="1:42" ht="12.6" thickTop="1" thickBot="1" x14ac:dyDescent="0.25">
      <c r="A13" s="12">
        <v>10</v>
      </c>
      <c r="B13" s="1" t="str">
        <f>IF(A13="","",_xlfn.XLOOKUP($A13,'[3]ANTICIPOS SAN SEBASTIÁN'!$B$1:$B$221,'[3]ANTICIPOS SAN SEBASTIÁN'!$I$1:$I$221))</f>
        <v>ANGEL ALAMEDA</v>
      </c>
      <c r="C13" s="2">
        <f>IF(A13="","",IF(_xlfn.XLOOKUP($A13,'[3]ANTICIPOS SAN SEBASTIÁN'!$B$1:$B$221,'[3]ANTICIPOS SAN SEBASTIÁN'!$K$1:$K$221)="","",_xlfn.XLOOKUP($A13,'[3]ANTICIPOS SAN SEBASTIÁN'!$B$1:$B$221,'[3]ANTICIPOS SAN SEBASTIÁN'!$K$1:$K$221)))</f>
        <v>33</v>
      </c>
      <c r="D13" s="16">
        <f t="shared" si="0"/>
        <v>231263.4</v>
      </c>
      <c r="E13" s="100">
        <v>231263.4</v>
      </c>
      <c r="F13" s="111"/>
      <c r="G13" s="100">
        <v>0</v>
      </c>
      <c r="H13" s="101"/>
      <c r="I13" s="100">
        <v>0</v>
      </c>
      <c r="J13" s="101"/>
      <c r="K13" s="100">
        <v>0</v>
      </c>
      <c r="L13" s="101"/>
      <c r="M13" s="100">
        <v>0</v>
      </c>
      <c r="N13" s="101"/>
      <c r="O13" s="100">
        <v>0</v>
      </c>
      <c r="P13" s="101"/>
      <c r="Q13" s="100">
        <v>0</v>
      </c>
      <c r="R13" s="101"/>
      <c r="S13" s="100">
        <v>0</v>
      </c>
      <c r="T13" s="101"/>
      <c r="U13" s="100">
        <v>0</v>
      </c>
      <c r="V13" s="101"/>
      <c r="W13" s="100">
        <v>0</v>
      </c>
      <c r="X13" s="101"/>
      <c r="Y13" s="100">
        <v>0</v>
      </c>
      <c r="Z13" s="101"/>
      <c r="AA13" s="100">
        <v>0</v>
      </c>
      <c r="AB13" s="101"/>
      <c r="AC13" s="100">
        <v>0</v>
      </c>
      <c r="AD13" s="101"/>
      <c r="AE13" s="100">
        <v>0</v>
      </c>
      <c r="AF13" s="101"/>
      <c r="AG13" s="100">
        <v>0</v>
      </c>
      <c r="AH13" s="101"/>
      <c r="AI13" s="100">
        <v>0</v>
      </c>
      <c r="AJ13" s="101"/>
      <c r="AK13" s="100">
        <v>0</v>
      </c>
      <c r="AL13" s="101"/>
      <c r="AM13" s="100">
        <v>0</v>
      </c>
      <c r="AN13" s="101"/>
      <c r="AO13" s="100">
        <v>0</v>
      </c>
      <c r="AP13" s="101"/>
    </row>
    <row r="14" spans="1:42" ht="12.6" thickTop="1" thickBot="1" x14ac:dyDescent="0.25">
      <c r="A14" s="12">
        <v>11</v>
      </c>
      <c r="B14" s="1" t="str">
        <f>IF(A14="","",_xlfn.XLOOKUP($A14,'[3]ANTICIPOS SAN SEBASTIÁN'!$B$1:$B$221,'[3]ANTICIPOS SAN SEBASTIÁN'!$I$1:$I$221))</f>
        <v>POWER</v>
      </c>
      <c r="C14" s="2">
        <f>IF(A14="","",IF(_xlfn.XLOOKUP($A14,'[3]ANTICIPOS SAN SEBASTIÁN'!$B$1:$B$221,'[3]ANTICIPOS SAN SEBASTIÁN'!$K$1:$K$221)="","",_xlfn.XLOOKUP($A14,'[3]ANTICIPOS SAN SEBASTIÁN'!$B$1:$B$221,'[3]ANTICIPOS SAN SEBASTIÁN'!$K$1:$K$221)))</f>
        <v>33</v>
      </c>
      <c r="D14" s="16">
        <f t="shared" si="0"/>
        <v>0</v>
      </c>
      <c r="E14" s="100">
        <v>0</v>
      </c>
      <c r="F14" s="111"/>
      <c r="G14" s="100">
        <v>0</v>
      </c>
      <c r="H14" s="101"/>
      <c r="I14" s="100">
        <v>0</v>
      </c>
      <c r="J14" s="101"/>
      <c r="K14" s="100">
        <v>0</v>
      </c>
      <c r="L14" s="101"/>
      <c r="M14" s="100">
        <v>0</v>
      </c>
      <c r="N14" s="101"/>
      <c r="O14" s="100">
        <v>0</v>
      </c>
      <c r="P14" s="101"/>
      <c r="Q14" s="100">
        <v>0</v>
      </c>
      <c r="R14" s="101"/>
      <c r="S14" s="100">
        <v>0</v>
      </c>
      <c r="T14" s="101"/>
      <c r="U14" s="100">
        <v>0</v>
      </c>
      <c r="V14" s="101"/>
      <c r="W14" s="100">
        <v>0</v>
      </c>
      <c r="X14" s="101"/>
      <c r="Y14" s="100">
        <v>0</v>
      </c>
      <c r="Z14" s="101"/>
      <c r="AA14" s="100">
        <v>0</v>
      </c>
      <c r="AB14" s="101"/>
      <c r="AC14" s="100">
        <v>0</v>
      </c>
      <c r="AD14" s="101"/>
      <c r="AE14" s="100">
        <v>0</v>
      </c>
      <c r="AF14" s="101"/>
      <c r="AG14" s="100">
        <v>0</v>
      </c>
      <c r="AH14" s="101"/>
      <c r="AI14" s="100">
        <v>0</v>
      </c>
      <c r="AJ14" s="101"/>
      <c r="AK14" s="100">
        <v>0</v>
      </c>
      <c r="AL14" s="101"/>
      <c r="AM14" s="100">
        <v>0</v>
      </c>
      <c r="AN14" s="101"/>
      <c r="AO14" s="100">
        <v>0</v>
      </c>
      <c r="AP14" s="101"/>
    </row>
    <row r="15" spans="1:42" ht="12.6" thickTop="1" thickBot="1" x14ac:dyDescent="0.25">
      <c r="A15" s="12">
        <v>12</v>
      </c>
      <c r="B15" s="1" t="str">
        <f>IF(A15="","",_xlfn.XLOOKUP($A15,'[3]ANTICIPOS SAN SEBASTIÁN'!$B$1:$B$221,'[3]ANTICIPOS SAN SEBASTIÁN'!$I$1:$I$221))</f>
        <v>CONSORCIO RM</v>
      </c>
      <c r="C15" s="2">
        <f>IF(A15="","",IF(_xlfn.XLOOKUP($A15,'[3]ANTICIPOS SAN SEBASTIÁN'!$B$1:$B$221,'[3]ANTICIPOS SAN SEBASTIÁN'!$K$1:$K$221)="","",_xlfn.XLOOKUP($A15,'[3]ANTICIPOS SAN SEBASTIÁN'!$B$1:$B$221,'[3]ANTICIPOS SAN SEBASTIÁN'!$K$1:$K$221)))</f>
        <v>34</v>
      </c>
      <c r="D15" s="16">
        <f t="shared" si="0"/>
        <v>345100</v>
      </c>
      <c r="E15" s="100">
        <v>345100</v>
      </c>
      <c r="F15" s="111"/>
      <c r="G15" s="100">
        <v>0</v>
      </c>
      <c r="H15" s="101"/>
      <c r="I15" s="100">
        <v>0</v>
      </c>
      <c r="J15" s="101"/>
      <c r="K15" s="100">
        <v>0</v>
      </c>
      <c r="L15" s="101"/>
      <c r="M15" s="100">
        <v>0</v>
      </c>
      <c r="N15" s="101"/>
      <c r="O15" s="100">
        <v>0</v>
      </c>
      <c r="P15" s="101"/>
      <c r="Q15" s="100">
        <v>0</v>
      </c>
      <c r="R15" s="101"/>
      <c r="S15" s="100">
        <v>0</v>
      </c>
      <c r="T15" s="101"/>
      <c r="U15" s="100">
        <v>0</v>
      </c>
      <c r="V15" s="101"/>
      <c r="W15" s="100">
        <v>0</v>
      </c>
      <c r="X15" s="101"/>
      <c r="Y15" s="100">
        <v>0</v>
      </c>
      <c r="Z15" s="101"/>
      <c r="AA15" s="100">
        <v>0</v>
      </c>
      <c r="AB15" s="101"/>
      <c r="AC15" s="100">
        <v>0</v>
      </c>
      <c r="AD15" s="101"/>
      <c r="AE15" s="100">
        <v>0</v>
      </c>
      <c r="AF15" s="101"/>
      <c r="AG15" s="100">
        <v>0</v>
      </c>
      <c r="AH15" s="101"/>
      <c r="AI15" s="100">
        <v>0</v>
      </c>
      <c r="AJ15" s="101"/>
      <c r="AK15" s="100">
        <v>0</v>
      </c>
      <c r="AL15" s="101"/>
      <c r="AM15" s="100">
        <v>0</v>
      </c>
      <c r="AN15" s="101"/>
      <c r="AO15" s="100">
        <v>0</v>
      </c>
      <c r="AP15" s="101"/>
    </row>
    <row r="16" spans="1:42" ht="12.6" thickTop="1" thickBot="1" x14ac:dyDescent="0.25">
      <c r="A16" s="12">
        <v>13</v>
      </c>
      <c r="B16" s="1" t="str">
        <f>IF(A16="","",_xlfn.XLOOKUP($A16,'[3]ANTICIPOS SAN SEBASTIÁN'!$B$1:$B$221,'[3]ANTICIPOS SAN SEBASTIÁN'!$I$1:$I$221))</f>
        <v>CONSORCIO RM</v>
      </c>
      <c r="C16" s="2">
        <f>IF(A16="","",IF(_xlfn.XLOOKUP($A16,'[3]ANTICIPOS SAN SEBASTIÁN'!$B$1:$B$221,'[3]ANTICIPOS SAN SEBASTIÁN'!$K$1:$K$221)="","",_xlfn.XLOOKUP($A16,'[3]ANTICIPOS SAN SEBASTIÁN'!$B$1:$B$221,'[3]ANTICIPOS SAN SEBASTIÁN'!$K$1:$K$221)))</f>
        <v>34</v>
      </c>
      <c r="D16" s="16">
        <f t="shared" si="0"/>
        <v>968832</v>
      </c>
      <c r="E16" s="100">
        <v>0</v>
      </c>
      <c r="F16" s="111"/>
      <c r="G16" s="100">
        <v>0</v>
      </c>
      <c r="H16" s="101"/>
      <c r="I16" s="100">
        <v>0</v>
      </c>
      <c r="J16" s="101"/>
      <c r="K16" s="100">
        <v>0</v>
      </c>
      <c r="L16" s="101"/>
      <c r="M16" s="100">
        <v>595080</v>
      </c>
      <c r="N16" s="101"/>
      <c r="O16" s="100">
        <v>0</v>
      </c>
      <c r="P16" s="101"/>
      <c r="Q16" s="100">
        <v>0</v>
      </c>
      <c r="R16" s="101"/>
      <c r="S16" s="100">
        <v>373752</v>
      </c>
      <c r="T16" s="101"/>
      <c r="U16" s="100">
        <v>0</v>
      </c>
      <c r="V16" s="101"/>
      <c r="W16" s="100">
        <v>0</v>
      </c>
      <c r="X16" s="101"/>
      <c r="Y16" s="100">
        <v>0</v>
      </c>
      <c r="Z16" s="101"/>
      <c r="AA16" s="100">
        <v>0</v>
      </c>
      <c r="AB16" s="101"/>
      <c r="AC16" s="100">
        <v>0</v>
      </c>
      <c r="AD16" s="101"/>
      <c r="AE16" s="100">
        <v>0</v>
      </c>
      <c r="AF16" s="101"/>
      <c r="AG16" s="100">
        <v>0</v>
      </c>
      <c r="AH16" s="101"/>
      <c r="AI16" s="100">
        <v>0</v>
      </c>
      <c r="AJ16" s="101"/>
      <c r="AK16" s="100">
        <v>0</v>
      </c>
      <c r="AL16" s="101"/>
      <c r="AM16" s="100">
        <v>0</v>
      </c>
      <c r="AN16" s="101"/>
      <c r="AO16" s="100">
        <v>0</v>
      </c>
      <c r="AP16" s="101"/>
    </row>
    <row r="17" spans="1:42" ht="12.6" thickTop="1" thickBot="1" x14ac:dyDescent="0.25">
      <c r="A17" s="12">
        <v>14</v>
      </c>
      <c r="B17" s="1" t="str">
        <f>IF(A17="","",_xlfn.XLOOKUP($A17,'[3]ANTICIPOS SAN SEBASTIÁN'!$B$1:$B$221,'[3]ANTICIPOS SAN SEBASTIÁN'!$I$1:$I$221))</f>
        <v>COBYPSA</v>
      </c>
      <c r="C17" s="2">
        <f>IF(A17="","",IF(_xlfn.XLOOKUP($A17,'[3]ANTICIPOS SAN SEBASTIÁN'!$B$1:$B$221,'[3]ANTICIPOS SAN SEBASTIÁN'!$K$1:$K$221)="","",_xlfn.XLOOKUP($A17,'[3]ANTICIPOS SAN SEBASTIÁN'!$B$1:$B$221,'[3]ANTICIPOS SAN SEBASTIÁN'!$K$1:$K$221)))</f>
        <v>35</v>
      </c>
      <c r="D17" s="16">
        <f t="shared" si="0"/>
        <v>635849.36</v>
      </c>
      <c r="E17" s="100">
        <v>0</v>
      </c>
      <c r="F17" s="111"/>
      <c r="G17" s="100">
        <v>0</v>
      </c>
      <c r="H17" s="101"/>
      <c r="I17" s="100">
        <v>0</v>
      </c>
      <c r="J17" s="101"/>
      <c r="K17" s="100">
        <v>0</v>
      </c>
      <c r="L17" s="101"/>
      <c r="M17" s="100">
        <v>167678</v>
      </c>
      <c r="N17" s="101"/>
      <c r="O17" s="100">
        <v>0</v>
      </c>
      <c r="P17" s="101"/>
      <c r="Q17" s="100">
        <v>0</v>
      </c>
      <c r="R17" s="101"/>
      <c r="S17" s="100">
        <v>234085.68</v>
      </c>
      <c r="T17" s="101"/>
      <c r="U17" s="100">
        <v>0</v>
      </c>
      <c r="V17" s="101"/>
      <c r="W17" s="100">
        <v>234085.68</v>
      </c>
      <c r="X17" s="101"/>
      <c r="Y17" s="100">
        <v>0</v>
      </c>
      <c r="Z17" s="101"/>
      <c r="AA17" s="100">
        <v>0</v>
      </c>
      <c r="AB17" s="101"/>
      <c r="AC17" s="100">
        <v>0</v>
      </c>
      <c r="AD17" s="101"/>
      <c r="AE17" s="100">
        <v>0</v>
      </c>
      <c r="AF17" s="101"/>
      <c r="AG17" s="100">
        <v>0</v>
      </c>
      <c r="AH17" s="101"/>
      <c r="AI17" s="100">
        <v>0</v>
      </c>
      <c r="AJ17" s="101"/>
      <c r="AK17" s="100">
        <v>0</v>
      </c>
      <c r="AL17" s="101"/>
      <c r="AM17" s="100">
        <v>0</v>
      </c>
      <c r="AN17" s="101"/>
      <c r="AO17" s="100">
        <v>0</v>
      </c>
      <c r="AP17" s="101"/>
    </row>
    <row r="18" spans="1:42" ht="12.6" thickTop="1" thickBot="1" x14ac:dyDescent="0.25">
      <c r="A18" s="13">
        <v>15</v>
      </c>
      <c r="B18" s="14" t="str">
        <f>IF(A18="","",_xlfn.XLOOKUP($A18,'[3]ANTICIPOS SAN SEBASTIÁN'!$B$1:$B$221,'[3]ANTICIPOS SAN SEBASTIÁN'!$I$1:$I$221))</f>
        <v>ANGEL ALAMEDA</v>
      </c>
      <c r="C18" s="15">
        <f>IF(A18="","",IF(_xlfn.XLOOKUP($A18,'[3]ANTICIPOS SAN SEBASTIÁN'!$B$1:$B$221,'[3]ANTICIPOS SAN SEBASTIÁN'!$K$1:$K$221)="","",_xlfn.XLOOKUP($A18,'[3]ANTICIPOS SAN SEBASTIÁN'!$B$1:$B$221,'[3]ANTICIPOS SAN SEBASTIÁN'!$K$1:$K$221)))</f>
        <v>36</v>
      </c>
      <c r="D18" s="16">
        <f>SUM(E18:ZZ18)</f>
        <v>1781208.74</v>
      </c>
      <c r="E18" s="102">
        <v>0</v>
      </c>
      <c r="F18" s="112"/>
      <c r="G18" s="102">
        <v>0</v>
      </c>
      <c r="H18" s="103"/>
      <c r="I18" s="102">
        <v>0</v>
      </c>
      <c r="J18" s="103"/>
      <c r="K18" s="102">
        <v>0</v>
      </c>
      <c r="L18" s="103"/>
      <c r="M18" s="102">
        <v>652500</v>
      </c>
      <c r="N18" s="103"/>
      <c r="O18" s="102">
        <v>0</v>
      </c>
      <c r="P18" s="103"/>
      <c r="Q18" s="102">
        <v>0</v>
      </c>
      <c r="R18" s="103"/>
      <c r="S18" s="102">
        <v>410550.55</v>
      </c>
      <c r="T18" s="103"/>
      <c r="U18" s="102">
        <v>0</v>
      </c>
      <c r="V18" s="103"/>
      <c r="W18" s="102">
        <v>718158.19</v>
      </c>
      <c r="X18" s="103"/>
      <c r="Y18" s="102">
        <v>0</v>
      </c>
      <c r="Z18" s="103"/>
      <c r="AA18" s="102">
        <v>0</v>
      </c>
      <c r="AB18" s="103"/>
      <c r="AC18" s="102">
        <v>0</v>
      </c>
      <c r="AD18" s="103"/>
      <c r="AE18" s="102">
        <v>0</v>
      </c>
      <c r="AF18" s="103"/>
      <c r="AG18" s="102">
        <v>0</v>
      </c>
      <c r="AH18" s="103"/>
      <c r="AI18" s="102">
        <v>0</v>
      </c>
      <c r="AJ18" s="103"/>
      <c r="AK18" s="102">
        <v>0</v>
      </c>
      <c r="AL18" s="103"/>
      <c r="AM18" s="102">
        <v>0</v>
      </c>
      <c r="AN18" s="103"/>
      <c r="AO18" s="102">
        <v>0</v>
      </c>
      <c r="AP18" s="103"/>
    </row>
  </sheetData>
  <autoFilter ref="A5:AD18" xr:uid="{991016D7-6975-47A4-AB39-EB23FCC8D7E0}">
    <filterColumn colId="4" showButton="0"/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</autoFilter>
  <mergeCells count="294">
    <mergeCell ref="AC2:AD2"/>
    <mergeCell ref="AE2:AF2"/>
    <mergeCell ref="AC3:AD3"/>
    <mergeCell ref="AE3:AF3"/>
    <mergeCell ref="AM16:AN16"/>
    <mergeCell ref="AM17:AN17"/>
    <mergeCell ref="AM18:AN18"/>
    <mergeCell ref="AO4:AP4"/>
    <mergeCell ref="AO5:AP5"/>
    <mergeCell ref="AO6:AP6"/>
    <mergeCell ref="AO7:AP7"/>
    <mergeCell ref="AO8:AP8"/>
    <mergeCell ref="AO9:AP9"/>
    <mergeCell ref="AO10:AP10"/>
    <mergeCell ref="AO11:AP11"/>
    <mergeCell ref="AO12:AP12"/>
    <mergeCell ref="AO13:AP13"/>
    <mergeCell ref="AO14:AP14"/>
    <mergeCell ref="AO15:AP15"/>
    <mergeCell ref="AO16:AP16"/>
    <mergeCell ref="AO17:AP17"/>
    <mergeCell ref="AO18:AP18"/>
    <mergeCell ref="AM4:AN4"/>
    <mergeCell ref="AM5:AN5"/>
    <mergeCell ref="AI11:AJ11"/>
    <mergeCell ref="AI12:AJ12"/>
    <mergeCell ref="AM13:AN13"/>
    <mergeCell ref="AM14:AN14"/>
    <mergeCell ref="AM15:AN15"/>
    <mergeCell ref="AI16:AJ16"/>
    <mergeCell ref="AI17:AJ17"/>
    <mergeCell ref="AM6:AN6"/>
    <mergeCell ref="AM7:AN7"/>
    <mergeCell ref="AM8:AN8"/>
    <mergeCell ref="AM9:AN9"/>
    <mergeCell ref="AM10:AN10"/>
    <mergeCell ref="AM11:AN11"/>
    <mergeCell ref="AM12:AN12"/>
    <mergeCell ref="AI13:AJ13"/>
    <mergeCell ref="AI14:AJ14"/>
    <mergeCell ref="AI18:AJ18"/>
    <mergeCell ref="AK4:AL4"/>
    <mergeCell ref="AK5:AL5"/>
    <mergeCell ref="AK6:AL6"/>
    <mergeCell ref="AK7:AL7"/>
    <mergeCell ref="AK8:AL8"/>
    <mergeCell ref="AK9:AL9"/>
    <mergeCell ref="AK10:AL10"/>
    <mergeCell ref="AK11:AL11"/>
    <mergeCell ref="AK12:AL12"/>
    <mergeCell ref="AK13:AL13"/>
    <mergeCell ref="AK14:AL14"/>
    <mergeCell ref="AK15:AL15"/>
    <mergeCell ref="AK16:AL16"/>
    <mergeCell ref="AK17:AL17"/>
    <mergeCell ref="AK18:AL18"/>
    <mergeCell ref="AI4:AJ4"/>
    <mergeCell ref="AI5:AJ5"/>
    <mergeCell ref="AI6:AJ6"/>
    <mergeCell ref="AI7:AJ7"/>
    <mergeCell ref="AI8:AJ8"/>
    <mergeCell ref="AI9:AJ9"/>
    <mergeCell ref="AI15:AJ15"/>
    <mergeCell ref="AI10:AJ10"/>
    <mergeCell ref="AE13:AF13"/>
    <mergeCell ref="AE14:AF14"/>
    <mergeCell ref="AE15:AF15"/>
    <mergeCell ref="AE16:AF16"/>
    <mergeCell ref="AE17:AF17"/>
    <mergeCell ref="AE18:AF18"/>
    <mergeCell ref="AG4:AH4"/>
    <mergeCell ref="AG5:AH5"/>
    <mergeCell ref="AG6:AH6"/>
    <mergeCell ref="AG7:AH7"/>
    <mergeCell ref="AG8:AH8"/>
    <mergeCell ref="AG9:AH9"/>
    <mergeCell ref="AG10:AH10"/>
    <mergeCell ref="AG11:AH11"/>
    <mergeCell ref="AG12:AH12"/>
    <mergeCell ref="AG13:AH13"/>
    <mergeCell ref="AG14:AH14"/>
    <mergeCell ref="AG15:AH15"/>
    <mergeCell ref="AG16:AH16"/>
    <mergeCell ref="AG17:AH17"/>
    <mergeCell ref="AG18:AH18"/>
    <mergeCell ref="AE4:AF4"/>
    <mergeCell ref="AE5:AF5"/>
    <mergeCell ref="AE6:AF6"/>
    <mergeCell ref="AE7:AF7"/>
    <mergeCell ref="AE8:AF8"/>
    <mergeCell ref="AE9:AF9"/>
    <mergeCell ref="AE10:AF10"/>
    <mergeCell ref="AE11:AF11"/>
    <mergeCell ref="AE12:AF12"/>
    <mergeCell ref="G9:H9"/>
    <mergeCell ref="E10:F10"/>
    <mergeCell ref="G10:H10"/>
    <mergeCell ref="E7:F7"/>
    <mergeCell ref="G7:H7"/>
    <mergeCell ref="A1:D1"/>
    <mergeCell ref="A2:A5"/>
    <mergeCell ref="B2:B5"/>
    <mergeCell ref="C2:C5"/>
    <mergeCell ref="D2:D5"/>
    <mergeCell ref="E4:F4"/>
    <mergeCell ref="G4:H4"/>
    <mergeCell ref="E5:F5"/>
    <mergeCell ref="G5:H5"/>
    <mergeCell ref="E6:F6"/>
    <mergeCell ref="G6:H6"/>
    <mergeCell ref="I4:J4"/>
    <mergeCell ref="I5:J5"/>
    <mergeCell ref="I6:J6"/>
    <mergeCell ref="I7:J7"/>
    <mergeCell ref="I8:J8"/>
    <mergeCell ref="E17:F17"/>
    <mergeCell ref="G17:H17"/>
    <mergeCell ref="E8:F8"/>
    <mergeCell ref="G8:H8"/>
    <mergeCell ref="E9:F9"/>
    <mergeCell ref="I14:J14"/>
    <mergeCell ref="I15:J15"/>
    <mergeCell ref="I16:J16"/>
    <mergeCell ref="I17:J17"/>
    <mergeCell ref="E18:F18"/>
    <mergeCell ref="G18:H18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I18:J18"/>
    <mergeCell ref="I9:J9"/>
    <mergeCell ref="I10:J10"/>
    <mergeCell ref="I11:J11"/>
    <mergeCell ref="I12:J12"/>
    <mergeCell ref="I13:J13"/>
    <mergeCell ref="K18:L18"/>
    <mergeCell ref="K9:L9"/>
    <mergeCell ref="K10:L10"/>
    <mergeCell ref="K11:L11"/>
    <mergeCell ref="K12:L12"/>
    <mergeCell ref="K13:L13"/>
    <mergeCell ref="K14:L14"/>
    <mergeCell ref="K15:L15"/>
    <mergeCell ref="K16:L16"/>
    <mergeCell ref="K17:L17"/>
    <mergeCell ref="K4:L4"/>
    <mergeCell ref="K5:L5"/>
    <mergeCell ref="K6:L6"/>
    <mergeCell ref="K7:L7"/>
    <mergeCell ref="K8:L8"/>
    <mergeCell ref="M4:N4"/>
    <mergeCell ref="M5:N5"/>
    <mergeCell ref="M6:N6"/>
    <mergeCell ref="M7:N7"/>
    <mergeCell ref="M8:N8"/>
    <mergeCell ref="M14:N14"/>
    <mergeCell ref="M15:N15"/>
    <mergeCell ref="M16:N16"/>
    <mergeCell ref="M17:N17"/>
    <mergeCell ref="M18:N18"/>
    <mergeCell ref="M9:N9"/>
    <mergeCell ref="M10:N10"/>
    <mergeCell ref="M11:N11"/>
    <mergeCell ref="M12:N12"/>
    <mergeCell ref="M13:N13"/>
    <mergeCell ref="O18:P18"/>
    <mergeCell ref="O9:P9"/>
    <mergeCell ref="O10:P10"/>
    <mergeCell ref="O11:P11"/>
    <mergeCell ref="O12:P12"/>
    <mergeCell ref="O13:P13"/>
    <mergeCell ref="O4:P4"/>
    <mergeCell ref="O5:P5"/>
    <mergeCell ref="O6:P6"/>
    <mergeCell ref="O7:P7"/>
    <mergeCell ref="O8:P8"/>
    <mergeCell ref="Q4:R4"/>
    <mergeCell ref="Q5:R5"/>
    <mergeCell ref="Q6:R6"/>
    <mergeCell ref="Q7:R7"/>
    <mergeCell ref="Q8:R8"/>
    <mergeCell ref="O14:P14"/>
    <mergeCell ref="O15:P15"/>
    <mergeCell ref="O16:P16"/>
    <mergeCell ref="O17:P17"/>
    <mergeCell ref="Q14:R14"/>
    <mergeCell ref="Q15:R15"/>
    <mergeCell ref="Q16:R16"/>
    <mergeCell ref="Q17:R17"/>
    <mergeCell ref="Q18:R18"/>
    <mergeCell ref="Q9:R9"/>
    <mergeCell ref="Q10:R10"/>
    <mergeCell ref="Q11:R11"/>
    <mergeCell ref="Q12:R12"/>
    <mergeCell ref="Q13:R13"/>
    <mergeCell ref="S18:T18"/>
    <mergeCell ref="S9:T9"/>
    <mergeCell ref="S10:T10"/>
    <mergeCell ref="S11:T11"/>
    <mergeCell ref="S12:T12"/>
    <mergeCell ref="S13:T13"/>
    <mergeCell ref="S14:T14"/>
    <mergeCell ref="S15:T15"/>
    <mergeCell ref="S16:T16"/>
    <mergeCell ref="S17:T17"/>
    <mergeCell ref="S4:T4"/>
    <mergeCell ref="S5:T5"/>
    <mergeCell ref="S6:T6"/>
    <mergeCell ref="S7:T7"/>
    <mergeCell ref="S8:T8"/>
    <mergeCell ref="U4:V4"/>
    <mergeCell ref="U5:V5"/>
    <mergeCell ref="U6:V6"/>
    <mergeCell ref="U7:V7"/>
    <mergeCell ref="U8:V8"/>
    <mergeCell ref="U14:V14"/>
    <mergeCell ref="U15:V15"/>
    <mergeCell ref="U16:V16"/>
    <mergeCell ref="U17:V17"/>
    <mergeCell ref="U18:V18"/>
    <mergeCell ref="U9:V9"/>
    <mergeCell ref="U10:V10"/>
    <mergeCell ref="U11:V11"/>
    <mergeCell ref="U12:V12"/>
    <mergeCell ref="U13:V13"/>
    <mergeCell ref="W18:X18"/>
    <mergeCell ref="W9:X9"/>
    <mergeCell ref="W10:X10"/>
    <mergeCell ref="W11:X11"/>
    <mergeCell ref="W12:X12"/>
    <mergeCell ref="W13:X13"/>
    <mergeCell ref="W4:X4"/>
    <mergeCell ref="W5:X5"/>
    <mergeCell ref="W6:X6"/>
    <mergeCell ref="W7:X7"/>
    <mergeCell ref="W8:X8"/>
    <mergeCell ref="Y4:Z4"/>
    <mergeCell ref="Y5:Z5"/>
    <mergeCell ref="Y6:Z6"/>
    <mergeCell ref="Y7:Z7"/>
    <mergeCell ref="Y8:Z8"/>
    <mergeCell ref="W14:X14"/>
    <mergeCell ref="W15:X15"/>
    <mergeCell ref="W16:X16"/>
    <mergeCell ref="W17:X17"/>
    <mergeCell ref="Y14:Z14"/>
    <mergeCell ref="Y15:Z15"/>
    <mergeCell ref="Y16:Z16"/>
    <mergeCell ref="Y17:Z17"/>
    <mergeCell ref="Y18:Z18"/>
    <mergeCell ref="Y9:Z9"/>
    <mergeCell ref="Y10:Z10"/>
    <mergeCell ref="Y11:Z11"/>
    <mergeCell ref="Y12:Z12"/>
    <mergeCell ref="Y13:Z13"/>
    <mergeCell ref="AA18:AB18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4:AB4"/>
    <mergeCell ref="AA5:AB5"/>
    <mergeCell ref="AA6:AB6"/>
    <mergeCell ref="AA7:AB7"/>
    <mergeCell ref="AA8:AB8"/>
    <mergeCell ref="AC4:AD4"/>
    <mergeCell ref="AC5:AD5"/>
    <mergeCell ref="AC6:AD6"/>
    <mergeCell ref="AC7:AD7"/>
    <mergeCell ref="AC8:AD8"/>
    <mergeCell ref="AC14:AD14"/>
    <mergeCell ref="AC15:AD15"/>
    <mergeCell ref="AC16:AD16"/>
    <mergeCell ref="AC17:AD17"/>
    <mergeCell ref="AC18:AD18"/>
    <mergeCell ref="AC9:AD9"/>
    <mergeCell ref="AC10:AD10"/>
    <mergeCell ref="AC11:AD11"/>
    <mergeCell ref="AC12:AD12"/>
    <mergeCell ref="AC13:AD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B33A-FD57-4B5D-8087-79DD879FB08C}">
  <dimension ref="A1:AL18"/>
  <sheetViews>
    <sheetView showGridLines="0" workbookViewId="0">
      <pane xSplit="4" ySplit="5" topLeftCell="E6" activePane="bottomRight" state="frozen"/>
      <selection activeCell="J13" sqref="J13"/>
      <selection pane="topRight" activeCell="J13" sqref="J13"/>
      <selection pane="bottomLeft" activeCell="J13" sqref="J13"/>
      <selection pane="bottomRight" activeCell="D18" sqref="D18"/>
    </sheetView>
  </sheetViews>
  <sheetFormatPr baseColWidth="10" defaultColWidth="11.375" defaultRowHeight="11.4" x14ac:dyDescent="0.2"/>
  <cols>
    <col min="1" max="1" width="11.25" style="3" bestFit="1" customWidth="1"/>
    <col min="2" max="2" width="15.875" style="3" bestFit="1" customWidth="1"/>
    <col min="3" max="3" width="10.125" style="3" bestFit="1" customWidth="1"/>
    <col min="4" max="4" width="14.375" style="3" bestFit="1" customWidth="1"/>
    <col min="5" max="8" width="10.125" style="6" bestFit="1" customWidth="1"/>
    <col min="9" max="16384" width="11.375" style="3"/>
  </cols>
  <sheetData>
    <row r="1" spans="1:38" ht="21" thickBot="1" x14ac:dyDescent="0.25">
      <c r="A1" s="115" t="s">
        <v>11</v>
      </c>
      <c r="B1" s="115"/>
      <c r="C1" s="115"/>
      <c r="D1" s="115"/>
    </row>
    <row r="2" spans="1:38" s="7" customFormat="1" ht="13.5" customHeight="1" thickBot="1" x14ac:dyDescent="0.25">
      <c r="A2" s="116" t="s">
        <v>0</v>
      </c>
      <c r="B2" s="119" t="s">
        <v>1</v>
      </c>
      <c r="C2" s="119" t="s">
        <v>2</v>
      </c>
      <c r="D2" s="119" t="s">
        <v>5</v>
      </c>
      <c r="E2" s="9" t="s">
        <v>3</v>
      </c>
      <c r="F2" s="9" t="s">
        <v>4</v>
      </c>
      <c r="G2" s="9" t="s">
        <v>3</v>
      </c>
      <c r="H2" s="10" t="s">
        <v>4</v>
      </c>
      <c r="I2" s="9" t="s">
        <v>3</v>
      </c>
      <c r="J2" s="10" t="s">
        <v>4</v>
      </c>
      <c r="K2" s="9" t="s">
        <v>3</v>
      </c>
      <c r="L2" s="10" t="s">
        <v>4</v>
      </c>
      <c r="M2" s="9" t="s">
        <v>3</v>
      </c>
      <c r="N2" s="10" t="s">
        <v>4</v>
      </c>
      <c r="O2" s="9" t="s">
        <v>3</v>
      </c>
      <c r="P2" s="10" t="s">
        <v>4</v>
      </c>
      <c r="Q2" s="9" t="s">
        <v>3</v>
      </c>
      <c r="R2" s="10" t="s">
        <v>4</v>
      </c>
      <c r="S2" s="9" t="s">
        <v>3</v>
      </c>
      <c r="T2" s="10" t="s">
        <v>4</v>
      </c>
      <c r="U2" s="9" t="s">
        <v>3</v>
      </c>
      <c r="V2" s="10" t="s">
        <v>4</v>
      </c>
      <c r="W2" s="9" t="s">
        <v>3</v>
      </c>
      <c r="X2" s="10" t="s">
        <v>4</v>
      </c>
      <c r="Y2" s="9" t="s">
        <v>3</v>
      </c>
      <c r="Z2" s="10" t="s">
        <v>4</v>
      </c>
      <c r="AA2" s="9" t="s">
        <v>3</v>
      </c>
      <c r="AB2" s="10" t="s">
        <v>4</v>
      </c>
      <c r="AC2" s="9" t="s">
        <v>3</v>
      </c>
      <c r="AD2" s="10" t="s">
        <v>4</v>
      </c>
      <c r="AE2" s="9" t="s">
        <v>3</v>
      </c>
      <c r="AF2" s="10" t="s">
        <v>4</v>
      </c>
      <c r="AG2" s="9" t="s">
        <v>3</v>
      </c>
      <c r="AH2" s="10" t="s">
        <v>4</v>
      </c>
      <c r="AI2" s="123" t="s">
        <v>36</v>
      </c>
      <c r="AJ2" s="124"/>
      <c r="AK2" s="123" t="s">
        <v>36</v>
      </c>
      <c r="AL2" s="124"/>
    </row>
    <row r="3" spans="1:38" s="6" customFormat="1" ht="13.5" customHeight="1" thickTop="1" thickBot="1" x14ac:dyDescent="0.25">
      <c r="A3" s="117"/>
      <c r="B3" s="120"/>
      <c r="C3" s="120"/>
      <c r="D3" s="120"/>
      <c r="E3" s="5">
        <v>44440</v>
      </c>
      <c r="F3" s="5">
        <v>44463</v>
      </c>
      <c r="G3" s="5">
        <v>44466</v>
      </c>
      <c r="H3" s="11">
        <f>G3+5</f>
        <v>44471</v>
      </c>
      <c r="I3" s="5">
        <f>G3+7</f>
        <v>44473</v>
      </c>
      <c r="J3" s="11">
        <f>I3+5</f>
        <v>44478</v>
      </c>
      <c r="K3" s="5">
        <f>I3+7</f>
        <v>44480</v>
      </c>
      <c r="L3" s="11">
        <f>K3+5</f>
        <v>44485</v>
      </c>
      <c r="M3" s="5">
        <f>K3+7</f>
        <v>44487</v>
      </c>
      <c r="N3" s="11">
        <f>M3+5</f>
        <v>44492</v>
      </c>
      <c r="O3" s="5">
        <f>M3+7</f>
        <v>44494</v>
      </c>
      <c r="P3" s="11">
        <f>O3+5</f>
        <v>44499</v>
      </c>
      <c r="Q3" s="5">
        <f>O3+7</f>
        <v>44501</v>
      </c>
      <c r="R3" s="11">
        <f>Q3+5</f>
        <v>44506</v>
      </c>
      <c r="S3" s="5">
        <f>Q3+7</f>
        <v>44508</v>
      </c>
      <c r="T3" s="11">
        <f>S3+5</f>
        <v>44513</v>
      </c>
      <c r="U3" s="5">
        <f>S3+7</f>
        <v>44515</v>
      </c>
      <c r="V3" s="11">
        <f>U3+5</f>
        <v>44520</v>
      </c>
      <c r="W3" s="5">
        <f>U3+7</f>
        <v>44522</v>
      </c>
      <c r="X3" s="11">
        <f>W3+5</f>
        <v>44527</v>
      </c>
      <c r="Y3" s="5">
        <f>W3+7</f>
        <v>44529</v>
      </c>
      <c r="Z3" s="11">
        <f>Y3+5</f>
        <v>44534</v>
      </c>
      <c r="AA3" s="5">
        <f>Y3+7</f>
        <v>44536</v>
      </c>
      <c r="AB3" s="11">
        <f>AA3+5</f>
        <v>44541</v>
      </c>
      <c r="AC3" s="5">
        <f>AA3+7</f>
        <v>44543</v>
      </c>
      <c r="AD3" s="11">
        <f>AC3+5</f>
        <v>44548</v>
      </c>
      <c r="AE3" s="5">
        <f>AC3+7</f>
        <v>44550</v>
      </c>
      <c r="AF3" s="11">
        <f>AE3+5</f>
        <v>44555</v>
      </c>
      <c r="AG3" s="5">
        <f>AE3+7</f>
        <v>44557</v>
      </c>
      <c r="AH3" s="11">
        <f>AG3+5</f>
        <v>44562</v>
      </c>
      <c r="AI3" s="125">
        <v>44564</v>
      </c>
      <c r="AJ3" s="126"/>
      <c r="AK3" s="125">
        <f>AI3+7</f>
        <v>44571</v>
      </c>
      <c r="AL3" s="126"/>
    </row>
    <row r="4" spans="1:38" s="8" customFormat="1" ht="13.5" customHeight="1" thickTop="1" thickBot="1" x14ac:dyDescent="0.25">
      <c r="A4" s="117"/>
      <c r="B4" s="120"/>
      <c r="C4" s="120"/>
      <c r="D4" s="120"/>
      <c r="E4" s="109">
        <v>1</v>
      </c>
      <c r="F4" s="127"/>
      <c r="G4" s="109">
        <f>E4+1</f>
        <v>2</v>
      </c>
      <c r="H4" s="110"/>
      <c r="I4" s="109">
        <f>G4+1</f>
        <v>3</v>
      </c>
      <c r="J4" s="110"/>
      <c r="K4" s="109">
        <f>I4+1</f>
        <v>4</v>
      </c>
      <c r="L4" s="110"/>
      <c r="M4" s="109">
        <f>K4+1</f>
        <v>5</v>
      </c>
      <c r="N4" s="110"/>
      <c r="O4" s="109">
        <f>M4+1</f>
        <v>6</v>
      </c>
      <c r="P4" s="110"/>
      <c r="Q4" s="109">
        <f>O4+1</f>
        <v>7</v>
      </c>
      <c r="R4" s="110"/>
      <c r="S4" s="109">
        <f>Q4+1</f>
        <v>8</v>
      </c>
      <c r="T4" s="110"/>
      <c r="U4" s="109">
        <f>S4+1</f>
        <v>9</v>
      </c>
      <c r="V4" s="110"/>
      <c r="W4" s="109">
        <f>U4+1</f>
        <v>10</v>
      </c>
      <c r="X4" s="110"/>
      <c r="Y4" s="109">
        <f>W4+1</f>
        <v>11</v>
      </c>
      <c r="Z4" s="110"/>
      <c r="AA4" s="109">
        <f>Y4+1</f>
        <v>12</v>
      </c>
      <c r="AB4" s="110"/>
      <c r="AC4" s="109">
        <f>AA4+1</f>
        <v>13</v>
      </c>
      <c r="AD4" s="110"/>
      <c r="AE4" s="109">
        <f>AC4+1</f>
        <v>14</v>
      </c>
      <c r="AF4" s="110"/>
      <c r="AG4" s="109">
        <f>AE4+1</f>
        <v>15</v>
      </c>
      <c r="AH4" s="110"/>
      <c r="AI4" s="104">
        <v>1</v>
      </c>
      <c r="AJ4" s="105"/>
      <c r="AK4" s="109">
        <f>AI4+1</f>
        <v>2</v>
      </c>
      <c r="AL4" s="110"/>
    </row>
    <row r="5" spans="1:38" s="8" customFormat="1" ht="12.75" customHeight="1" thickTop="1" thickBot="1" x14ac:dyDescent="0.25">
      <c r="A5" s="118"/>
      <c r="B5" s="121"/>
      <c r="C5" s="121"/>
      <c r="D5" s="121"/>
      <c r="E5" s="106">
        <f>SUM(E6:F18)</f>
        <v>88749.74</v>
      </c>
      <c r="F5" s="122"/>
      <c r="G5" s="106">
        <f>SUM(G6:H18)</f>
        <v>35757.699999999997</v>
      </c>
      <c r="H5" s="107"/>
      <c r="I5" s="106">
        <f>SUM(I6:J18)</f>
        <v>120014.41</v>
      </c>
      <c r="J5" s="107"/>
      <c r="K5" s="106">
        <f>SUM(K6:L18)</f>
        <v>47728.2</v>
      </c>
      <c r="L5" s="107"/>
      <c r="M5" s="106">
        <f>SUM(M6:N18)</f>
        <v>49859.7</v>
      </c>
      <c r="N5" s="107"/>
      <c r="O5" s="106">
        <f>SUM(O6:P18)</f>
        <v>135536.08000000002</v>
      </c>
      <c r="P5" s="107"/>
      <c r="Q5" s="106">
        <f>SUM(Q6:R18)</f>
        <v>201832.43</v>
      </c>
      <c r="R5" s="107"/>
      <c r="S5" s="106">
        <f>SUM(S6:T18)</f>
        <v>205151.57</v>
      </c>
      <c r="T5" s="107"/>
      <c r="U5" s="106">
        <f>SUM(U6:V18)</f>
        <v>292442.5</v>
      </c>
      <c r="V5" s="107"/>
      <c r="W5" s="106">
        <f>SUM(W6:X18)</f>
        <v>410738.83999999997</v>
      </c>
      <c r="X5" s="107"/>
      <c r="Y5" s="106">
        <f>SUM(Y6:Z18)</f>
        <v>245161.13</v>
      </c>
      <c r="Z5" s="107"/>
      <c r="AA5" s="106">
        <f>SUM(AA6:AB18)</f>
        <v>130860.18000000001</v>
      </c>
      <c r="AB5" s="107"/>
      <c r="AC5" s="106">
        <f>SUM(AC6:AD18)</f>
        <v>112220.26</v>
      </c>
      <c r="AD5" s="107"/>
      <c r="AE5" s="106">
        <f>SUM(AE6:AF18)</f>
        <v>0</v>
      </c>
      <c r="AF5" s="107"/>
      <c r="AG5" s="106">
        <f>SUM(AG6:AH18)</f>
        <v>0</v>
      </c>
      <c r="AH5" s="107"/>
    </row>
    <row r="6" spans="1:38" ht="12.6" thickTop="1" thickBot="1" x14ac:dyDescent="0.25">
      <c r="A6" s="12">
        <v>3</v>
      </c>
      <c r="B6" s="1" t="str">
        <f>IF(A6="","",_xlfn.XLOOKUP($A6,'[3]ANTICIPOS SAN SEBASTIÁN'!$B$1:$B$221,'[3]ANTICIPOS SAN SEBASTIÁN'!$I$1:$I$221))</f>
        <v>COINVI</v>
      </c>
      <c r="C6" s="2">
        <f>IF(A6="","",IF(_xlfn.XLOOKUP($A6,'[3]ANTICIPOS SAN SEBASTIÁN'!$B$1:$B$221,'[3]ANTICIPOS SAN SEBASTIÁN'!$K$1:$K$221)="","",_xlfn.XLOOKUP($A6,'[3]ANTICIPOS SAN SEBASTIÁN'!$B$1:$B$221,'[3]ANTICIPOS SAN SEBASTIÁN'!$K$1:$K$221)))</f>
        <v>27</v>
      </c>
      <c r="D6" s="16">
        <f t="shared" ref="D6:D17" si="0">SUM(E6:ZZ6)</f>
        <v>0</v>
      </c>
      <c r="E6" s="100">
        <v>0</v>
      </c>
      <c r="F6" s="111"/>
      <c r="G6" s="100">
        <v>0</v>
      </c>
      <c r="H6" s="101"/>
      <c r="I6" s="100">
        <v>0</v>
      </c>
      <c r="J6" s="101"/>
      <c r="K6" s="100">
        <v>0</v>
      </c>
      <c r="L6" s="101"/>
      <c r="M6" s="100">
        <v>0</v>
      </c>
      <c r="N6" s="101"/>
      <c r="O6" s="100">
        <v>0</v>
      </c>
      <c r="P6" s="101"/>
      <c r="Q6" s="100">
        <v>0</v>
      </c>
      <c r="R6" s="101"/>
      <c r="S6" s="100">
        <v>0</v>
      </c>
      <c r="T6" s="101"/>
      <c r="U6" s="100">
        <v>0</v>
      </c>
      <c r="V6" s="101"/>
      <c r="W6" s="100">
        <v>0</v>
      </c>
      <c r="X6" s="101"/>
      <c r="Y6" s="100">
        <v>0</v>
      </c>
      <c r="Z6" s="101"/>
      <c r="AA6" s="100">
        <v>0</v>
      </c>
      <c r="AB6" s="101"/>
      <c r="AC6" s="100">
        <v>0</v>
      </c>
      <c r="AD6" s="101"/>
      <c r="AE6" s="100">
        <v>0</v>
      </c>
      <c r="AF6" s="101"/>
      <c r="AG6" s="100">
        <v>0</v>
      </c>
      <c r="AH6" s="101"/>
    </row>
    <row r="7" spans="1:38" ht="12.6" thickTop="1" thickBot="1" x14ac:dyDescent="0.25">
      <c r="A7" s="12">
        <v>4</v>
      </c>
      <c r="B7" s="1" t="str">
        <f>IF(A7="","",_xlfn.XLOOKUP($A7,'[3]ANTICIPOS SAN SEBASTIÁN'!$B$1:$B$221,'[3]ANTICIPOS SAN SEBASTIÁN'!$I$1:$I$221))</f>
        <v>OBREGÓN</v>
      </c>
      <c r="C7" s="2">
        <f>IF(A7="","",IF(_xlfn.XLOOKUP($A7,'[3]ANTICIPOS SAN SEBASTIÁN'!$B$1:$B$221,'[3]ANTICIPOS SAN SEBASTIÁN'!$K$1:$K$221)="","",_xlfn.XLOOKUP($A7,'[3]ANTICIPOS SAN SEBASTIÁN'!$B$1:$B$221,'[3]ANTICIPOS SAN SEBASTIÁN'!$K$1:$K$221)))</f>
        <v>27</v>
      </c>
      <c r="D7" s="16">
        <f t="shared" si="0"/>
        <v>0</v>
      </c>
      <c r="E7" s="100">
        <v>0</v>
      </c>
      <c r="F7" s="111"/>
      <c r="G7" s="100">
        <v>0</v>
      </c>
      <c r="H7" s="101"/>
      <c r="I7" s="100">
        <v>0</v>
      </c>
      <c r="J7" s="101"/>
      <c r="K7" s="100">
        <v>0</v>
      </c>
      <c r="L7" s="101"/>
      <c r="M7" s="100">
        <v>0</v>
      </c>
      <c r="N7" s="101"/>
      <c r="O7" s="100">
        <v>0</v>
      </c>
      <c r="P7" s="101"/>
      <c r="Q7" s="100">
        <v>0</v>
      </c>
      <c r="R7" s="101"/>
      <c r="S7" s="100">
        <v>0</v>
      </c>
      <c r="T7" s="101"/>
      <c r="U7" s="100">
        <v>0</v>
      </c>
      <c r="V7" s="101"/>
      <c r="W7" s="100">
        <v>0</v>
      </c>
      <c r="X7" s="101"/>
      <c r="Y7" s="100">
        <v>0</v>
      </c>
      <c r="Z7" s="101"/>
      <c r="AA7" s="100">
        <v>0</v>
      </c>
      <c r="AB7" s="101"/>
      <c r="AC7" s="100">
        <v>0</v>
      </c>
      <c r="AD7" s="101"/>
      <c r="AE7" s="100">
        <v>0</v>
      </c>
      <c r="AF7" s="101"/>
      <c r="AG7" s="100">
        <v>0</v>
      </c>
      <c r="AH7" s="101"/>
    </row>
    <row r="8" spans="1:38" ht="12.6" thickTop="1" thickBot="1" x14ac:dyDescent="0.25">
      <c r="A8" s="12">
        <v>5</v>
      </c>
      <c r="B8" s="1" t="str">
        <f>IF(A8="","",_xlfn.XLOOKUP($A8,'[3]ANTICIPOS SAN SEBASTIÁN'!$B$1:$B$221,'[3]ANTICIPOS SAN SEBASTIÁN'!$I$1:$I$221))</f>
        <v>POWER</v>
      </c>
      <c r="C8" s="2">
        <f>IF(A8="","",IF(_xlfn.XLOOKUP($A8,'[3]ANTICIPOS SAN SEBASTIÁN'!$B$1:$B$221,'[3]ANTICIPOS SAN SEBASTIÁN'!$K$1:$K$221)="","",_xlfn.XLOOKUP($A8,'[3]ANTICIPOS SAN SEBASTIÁN'!$B$1:$B$221,'[3]ANTICIPOS SAN SEBASTIÁN'!$K$1:$K$221)))</f>
        <v>28</v>
      </c>
      <c r="D8" s="16">
        <f t="shared" si="0"/>
        <v>0</v>
      </c>
      <c r="E8" s="100">
        <v>0</v>
      </c>
      <c r="F8" s="111"/>
      <c r="G8" s="100">
        <v>0</v>
      </c>
      <c r="H8" s="101"/>
      <c r="I8" s="100">
        <v>0</v>
      </c>
      <c r="J8" s="101"/>
      <c r="K8" s="100">
        <v>0</v>
      </c>
      <c r="L8" s="101"/>
      <c r="M8" s="100">
        <v>0</v>
      </c>
      <c r="N8" s="101"/>
      <c r="O8" s="100">
        <v>0</v>
      </c>
      <c r="P8" s="101"/>
      <c r="Q8" s="100">
        <v>0</v>
      </c>
      <c r="R8" s="101"/>
      <c r="S8" s="100">
        <v>0</v>
      </c>
      <c r="T8" s="101"/>
      <c r="U8" s="100">
        <v>0</v>
      </c>
      <c r="V8" s="101"/>
      <c r="W8" s="100">
        <v>0</v>
      </c>
      <c r="X8" s="101"/>
      <c r="Y8" s="100">
        <v>0</v>
      </c>
      <c r="Z8" s="101"/>
      <c r="AA8" s="100">
        <v>0</v>
      </c>
      <c r="AB8" s="101"/>
      <c r="AC8" s="100">
        <v>0</v>
      </c>
      <c r="AD8" s="101"/>
      <c r="AE8" s="100">
        <v>0</v>
      </c>
      <c r="AF8" s="101"/>
      <c r="AG8" s="100">
        <v>0</v>
      </c>
      <c r="AH8" s="101"/>
    </row>
    <row r="9" spans="1:38" ht="12.6" thickTop="1" thickBot="1" x14ac:dyDescent="0.25">
      <c r="A9" s="12">
        <v>6</v>
      </c>
      <c r="B9" s="1" t="str">
        <f>IF(A9="","",_xlfn.XLOOKUP($A9,'[3]ANTICIPOS SAN SEBASTIÁN'!$B$1:$B$221,'[3]ANTICIPOS SAN SEBASTIÁN'!$I$1:$I$221))</f>
        <v>FASAR</v>
      </c>
      <c r="C9" s="2" t="str">
        <f>IF(A9="","",IF(_xlfn.XLOOKUP($A9,'[3]ANTICIPOS SAN SEBASTIÁN'!$B$1:$B$221,'[3]ANTICIPOS SAN SEBASTIÁN'!$K$1:$K$221)="","",_xlfn.XLOOKUP($A9,'[3]ANTICIPOS SAN SEBASTIÁN'!$B$1:$B$221,'[3]ANTICIPOS SAN SEBASTIÁN'!$K$1:$K$221)))</f>
        <v>29 Y 30</v>
      </c>
      <c r="D9" s="16">
        <f t="shared" si="0"/>
        <v>343156.88</v>
      </c>
      <c r="E9" s="100">
        <v>78574.22</v>
      </c>
      <c r="F9" s="111"/>
      <c r="G9" s="100">
        <v>35757.699999999997</v>
      </c>
      <c r="H9" s="101"/>
      <c r="I9" s="100">
        <v>40862.160000000003</v>
      </c>
      <c r="J9" s="101"/>
      <c r="K9" s="100">
        <v>0</v>
      </c>
      <c r="L9" s="101"/>
      <c r="M9" s="100">
        <v>0</v>
      </c>
      <c r="N9" s="101"/>
      <c r="O9" s="100">
        <v>0</v>
      </c>
      <c r="P9" s="101"/>
      <c r="Q9" s="100">
        <v>53473.68</v>
      </c>
      <c r="R9" s="101"/>
      <c r="S9" s="100">
        <v>52848.32</v>
      </c>
      <c r="T9" s="101"/>
      <c r="U9" s="100">
        <v>25849.439999999999</v>
      </c>
      <c r="V9" s="101"/>
      <c r="W9" s="100">
        <v>55791.360000000001</v>
      </c>
      <c r="X9" s="101"/>
      <c r="Y9" s="100">
        <v>0</v>
      </c>
      <c r="Z9" s="101"/>
      <c r="AA9" s="100">
        <v>0</v>
      </c>
      <c r="AB9" s="101"/>
      <c r="AC9" s="100">
        <v>0</v>
      </c>
      <c r="AD9" s="101"/>
      <c r="AE9" s="100">
        <v>0</v>
      </c>
      <c r="AF9" s="101"/>
      <c r="AG9" s="100">
        <v>0</v>
      </c>
      <c r="AH9" s="101"/>
    </row>
    <row r="10" spans="1:38" ht="12.6" thickTop="1" thickBot="1" x14ac:dyDescent="0.25">
      <c r="A10" s="12">
        <v>7</v>
      </c>
      <c r="B10" s="1" t="str">
        <f>IF(A10="","",_xlfn.XLOOKUP($A10,'[3]ANTICIPOS SAN SEBASTIÁN'!$B$1:$B$221,'[3]ANTICIPOS SAN SEBASTIÁN'!$I$1:$I$221))</f>
        <v>ULIGAB</v>
      </c>
      <c r="C10" s="2">
        <f>IF(A10="","",IF(_xlfn.XLOOKUP($A10,'[3]ANTICIPOS SAN SEBASTIÁN'!$B$1:$B$221,'[3]ANTICIPOS SAN SEBASTIÁN'!$K$1:$K$221)="","",_xlfn.XLOOKUP($A10,'[3]ANTICIPOS SAN SEBASTIÁN'!$B$1:$B$221,'[3]ANTICIPOS SAN SEBASTIÁN'!$K$1:$K$221)))</f>
        <v>31</v>
      </c>
      <c r="D10" s="16">
        <f t="shared" si="0"/>
        <v>139829.18</v>
      </c>
      <c r="E10" s="100">
        <v>0</v>
      </c>
      <c r="F10" s="111"/>
      <c r="G10" s="100">
        <v>0</v>
      </c>
      <c r="H10" s="101"/>
      <c r="I10" s="100">
        <v>0</v>
      </c>
      <c r="J10" s="101"/>
      <c r="K10" s="100">
        <v>0</v>
      </c>
      <c r="L10" s="101"/>
      <c r="M10" s="100">
        <v>0</v>
      </c>
      <c r="N10" s="101"/>
      <c r="O10" s="100">
        <v>25555.03</v>
      </c>
      <c r="P10" s="101"/>
      <c r="Q10" s="100">
        <v>38853.5</v>
      </c>
      <c r="R10" s="101"/>
      <c r="S10" s="100">
        <v>75420.649999999994</v>
      </c>
      <c r="T10" s="101"/>
      <c r="U10" s="100">
        <v>0</v>
      </c>
      <c r="V10" s="101"/>
      <c r="W10" s="100">
        <v>0</v>
      </c>
      <c r="X10" s="101"/>
      <c r="Y10" s="100">
        <v>0</v>
      </c>
      <c r="Z10" s="101"/>
      <c r="AA10" s="100">
        <v>0</v>
      </c>
      <c r="AB10" s="101"/>
      <c r="AC10" s="100">
        <v>0</v>
      </c>
      <c r="AD10" s="101"/>
      <c r="AE10" s="100">
        <v>0</v>
      </c>
      <c r="AF10" s="101"/>
      <c r="AG10" s="100">
        <v>0</v>
      </c>
      <c r="AH10" s="101"/>
    </row>
    <row r="11" spans="1:38" ht="12.6" thickTop="1" thickBot="1" x14ac:dyDescent="0.25">
      <c r="A11" s="12">
        <v>8</v>
      </c>
      <c r="B11" s="1" t="str">
        <f>IF(A11="","",_xlfn.XLOOKUP($A11,'[3]ANTICIPOS SAN SEBASTIÁN'!$B$1:$B$221,'[3]ANTICIPOS SAN SEBASTIÁN'!$I$1:$I$221))</f>
        <v>ULIGAB</v>
      </c>
      <c r="C11" s="2">
        <f>IF(A11="","",IF(_xlfn.XLOOKUP($A11,'[3]ANTICIPOS SAN SEBASTIÁN'!$B$1:$B$221,'[3]ANTICIPOS SAN SEBASTIÁN'!$K$1:$K$221)="","",_xlfn.XLOOKUP($A11,'[3]ANTICIPOS SAN SEBASTIÁN'!$B$1:$B$221,'[3]ANTICIPOS SAN SEBASTIÁN'!$K$1:$K$221)))</f>
        <v>31</v>
      </c>
      <c r="D11" s="16">
        <f t="shared" si="0"/>
        <v>297044.10000000003</v>
      </c>
      <c r="E11" s="100">
        <v>0</v>
      </c>
      <c r="F11" s="111"/>
      <c r="G11" s="100">
        <v>0</v>
      </c>
      <c r="H11" s="101"/>
      <c r="I11" s="100">
        <v>0</v>
      </c>
      <c r="J11" s="101"/>
      <c r="K11" s="100">
        <v>0</v>
      </c>
      <c r="L11" s="101"/>
      <c r="M11" s="100">
        <v>0</v>
      </c>
      <c r="N11" s="101"/>
      <c r="O11" s="100">
        <v>0</v>
      </c>
      <c r="P11" s="101"/>
      <c r="Q11" s="100">
        <v>0</v>
      </c>
      <c r="R11" s="101"/>
      <c r="S11" s="100">
        <v>0</v>
      </c>
      <c r="T11" s="101"/>
      <c r="U11" s="100">
        <v>74277.47</v>
      </c>
      <c r="V11" s="101"/>
      <c r="W11" s="100">
        <v>99772.99</v>
      </c>
      <c r="X11" s="101"/>
      <c r="Y11" s="100">
        <v>37719.72</v>
      </c>
      <c r="Z11" s="101"/>
      <c r="AA11" s="100">
        <v>37448.28</v>
      </c>
      <c r="AB11" s="101"/>
      <c r="AC11" s="100">
        <v>47825.64</v>
      </c>
      <c r="AD11" s="101"/>
      <c r="AE11" s="100">
        <v>0</v>
      </c>
      <c r="AF11" s="101"/>
      <c r="AG11" s="100">
        <v>0</v>
      </c>
      <c r="AH11" s="101"/>
    </row>
    <row r="12" spans="1:38" ht="12.6" thickTop="1" thickBot="1" x14ac:dyDescent="0.25">
      <c r="A12" s="12">
        <v>9</v>
      </c>
      <c r="B12" s="1" t="str">
        <f>IF(A12="","",_xlfn.XLOOKUP($A12,'[3]ANTICIPOS SAN SEBASTIÁN'!$B$1:$B$221,'[3]ANTICIPOS SAN SEBASTIÁN'!$I$1:$I$221))</f>
        <v>ULIGAB</v>
      </c>
      <c r="C12" s="2">
        <f>IF(A12="","",IF(_xlfn.XLOOKUP($A12,'[3]ANTICIPOS SAN SEBASTIÁN'!$B$1:$B$221,'[3]ANTICIPOS SAN SEBASTIÁN'!$K$1:$K$221)="","",_xlfn.XLOOKUP($A12,'[3]ANTICIPOS SAN SEBASTIÁN'!$B$1:$B$221,'[3]ANTICIPOS SAN SEBASTIÁN'!$K$1:$K$221)))</f>
        <v>32</v>
      </c>
      <c r="D12" s="16">
        <f t="shared" si="0"/>
        <v>10175.52</v>
      </c>
      <c r="E12" s="100">
        <v>10175.52</v>
      </c>
      <c r="F12" s="111"/>
      <c r="G12" s="100">
        <v>0</v>
      </c>
      <c r="H12" s="101"/>
      <c r="I12" s="100">
        <v>0</v>
      </c>
      <c r="J12" s="101"/>
      <c r="K12" s="100">
        <v>0</v>
      </c>
      <c r="L12" s="101"/>
      <c r="M12" s="100">
        <v>0</v>
      </c>
      <c r="N12" s="101"/>
      <c r="O12" s="100">
        <v>0</v>
      </c>
      <c r="P12" s="101"/>
      <c r="Q12" s="100">
        <v>0</v>
      </c>
      <c r="R12" s="101"/>
      <c r="S12" s="100">
        <v>0</v>
      </c>
      <c r="T12" s="101"/>
      <c r="U12" s="100">
        <v>0</v>
      </c>
      <c r="V12" s="101"/>
      <c r="W12" s="100">
        <v>0</v>
      </c>
      <c r="X12" s="101"/>
      <c r="Y12" s="100">
        <v>0</v>
      </c>
      <c r="Z12" s="101"/>
      <c r="AA12" s="100">
        <v>0</v>
      </c>
      <c r="AB12" s="101"/>
      <c r="AC12" s="100">
        <v>0</v>
      </c>
      <c r="AD12" s="101"/>
      <c r="AE12" s="100">
        <v>0</v>
      </c>
      <c r="AF12" s="101"/>
      <c r="AG12" s="100">
        <v>0</v>
      </c>
      <c r="AH12" s="101"/>
    </row>
    <row r="13" spans="1:38" ht="12.6" thickTop="1" thickBot="1" x14ac:dyDescent="0.25">
      <c r="A13" s="12">
        <v>10</v>
      </c>
      <c r="B13" s="1" t="str">
        <f>IF(A13="","",_xlfn.XLOOKUP($A13,'[3]ANTICIPOS SAN SEBASTIÁN'!$B$1:$B$221,'[3]ANTICIPOS SAN SEBASTIÁN'!$I$1:$I$221))</f>
        <v>ANGEL ALAMEDA</v>
      </c>
      <c r="C13" s="2">
        <f>IF(A13="","",IF(_xlfn.XLOOKUP($A13,'[3]ANTICIPOS SAN SEBASTIÁN'!$B$1:$B$221,'[3]ANTICIPOS SAN SEBASTIÁN'!$K$1:$K$221)="","",_xlfn.XLOOKUP($A13,'[3]ANTICIPOS SAN SEBASTIÁN'!$B$1:$B$221,'[3]ANTICIPOS SAN SEBASTIÁN'!$K$1:$K$221)))</f>
        <v>33</v>
      </c>
      <c r="D13" s="16">
        <f t="shared" si="0"/>
        <v>0</v>
      </c>
      <c r="E13" s="100">
        <v>0</v>
      </c>
      <c r="F13" s="111"/>
      <c r="G13" s="100">
        <v>0</v>
      </c>
      <c r="H13" s="101"/>
      <c r="I13" s="100">
        <v>0</v>
      </c>
      <c r="J13" s="101"/>
      <c r="K13" s="100">
        <v>0</v>
      </c>
      <c r="L13" s="101"/>
      <c r="M13" s="100">
        <v>0</v>
      </c>
      <c r="N13" s="101"/>
      <c r="O13" s="100">
        <v>0</v>
      </c>
      <c r="P13" s="101"/>
      <c r="Q13" s="100">
        <v>0</v>
      </c>
      <c r="R13" s="101"/>
      <c r="S13" s="100">
        <v>0</v>
      </c>
      <c r="T13" s="101"/>
      <c r="U13" s="100">
        <v>0</v>
      </c>
      <c r="V13" s="101"/>
      <c r="W13" s="100">
        <v>0</v>
      </c>
      <c r="X13" s="101"/>
      <c r="Y13" s="100">
        <v>0</v>
      </c>
      <c r="Z13" s="101"/>
      <c r="AA13" s="100">
        <v>0</v>
      </c>
      <c r="AB13" s="101"/>
      <c r="AC13" s="100">
        <v>0</v>
      </c>
      <c r="AD13" s="101"/>
      <c r="AE13" s="100">
        <v>0</v>
      </c>
      <c r="AF13" s="101"/>
      <c r="AG13" s="100">
        <v>0</v>
      </c>
      <c r="AH13" s="101"/>
    </row>
    <row r="14" spans="1:38" ht="12.6" thickTop="1" thickBot="1" x14ac:dyDescent="0.25">
      <c r="A14" s="12">
        <v>11</v>
      </c>
      <c r="B14" s="1" t="str">
        <f>IF(A14="","",_xlfn.XLOOKUP($A14,'[3]ANTICIPOS SAN SEBASTIÁN'!$B$1:$B$221,'[3]ANTICIPOS SAN SEBASTIÁN'!$I$1:$I$221))</f>
        <v>POWER</v>
      </c>
      <c r="C14" s="2">
        <f>IF(A14="","",IF(_xlfn.XLOOKUP($A14,'[3]ANTICIPOS SAN SEBASTIÁN'!$B$1:$B$221,'[3]ANTICIPOS SAN SEBASTIÁN'!$K$1:$K$221)="","",_xlfn.XLOOKUP($A14,'[3]ANTICIPOS SAN SEBASTIÁN'!$B$1:$B$221,'[3]ANTICIPOS SAN SEBASTIÁN'!$K$1:$K$221)))</f>
        <v>33</v>
      </c>
      <c r="D14" s="16">
        <f t="shared" si="0"/>
        <v>0</v>
      </c>
      <c r="E14" s="100">
        <v>0</v>
      </c>
      <c r="F14" s="111"/>
      <c r="G14" s="100">
        <v>0</v>
      </c>
      <c r="H14" s="101"/>
      <c r="I14" s="100">
        <v>0</v>
      </c>
      <c r="J14" s="101"/>
      <c r="K14" s="100">
        <v>0</v>
      </c>
      <c r="L14" s="101"/>
      <c r="M14" s="100">
        <v>0</v>
      </c>
      <c r="N14" s="101"/>
      <c r="O14" s="100">
        <v>0</v>
      </c>
      <c r="P14" s="101"/>
      <c r="Q14" s="100">
        <v>0</v>
      </c>
      <c r="R14" s="101"/>
      <c r="S14" s="100">
        <v>0</v>
      </c>
      <c r="T14" s="101"/>
      <c r="U14" s="100">
        <v>0</v>
      </c>
      <c r="V14" s="101"/>
      <c r="W14" s="100">
        <v>0</v>
      </c>
      <c r="X14" s="101"/>
      <c r="Y14" s="100">
        <v>0</v>
      </c>
      <c r="Z14" s="101"/>
      <c r="AA14" s="100">
        <v>0</v>
      </c>
      <c r="AB14" s="101"/>
      <c r="AC14" s="100">
        <v>0</v>
      </c>
      <c r="AD14" s="101"/>
      <c r="AE14" s="100">
        <v>0</v>
      </c>
      <c r="AF14" s="101"/>
      <c r="AG14" s="100">
        <v>0</v>
      </c>
      <c r="AH14" s="101"/>
    </row>
    <row r="15" spans="1:38" ht="12.6" thickTop="1" thickBot="1" x14ac:dyDescent="0.25">
      <c r="A15" s="12">
        <v>12</v>
      </c>
      <c r="B15" s="1" t="str">
        <f>IF(A15="","",_xlfn.XLOOKUP($A15,'[3]ANTICIPOS SAN SEBASTIÁN'!$B$1:$B$221,'[3]ANTICIPOS SAN SEBASTIÁN'!$I$1:$I$221))</f>
        <v>CONSORCIO RM</v>
      </c>
      <c r="C15" s="2">
        <f>IF(A15="","",IF(_xlfn.XLOOKUP($A15,'[3]ANTICIPOS SAN SEBASTIÁN'!$B$1:$B$221,'[3]ANTICIPOS SAN SEBASTIÁN'!$K$1:$K$221)="","",_xlfn.XLOOKUP($A15,'[3]ANTICIPOS SAN SEBASTIÁN'!$B$1:$B$221,'[3]ANTICIPOS SAN SEBASTIÁN'!$K$1:$K$221)))</f>
        <v>34</v>
      </c>
      <c r="D15" s="16">
        <f t="shared" si="0"/>
        <v>141737.93</v>
      </c>
      <c r="E15" s="100">
        <v>0</v>
      </c>
      <c r="F15" s="111"/>
      <c r="G15" s="100">
        <v>0</v>
      </c>
      <c r="H15" s="101"/>
      <c r="I15" s="100">
        <v>0</v>
      </c>
      <c r="J15" s="101"/>
      <c r="K15" s="100">
        <v>0</v>
      </c>
      <c r="L15" s="101"/>
      <c r="M15" s="100">
        <v>0</v>
      </c>
      <c r="N15" s="101"/>
      <c r="O15" s="100">
        <v>0</v>
      </c>
      <c r="P15" s="101"/>
      <c r="Q15" s="100">
        <v>0</v>
      </c>
      <c r="R15" s="101"/>
      <c r="S15" s="100">
        <f>76882.6-S16</f>
        <v>59705.280000000006</v>
      </c>
      <c r="T15" s="101"/>
      <c r="U15" s="100">
        <v>82032.649999999994</v>
      </c>
      <c r="V15" s="101"/>
      <c r="W15" s="100">
        <v>0</v>
      </c>
      <c r="X15" s="101"/>
      <c r="Y15" s="100">
        <v>0</v>
      </c>
      <c r="Z15" s="101"/>
      <c r="AA15" s="100">
        <v>0</v>
      </c>
      <c r="AB15" s="101"/>
      <c r="AC15" s="100">
        <v>0</v>
      </c>
      <c r="AD15" s="101"/>
      <c r="AE15" s="100">
        <v>0</v>
      </c>
      <c r="AF15" s="101"/>
      <c r="AG15" s="100">
        <v>0</v>
      </c>
      <c r="AH15" s="101"/>
    </row>
    <row r="16" spans="1:38" ht="12.6" thickTop="1" thickBot="1" x14ac:dyDescent="0.25">
      <c r="A16" s="12">
        <v>13</v>
      </c>
      <c r="B16" s="1" t="str">
        <f>IF(A16="","",_xlfn.XLOOKUP($A16,'[3]ANTICIPOS SAN SEBASTIÁN'!$B$1:$B$221,'[3]ANTICIPOS SAN SEBASTIÁN'!$I$1:$I$221))</f>
        <v>CONSORCIO RM</v>
      </c>
      <c r="C16" s="2">
        <f>IF(A16="","",IF(_xlfn.XLOOKUP($A16,'[3]ANTICIPOS SAN SEBASTIÁN'!$B$1:$B$221,'[3]ANTICIPOS SAN SEBASTIÁN'!$K$1:$K$221)="","",_xlfn.XLOOKUP($A16,'[3]ANTICIPOS SAN SEBASTIÁN'!$B$1:$B$221,'[3]ANTICIPOS SAN SEBASTIÁN'!$K$1:$K$221)))</f>
        <v>34</v>
      </c>
      <c r="D16" s="16">
        <f t="shared" si="0"/>
        <v>517645.1</v>
      </c>
      <c r="E16" s="100">
        <v>0</v>
      </c>
      <c r="F16" s="111"/>
      <c r="G16" s="100">
        <v>0</v>
      </c>
      <c r="H16" s="101"/>
      <c r="I16" s="100">
        <v>0</v>
      </c>
      <c r="J16" s="101"/>
      <c r="K16" s="100">
        <v>0</v>
      </c>
      <c r="L16" s="101"/>
      <c r="M16" s="100">
        <v>0</v>
      </c>
      <c r="N16" s="101"/>
      <c r="O16" s="100">
        <v>30047.19</v>
      </c>
      <c r="P16" s="101"/>
      <c r="Q16" s="100">
        <v>61314.91</v>
      </c>
      <c r="R16" s="101"/>
      <c r="S16" s="100">
        <f>15588.66+1588.66</f>
        <v>17177.32</v>
      </c>
      <c r="T16" s="101"/>
      <c r="U16" s="100">
        <v>31177.32</v>
      </c>
      <c r="V16" s="101"/>
      <c r="W16" s="100">
        <v>158293.72</v>
      </c>
      <c r="X16" s="101"/>
      <c r="Y16" s="100">
        <v>109636.36</v>
      </c>
      <c r="Z16" s="101"/>
      <c r="AA16" s="100">
        <v>77943.3</v>
      </c>
      <c r="AB16" s="101"/>
      <c r="AC16" s="100">
        <v>32054.98</v>
      </c>
      <c r="AD16" s="101"/>
      <c r="AE16" s="100">
        <v>0</v>
      </c>
      <c r="AF16" s="101"/>
      <c r="AG16" s="100">
        <v>0</v>
      </c>
      <c r="AH16" s="101"/>
    </row>
    <row r="17" spans="1:34" ht="12.6" thickTop="1" thickBot="1" x14ac:dyDescent="0.25">
      <c r="A17" s="12">
        <v>14</v>
      </c>
      <c r="B17" s="1" t="str">
        <f>IF(A17="","",_xlfn.XLOOKUP($A17,'[3]ANTICIPOS SAN SEBASTIÁN'!$B$1:$B$221,'[3]ANTICIPOS SAN SEBASTIÁN'!$I$1:$I$221))</f>
        <v>COBYPSA</v>
      </c>
      <c r="C17" s="2">
        <f>IF(A17="","",IF(_xlfn.XLOOKUP($A17,'[3]ANTICIPOS SAN SEBASTIÁN'!$B$1:$B$221,'[3]ANTICIPOS SAN SEBASTIÁN'!$K$1:$K$221)="","",_xlfn.XLOOKUP($A17,'[3]ANTICIPOS SAN SEBASTIÁN'!$B$1:$B$221,'[3]ANTICIPOS SAN SEBASTIÁN'!$K$1:$K$221)))</f>
        <v>35</v>
      </c>
      <c r="D17" s="16">
        <f t="shared" si="0"/>
        <v>225430.56999999998</v>
      </c>
      <c r="E17" s="100">
        <v>0</v>
      </c>
      <c r="F17" s="111"/>
      <c r="G17" s="100">
        <v>0</v>
      </c>
      <c r="H17" s="101"/>
      <c r="I17" s="100">
        <v>79152.25</v>
      </c>
      <c r="J17" s="101"/>
      <c r="K17" s="100">
        <v>47728.2</v>
      </c>
      <c r="L17" s="101"/>
      <c r="M17" s="100">
        <v>49859.7</v>
      </c>
      <c r="N17" s="101"/>
      <c r="O17" s="100">
        <v>17013.02</v>
      </c>
      <c r="P17" s="101"/>
      <c r="Q17" s="100">
        <v>15588.66</v>
      </c>
      <c r="R17" s="101"/>
      <c r="S17" s="100">
        <v>0</v>
      </c>
      <c r="T17" s="101"/>
      <c r="U17" s="100">
        <v>0</v>
      </c>
      <c r="V17" s="101"/>
      <c r="W17" s="100">
        <v>16088.74</v>
      </c>
      <c r="X17" s="101"/>
      <c r="Y17" s="100">
        <v>0</v>
      </c>
      <c r="Z17" s="101"/>
      <c r="AA17" s="100">
        <v>0</v>
      </c>
      <c r="AB17" s="101"/>
      <c r="AC17" s="100">
        <v>0</v>
      </c>
      <c r="AD17" s="101"/>
      <c r="AE17" s="100">
        <v>0</v>
      </c>
      <c r="AF17" s="101"/>
      <c r="AG17" s="100">
        <v>0</v>
      </c>
      <c r="AH17" s="101"/>
    </row>
    <row r="18" spans="1:34" ht="12.6" thickTop="1" thickBot="1" x14ac:dyDescent="0.25">
      <c r="A18" s="13">
        <v>15</v>
      </c>
      <c r="B18" s="14" t="str">
        <f>IF(A18="","",_xlfn.XLOOKUP($A18,'[3]ANTICIPOS SAN SEBASTIÁN'!$B$1:$B$221,'[3]ANTICIPOS SAN SEBASTIÁN'!$I$1:$I$221))</f>
        <v>ANGEL ALAMEDA</v>
      </c>
      <c r="C18" s="15">
        <f>IF(A18="","",IF(_xlfn.XLOOKUP($A18,'[3]ANTICIPOS SAN SEBASTIÁN'!$B$1:$B$221,'[3]ANTICIPOS SAN SEBASTIÁN'!$K$1:$K$221)="","",_xlfn.XLOOKUP($A18,'[3]ANTICIPOS SAN SEBASTIÁN'!$B$1:$B$221,'[3]ANTICIPOS SAN SEBASTIÁN'!$K$1:$K$221)))</f>
        <v>36</v>
      </c>
      <c r="D18" s="16">
        <f>SUM(E18:ZZ18)</f>
        <v>401033.45999999996</v>
      </c>
      <c r="E18" s="102">
        <v>0</v>
      </c>
      <c r="F18" s="112"/>
      <c r="G18" s="102">
        <v>0</v>
      </c>
      <c r="H18" s="103"/>
      <c r="I18" s="102">
        <v>0</v>
      </c>
      <c r="J18" s="103"/>
      <c r="K18" s="102">
        <v>0</v>
      </c>
      <c r="L18" s="103"/>
      <c r="M18" s="102">
        <v>0</v>
      </c>
      <c r="N18" s="103"/>
      <c r="O18" s="102">
        <v>62920.84</v>
      </c>
      <c r="P18" s="103"/>
      <c r="Q18" s="102">
        <v>32601.68</v>
      </c>
      <c r="R18" s="103"/>
      <c r="S18" s="102">
        <v>0</v>
      </c>
      <c r="T18" s="103"/>
      <c r="U18" s="102">
        <v>79105.62</v>
      </c>
      <c r="V18" s="103"/>
      <c r="W18" s="102">
        <v>80792.03</v>
      </c>
      <c r="X18" s="103"/>
      <c r="Y18" s="102">
        <v>97805.05</v>
      </c>
      <c r="Z18" s="103"/>
      <c r="AA18" s="102">
        <v>15468.6</v>
      </c>
      <c r="AB18" s="103"/>
      <c r="AC18" s="102">
        <v>32339.64</v>
      </c>
      <c r="AD18" s="103"/>
      <c r="AE18" s="102">
        <v>0</v>
      </c>
      <c r="AF18" s="103"/>
      <c r="AG18" s="102">
        <v>0</v>
      </c>
      <c r="AH18" s="103"/>
    </row>
  </sheetData>
  <mergeCells count="236">
    <mergeCell ref="AI2:AJ2"/>
    <mergeCell ref="AK2:AL2"/>
    <mergeCell ref="AI3:AJ3"/>
    <mergeCell ref="AK3:AL3"/>
    <mergeCell ref="AI4:AJ4"/>
    <mergeCell ref="AK4:AL4"/>
    <mergeCell ref="G9:H9"/>
    <mergeCell ref="E10:F10"/>
    <mergeCell ref="G10:H10"/>
    <mergeCell ref="E7:F7"/>
    <mergeCell ref="G7:H7"/>
    <mergeCell ref="E6:F6"/>
    <mergeCell ref="G6:H6"/>
    <mergeCell ref="I4:J4"/>
    <mergeCell ref="I5:J5"/>
    <mergeCell ref="I6:J6"/>
    <mergeCell ref="I7:J7"/>
    <mergeCell ref="I8:J8"/>
    <mergeCell ref="M4:N4"/>
    <mergeCell ref="M5:N5"/>
    <mergeCell ref="M6:N6"/>
    <mergeCell ref="M7:N7"/>
    <mergeCell ref="M8:N8"/>
    <mergeCell ref="O4:P4"/>
    <mergeCell ref="A1:D1"/>
    <mergeCell ref="A2:A5"/>
    <mergeCell ref="B2:B5"/>
    <mergeCell ref="C2:C5"/>
    <mergeCell ref="D2:D5"/>
    <mergeCell ref="E4:F4"/>
    <mergeCell ref="G4:H4"/>
    <mergeCell ref="E5:F5"/>
    <mergeCell ref="G5:H5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E8:F8"/>
    <mergeCell ref="G8:H8"/>
    <mergeCell ref="E9:F9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K18:L18"/>
    <mergeCell ref="K9:L9"/>
    <mergeCell ref="K10:L10"/>
    <mergeCell ref="K11:L11"/>
    <mergeCell ref="K12:L12"/>
    <mergeCell ref="K13:L13"/>
    <mergeCell ref="K4:L4"/>
    <mergeCell ref="K5:L5"/>
    <mergeCell ref="K6:L6"/>
    <mergeCell ref="K7:L7"/>
    <mergeCell ref="K8:L8"/>
    <mergeCell ref="K14:L14"/>
    <mergeCell ref="K15:L15"/>
    <mergeCell ref="K16:L16"/>
    <mergeCell ref="K17:L17"/>
    <mergeCell ref="M14:N14"/>
    <mergeCell ref="M15:N15"/>
    <mergeCell ref="M16:N16"/>
    <mergeCell ref="M17:N17"/>
    <mergeCell ref="M18:N18"/>
    <mergeCell ref="M9:N9"/>
    <mergeCell ref="M10:N10"/>
    <mergeCell ref="M11:N11"/>
    <mergeCell ref="M12:N12"/>
    <mergeCell ref="M13:N13"/>
    <mergeCell ref="O18:P1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5:P5"/>
    <mergeCell ref="O6:P6"/>
    <mergeCell ref="O7:P7"/>
    <mergeCell ref="O8:P8"/>
    <mergeCell ref="Q4:R4"/>
    <mergeCell ref="Q5:R5"/>
    <mergeCell ref="Q6:R6"/>
    <mergeCell ref="Q7:R7"/>
    <mergeCell ref="Q8:R8"/>
    <mergeCell ref="Q14:R14"/>
    <mergeCell ref="Q15:R15"/>
    <mergeCell ref="Q16:R16"/>
    <mergeCell ref="Q17:R17"/>
    <mergeCell ref="Q18:R18"/>
    <mergeCell ref="Q9:R9"/>
    <mergeCell ref="Q10:R10"/>
    <mergeCell ref="Q11:R11"/>
    <mergeCell ref="Q12:R12"/>
    <mergeCell ref="Q13:R13"/>
    <mergeCell ref="S18:T18"/>
    <mergeCell ref="S9:T9"/>
    <mergeCell ref="S10:T10"/>
    <mergeCell ref="S11:T11"/>
    <mergeCell ref="S12:T12"/>
    <mergeCell ref="S13:T13"/>
    <mergeCell ref="S4:T4"/>
    <mergeCell ref="S5:T5"/>
    <mergeCell ref="S6:T6"/>
    <mergeCell ref="S7:T7"/>
    <mergeCell ref="S8:T8"/>
    <mergeCell ref="U4:V4"/>
    <mergeCell ref="U5:V5"/>
    <mergeCell ref="U6:V6"/>
    <mergeCell ref="U7:V7"/>
    <mergeCell ref="U8:V8"/>
    <mergeCell ref="S14:T14"/>
    <mergeCell ref="S15:T15"/>
    <mergeCell ref="S16:T16"/>
    <mergeCell ref="S17:T17"/>
    <mergeCell ref="U14:V14"/>
    <mergeCell ref="U15:V15"/>
    <mergeCell ref="U16:V16"/>
    <mergeCell ref="U17:V17"/>
    <mergeCell ref="U18:V18"/>
    <mergeCell ref="U9:V9"/>
    <mergeCell ref="U10:V10"/>
    <mergeCell ref="U11:V11"/>
    <mergeCell ref="U12:V12"/>
    <mergeCell ref="U13:V13"/>
    <mergeCell ref="W18:X1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4:X4"/>
    <mergeCell ref="W5:X5"/>
    <mergeCell ref="W6:X6"/>
    <mergeCell ref="W7:X7"/>
    <mergeCell ref="W8:X8"/>
    <mergeCell ref="Y4:Z4"/>
    <mergeCell ref="Y5:Z5"/>
    <mergeCell ref="Y6:Z6"/>
    <mergeCell ref="Y7:Z7"/>
    <mergeCell ref="Y8:Z8"/>
    <mergeCell ref="Y14:Z14"/>
    <mergeCell ref="Y15:Z15"/>
    <mergeCell ref="Y16:Z16"/>
    <mergeCell ref="Y17:Z17"/>
    <mergeCell ref="Y18:Z18"/>
    <mergeCell ref="Y9:Z9"/>
    <mergeCell ref="Y10:Z10"/>
    <mergeCell ref="Y11:Z11"/>
    <mergeCell ref="Y12:Z12"/>
    <mergeCell ref="Y13:Z13"/>
    <mergeCell ref="AA18:AB18"/>
    <mergeCell ref="AA9:AB9"/>
    <mergeCell ref="AA10:AB10"/>
    <mergeCell ref="AA11:AB11"/>
    <mergeCell ref="AA12:AB12"/>
    <mergeCell ref="AA13:AB13"/>
    <mergeCell ref="AA4:AB4"/>
    <mergeCell ref="AA5:AB5"/>
    <mergeCell ref="AA6:AB6"/>
    <mergeCell ref="AA7:AB7"/>
    <mergeCell ref="AA8:AB8"/>
    <mergeCell ref="AC4:AD4"/>
    <mergeCell ref="AC5:AD5"/>
    <mergeCell ref="AC6:AD6"/>
    <mergeCell ref="AC7:AD7"/>
    <mergeCell ref="AC8:AD8"/>
    <mergeCell ref="AA14:AB14"/>
    <mergeCell ref="AA15:AB15"/>
    <mergeCell ref="AA16:AB16"/>
    <mergeCell ref="AA17:AB17"/>
    <mergeCell ref="AC14:AD14"/>
    <mergeCell ref="AC15:AD15"/>
    <mergeCell ref="AC16:AD16"/>
    <mergeCell ref="AC17:AD17"/>
    <mergeCell ref="AC18:AD18"/>
    <mergeCell ref="AC9:AD9"/>
    <mergeCell ref="AC10:AD10"/>
    <mergeCell ref="AC11:AD11"/>
    <mergeCell ref="AC12:AD12"/>
    <mergeCell ref="AC13:AD13"/>
    <mergeCell ref="AE18:AF1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4:AF4"/>
    <mergeCell ref="AE5:AF5"/>
    <mergeCell ref="AE6:AF6"/>
    <mergeCell ref="AE7:AF7"/>
    <mergeCell ref="AE8:AF8"/>
    <mergeCell ref="AG4:AH4"/>
    <mergeCell ref="AG5:AH5"/>
    <mergeCell ref="AG6:AH6"/>
    <mergeCell ref="AG7:AH7"/>
    <mergeCell ref="AG8:AH8"/>
    <mergeCell ref="AG14:AH14"/>
    <mergeCell ref="AG15:AH15"/>
    <mergeCell ref="AG16:AH16"/>
    <mergeCell ref="AG17:AH17"/>
    <mergeCell ref="AG18:AH18"/>
    <mergeCell ref="AG9:AH9"/>
    <mergeCell ref="AG10:AH10"/>
    <mergeCell ref="AG11:AH11"/>
    <mergeCell ref="AG12:AH12"/>
    <mergeCell ref="AG13:AH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60B84-CE54-46ED-846B-E009E991067E}">
  <dimension ref="A1:AF18"/>
  <sheetViews>
    <sheetView showGridLines="0" workbookViewId="0">
      <pane xSplit="4" ySplit="5" topLeftCell="U6" activePane="bottomRight" state="frozen"/>
      <selection activeCell="J13" sqref="J13"/>
      <selection pane="topRight" activeCell="J13" sqref="J13"/>
      <selection pane="bottomLeft" activeCell="J13" sqref="J13"/>
      <selection pane="bottomRight" activeCell="D10" sqref="D10"/>
    </sheetView>
  </sheetViews>
  <sheetFormatPr baseColWidth="10" defaultColWidth="11.375" defaultRowHeight="11.4" x14ac:dyDescent="0.2"/>
  <cols>
    <col min="1" max="1" width="11.25" style="3" bestFit="1" customWidth="1"/>
    <col min="2" max="2" width="15.875" style="3" bestFit="1" customWidth="1"/>
    <col min="3" max="3" width="10.125" style="3" bestFit="1" customWidth="1"/>
    <col min="4" max="4" width="14.375" style="3" bestFit="1" customWidth="1"/>
    <col min="5" max="8" width="10.125" style="6" bestFit="1" customWidth="1"/>
    <col min="9" max="16384" width="11.375" style="3"/>
  </cols>
  <sheetData>
    <row r="1" spans="1:32" ht="21" thickBot="1" x14ac:dyDescent="0.25">
      <c r="A1" s="115" t="s">
        <v>10</v>
      </c>
      <c r="B1" s="115"/>
      <c r="C1" s="115"/>
      <c r="D1" s="115"/>
    </row>
    <row r="2" spans="1:32" s="7" customFormat="1" ht="13.5" customHeight="1" thickBot="1" x14ac:dyDescent="0.25">
      <c r="A2" s="116" t="s">
        <v>0</v>
      </c>
      <c r="B2" s="119" t="s">
        <v>1</v>
      </c>
      <c r="C2" s="119" t="s">
        <v>2</v>
      </c>
      <c r="D2" s="119" t="s">
        <v>5</v>
      </c>
      <c r="E2" s="9" t="s">
        <v>3</v>
      </c>
      <c r="F2" s="9" t="s">
        <v>4</v>
      </c>
      <c r="G2" s="9" t="s">
        <v>3</v>
      </c>
      <c r="H2" s="10" t="s">
        <v>4</v>
      </c>
      <c r="I2" s="9" t="s">
        <v>3</v>
      </c>
      <c r="J2" s="10" t="s">
        <v>4</v>
      </c>
      <c r="K2" s="9" t="s">
        <v>3</v>
      </c>
      <c r="L2" s="10" t="s">
        <v>4</v>
      </c>
      <c r="M2" s="9" t="s">
        <v>3</v>
      </c>
      <c r="N2" s="10" t="s">
        <v>4</v>
      </c>
      <c r="O2" s="9" t="s">
        <v>3</v>
      </c>
      <c r="P2" s="10" t="s">
        <v>4</v>
      </c>
      <c r="Q2" s="9" t="s">
        <v>3</v>
      </c>
      <c r="R2" s="10" t="s">
        <v>4</v>
      </c>
      <c r="S2" s="9" t="s">
        <v>3</v>
      </c>
      <c r="T2" s="10" t="s">
        <v>4</v>
      </c>
      <c r="U2" s="9" t="s">
        <v>3</v>
      </c>
      <c r="V2" s="10" t="s">
        <v>4</v>
      </c>
      <c r="W2" s="9" t="s">
        <v>3</v>
      </c>
      <c r="X2" s="10" t="s">
        <v>4</v>
      </c>
      <c r="Y2" s="9" t="s">
        <v>3</v>
      </c>
      <c r="Z2" s="10" t="s">
        <v>4</v>
      </c>
      <c r="AA2" s="9" t="s">
        <v>3</v>
      </c>
      <c r="AB2" s="10" t="s">
        <v>4</v>
      </c>
      <c r="AC2" s="9" t="s">
        <v>3</v>
      </c>
      <c r="AD2" s="10" t="s">
        <v>4</v>
      </c>
      <c r="AE2" s="9" t="s">
        <v>3</v>
      </c>
      <c r="AF2" s="10" t="s">
        <v>4</v>
      </c>
    </row>
    <row r="3" spans="1:32" s="6" customFormat="1" ht="13.5" customHeight="1" thickTop="1" thickBot="1" x14ac:dyDescent="0.25">
      <c r="A3" s="117"/>
      <c r="B3" s="120"/>
      <c r="C3" s="120"/>
      <c r="D3" s="120"/>
      <c r="E3" s="5">
        <v>44459</v>
      </c>
      <c r="F3" s="5">
        <f>E3+5</f>
        <v>44464</v>
      </c>
      <c r="G3" s="5">
        <f>E3+7</f>
        <v>44466</v>
      </c>
      <c r="H3" s="11">
        <f>G3+5</f>
        <v>44471</v>
      </c>
      <c r="I3" s="5">
        <f>G3+7</f>
        <v>44473</v>
      </c>
      <c r="J3" s="11">
        <f>I3+5</f>
        <v>44478</v>
      </c>
      <c r="K3" s="5">
        <f>I3+7</f>
        <v>44480</v>
      </c>
      <c r="L3" s="11">
        <f>K3+5</f>
        <v>44485</v>
      </c>
      <c r="M3" s="5">
        <f>K3+7</f>
        <v>44487</v>
      </c>
      <c r="N3" s="11">
        <f>M3+5</f>
        <v>44492</v>
      </c>
      <c r="O3" s="5">
        <f>M3+7</f>
        <v>44494</v>
      </c>
      <c r="P3" s="11">
        <f>O3+5</f>
        <v>44499</v>
      </c>
      <c r="Q3" s="5">
        <f>O3+7</f>
        <v>44501</v>
      </c>
      <c r="R3" s="11">
        <f>Q3+5</f>
        <v>44506</v>
      </c>
      <c r="S3" s="5">
        <f>Q3+7</f>
        <v>44508</v>
      </c>
      <c r="T3" s="11">
        <f>S3+5</f>
        <v>44513</v>
      </c>
      <c r="U3" s="5">
        <f>S3+7</f>
        <v>44515</v>
      </c>
      <c r="V3" s="11">
        <f>U3+5</f>
        <v>44520</v>
      </c>
      <c r="W3" s="5">
        <f>U3+7</f>
        <v>44522</v>
      </c>
      <c r="X3" s="11">
        <f>W3+5</f>
        <v>44527</v>
      </c>
      <c r="Y3" s="5">
        <f>W3+7</f>
        <v>44529</v>
      </c>
      <c r="Z3" s="11">
        <f>Y3+5</f>
        <v>44534</v>
      </c>
      <c r="AA3" s="5">
        <f>Y3+7</f>
        <v>44536</v>
      </c>
      <c r="AB3" s="11">
        <f>AA3+5</f>
        <v>44541</v>
      </c>
      <c r="AC3" s="5">
        <f>AA3+7</f>
        <v>44543</v>
      </c>
      <c r="AD3" s="11">
        <f>AC3+5</f>
        <v>44548</v>
      </c>
      <c r="AE3" s="5">
        <f>AC3+7</f>
        <v>44550</v>
      </c>
      <c r="AF3" s="11">
        <f>AE3+5</f>
        <v>44555</v>
      </c>
    </row>
    <row r="4" spans="1:32" s="8" customFormat="1" ht="13.5" customHeight="1" thickTop="1" thickBot="1" x14ac:dyDescent="0.25">
      <c r="A4" s="117"/>
      <c r="B4" s="120"/>
      <c r="C4" s="120"/>
      <c r="D4" s="120"/>
      <c r="E4" s="109">
        <v>1</v>
      </c>
      <c r="F4" s="127"/>
      <c r="G4" s="109">
        <f>E4+1</f>
        <v>2</v>
      </c>
      <c r="H4" s="110"/>
      <c r="I4" s="109">
        <f>G4+1</f>
        <v>3</v>
      </c>
      <c r="J4" s="110"/>
      <c r="K4" s="109">
        <f>I4+1</f>
        <v>4</v>
      </c>
      <c r="L4" s="110"/>
      <c r="M4" s="109">
        <f>K4+1</f>
        <v>5</v>
      </c>
      <c r="N4" s="110"/>
      <c r="O4" s="109">
        <f>M4+1</f>
        <v>6</v>
      </c>
      <c r="P4" s="110"/>
      <c r="Q4" s="109">
        <f>O4+1</f>
        <v>7</v>
      </c>
      <c r="R4" s="110"/>
      <c r="S4" s="109">
        <f>Q4+1</f>
        <v>8</v>
      </c>
      <c r="T4" s="110"/>
      <c r="U4" s="109">
        <f>S4+1</f>
        <v>9</v>
      </c>
      <c r="V4" s="110"/>
      <c r="W4" s="109">
        <f>U4+1</f>
        <v>10</v>
      </c>
      <c r="X4" s="110"/>
      <c r="Y4" s="109">
        <f>W4+1</f>
        <v>11</v>
      </c>
      <c r="Z4" s="110"/>
      <c r="AA4" s="104">
        <v>11</v>
      </c>
      <c r="AB4" s="108"/>
      <c r="AC4" s="104">
        <f>AA4+1</f>
        <v>12</v>
      </c>
      <c r="AD4" s="108"/>
      <c r="AE4" s="104">
        <f>AC4+1</f>
        <v>13</v>
      </c>
      <c r="AF4" s="108"/>
    </row>
    <row r="5" spans="1:32" s="8" customFormat="1" ht="12.75" customHeight="1" thickTop="1" thickBot="1" x14ac:dyDescent="0.25">
      <c r="A5" s="118"/>
      <c r="B5" s="121"/>
      <c r="C5" s="121"/>
      <c r="D5" s="121"/>
      <c r="E5" s="106">
        <f>SUM(E6:F18)</f>
        <v>237797.61</v>
      </c>
      <c r="F5" s="122"/>
      <c r="G5" s="106">
        <f>SUM(G6:H18)</f>
        <v>0</v>
      </c>
      <c r="H5" s="107"/>
      <c r="I5" s="106">
        <f>SUM(I6:J18)</f>
        <v>418581.70999999996</v>
      </c>
      <c r="J5" s="107"/>
      <c r="K5" s="106">
        <f>SUM(K6:L18)</f>
        <v>345315.95999999996</v>
      </c>
      <c r="L5" s="107"/>
      <c r="M5" s="106">
        <f>SUM(M6:N18)</f>
        <v>864535.48</v>
      </c>
      <c r="N5" s="107"/>
      <c r="O5" s="106">
        <f>SUM(O6:P18)</f>
        <v>345452.45</v>
      </c>
      <c r="P5" s="107"/>
      <c r="Q5" s="106">
        <f>SUM(Q6:R18)</f>
        <v>210563.90000000002</v>
      </c>
      <c r="R5" s="107"/>
      <c r="S5" s="106">
        <f>SUM(S6:T18)</f>
        <v>223459.73</v>
      </c>
      <c r="T5" s="107"/>
      <c r="U5" s="106">
        <f>SUM(U6:V18)</f>
        <v>258503.75999999998</v>
      </c>
      <c r="V5" s="107"/>
      <c r="W5" s="106">
        <f>SUM(W6:X18)</f>
        <v>149275.97999999998</v>
      </c>
      <c r="X5" s="107"/>
      <c r="Y5" s="106">
        <f>SUM(Y6:Z18)</f>
        <v>148813.85</v>
      </c>
      <c r="Z5" s="107"/>
      <c r="AA5" s="106">
        <f>SUM(AA6:AB18)</f>
        <v>26993.66</v>
      </c>
      <c r="AB5" s="107"/>
      <c r="AC5" s="106">
        <f>SUM(AC6:AD18)</f>
        <v>27314.38</v>
      </c>
      <c r="AD5" s="107"/>
      <c r="AE5" s="106">
        <f>SUM(AE6:AF18)</f>
        <v>0</v>
      </c>
      <c r="AF5" s="107"/>
    </row>
    <row r="6" spans="1:32" ht="12.6" thickTop="1" thickBot="1" x14ac:dyDescent="0.25">
      <c r="A6" s="12">
        <v>3</v>
      </c>
      <c r="B6" s="1" t="str">
        <f>IF(A6="","",_xlfn.XLOOKUP($A6,'[3]ANTICIPOS SAN SEBASTIÁN'!$B$1:$B$221,'[3]ANTICIPOS SAN SEBASTIÁN'!$I$1:$I$221))</f>
        <v>COINVI</v>
      </c>
      <c r="C6" s="2">
        <f>IF(A6="","",IF(_xlfn.XLOOKUP($A6,'[3]ANTICIPOS SAN SEBASTIÁN'!$B$1:$B$221,'[3]ANTICIPOS SAN SEBASTIÁN'!$K$1:$K$221)="","",_xlfn.XLOOKUP($A6,'[3]ANTICIPOS SAN SEBASTIÁN'!$B$1:$B$221,'[3]ANTICIPOS SAN SEBASTIÁN'!$K$1:$K$221)))</f>
        <v>27</v>
      </c>
      <c r="D6" s="16">
        <f t="shared" ref="D6:D17" si="0">SUM(E6:ZZ6)</f>
        <v>363253.69999999995</v>
      </c>
      <c r="E6" s="100">
        <v>0</v>
      </c>
      <c r="F6" s="111"/>
      <c r="G6" s="100">
        <v>0</v>
      </c>
      <c r="H6" s="101"/>
      <c r="I6" s="100">
        <v>79741.740000000005</v>
      </c>
      <c r="J6" s="101"/>
      <c r="K6" s="100">
        <v>40218.339999999997</v>
      </c>
      <c r="L6" s="101"/>
      <c r="M6" s="100">
        <v>33899.26</v>
      </c>
      <c r="N6" s="101"/>
      <c r="O6" s="100">
        <v>76979.899999999994</v>
      </c>
      <c r="P6" s="101"/>
      <c r="Q6" s="100">
        <v>0</v>
      </c>
      <c r="R6" s="101"/>
      <c r="S6" s="100">
        <v>46577.48</v>
      </c>
      <c r="T6" s="101"/>
      <c r="U6" s="100">
        <v>34666.6</v>
      </c>
      <c r="V6" s="101"/>
      <c r="W6" s="100">
        <v>51170.38</v>
      </c>
      <c r="X6" s="101"/>
      <c r="Y6" s="100">
        <v>0</v>
      </c>
      <c r="Z6" s="101"/>
      <c r="AA6" s="100">
        <v>0</v>
      </c>
      <c r="AB6" s="101"/>
      <c r="AC6" s="100">
        <v>0</v>
      </c>
      <c r="AD6" s="101"/>
      <c r="AE6" s="100">
        <v>0</v>
      </c>
      <c r="AF6" s="101"/>
    </row>
    <row r="7" spans="1:32" ht="12.6" thickTop="1" thickBot="1" x14ac:dyDescent="0.25">
      <c r="A7" s="12">
        <v>4</v>
      </c>
      <c r="B7" s="1" t="str">
        <f>IF(A7="","",_xlfn.XLOOKUP($A7,'[3]ANTICIPOS SAN SEBASTIÁN'!$B$1:$B$221,'[3]ANTICIPOS SAN SEBASTIÁN'!$I$1:$I$221))</f>
        <v>OBREGÓN</v>
      </c>
      <c r="C7" s="2">
        <f>IF(A7="","",IF(_xlfn.XLOOKUP($A7,'[3]ANTICIPOS SAN SEBASTIÁN'!$B$1:$B$221,'[3]ANTICIPOS SAN SEBASTIÁN'!$K$1:$K$221)="","",_xlfn.XLOOKUP($A7,'[3]ANTICIPOS SAN SEBASTIÁN'!$B$1:$B$221,'[3]ANTICIPOS SAN SEBASTIÁN'!$K$1:$K$221)))</f>
        <v>27</v>
      </c>
      <c r="D7" s="16">
        <f t="shared" si="0"/>
        <v>430855.37000000005</v>
      </c>
      <c r="E7" s="100">
        <v>0</v>
      </c>
      <c r="F7" s="111"/>
      <c r="G7" s="100">
        <v>0</v>
      </c>
      <c r="H7" s="101"/>
      <c r="I7" s="100">
        <v>0</v>
      </c>
      <c r="J7" s="101"/>
      <c r="K7" s="100">
        <v>137480.32000000001</v>
      </c>
      <c r="L7" s="101"/>
      <c r="M7" s="100">
        <v>0</v>
      </c>
      <c r="N7" s="101"/>
      <c r="O7" s="100">
        <v>0</v>
      </c>
      <c r="P7" s="101"/>
      <c r="Q7" s="100">
        <v>0</v>
      </c>
      <c r="R7" s="101"/>
      <c r="S7" s="100">
        <v>99152.88</v>
      </c>
      <c r="T7" s="101"/>
      <c r="U7" s="100">
        <v>82624.33</v>
      </c>
      <c r="V7" s="101"/>
      <c r="W7" s="100">
        <v>82624.33</v>
      </c>
      <c r="X7" s="101"/>
      <c r="Y7" s="100">
        <v>28973.51</v>
      </c>
      <c r="Z7" s="101"/>
      <c r="AA7" s="100">
        <v>0</v>
      </c>
      <c r="AB7" s="101"/>
      <c r="AC7" s="100">
        <v>0</v>
      </c>
      <c r="AD7" s="101"/>
      <c r="AE7" s="100">
        <v>0</v>
      </c>
      <c r="AF7" s="101"/>
    </row>
    <row r="8" spans="1:32" ht="12.6" thickTop="1" thickBot="1" x14ac:dyDescent="0.25">
      <c r="A8" s="12">
        <v>5</v>
      </c>
      <c r="B8" s="1" t="str">
        <f>IF(A8="","",_xlfn.XLOOKUP($A8,'[3]ANTICIPOS SAN SEBASTIÁN'!$B$1:$B$221,'[3]ANTICIPOS SAN SEBASTIÁN'!$I$1:$I$221))</f>
        <v>POWER</v>
      </c>
      <c r="C8" s="2">
        <f>IF(A8="","",IF(_xlfn.XLOOKUP($A8,'[3]ANTICIPOS SAN SEBASTIÁN'!$B$1:$B$221,'[3]ANTICIPOS SAN SEBASTIÁN'!$K$1:$K$221)="","",_xlfn.XLOOKUP($A8,'[3]ANTICIPOS SAN SEBASTIÁN'!$B$1:$B$221,'[3]ANTICIPOS SAN SEBASTIÁN'!$K$1:$K$221)))</f>
        <v>28</v>
      </c>
      <c r="D8" s="16">
        <f t="shared" si="0"/>
        <v>631840.49</v>
      </c>
      <c r="E8" s="100">
        <v>192917.84</v>
      </c>
      <c r="F8" s="111"/>
      <c r="G8" s="100">
        <v>0</v>
      </c>
      <c r="H8" s="101"/>
      <c r="I8" s="100">
        <v>157331.63</v>
      </c>
      <c r="J8" s="101"/>
      <c r="K8" s="100">
        <v>0</v>
      </c>
      <c r="L8" s="101"/>
      <c r="M8" s="100">
        <v>281591.02</v>
      </c>
      <c r="N8" s="101"/>
      <c r="O8" s="100">
        <v>0</v>
      </c>
      <c r="P8" s="101"/>
      <c r="Q8" s="100">
        <v>0</v>
      </c>
      <c r="R8" s="101"/>
      <c r="S8" s="100">
        <v>0</v>
      </c>
      <c r="T8" s="101"/>
      <c r="U8" s="100">
        <v>0</v>
      </c>
      <c r="V8" s="101"/>
      <c r="W8" s="100">
        <v>0</v>
      </c>
      <c r="X8" s="101"/>
      <c r="Y8" s="100">
        <v>0</v>
      </c>
      <c r="Z8" s="101"/>
      <c r="AA8" s="100">
        <v>0</v>
      </c>
      <c r="AB8" s="101"/>
      <c r="AC8" s="100">
        <v>0</v>
      </c>
      <c r="AD8" s="101"/>
      <c r="AE8" s="100">
        <v>0</v>
      </c>
      <c r="AF8" s="101"/>
    </row>
    <row r="9" spans="1:32" ht="12.6" thickTop="1" thickBot="1" x14ac:dyDescent="0.25">
      <c r="A9" s="12">
        <v>6</v>
      </c>
      <c r="B9" s="1" t="str">
        <f>IF(A9="","",_xlfn.XLOOKUP($A9,'[3]ANTICIPOS SAN SEBASTIÁN'!$B$1:$B$221,'[3]ANTICIPOS SAN SEBASTIÁN'!$I$1:$I$221))</f>
        <v>FASAR</v>
      </c>
      <c r="C9" s="2" t="str">
        <f>IF(A9="","",IF(_xlfn.XLOOKUP($A9,'[3]ANTICIPOS SAN SEBASTIÁN'!$B$1:$B$221,'[3]ANTICIPOS SAN SEBASTIÁN'!$K$1:$K$221)="","",_xlfn.XLOOKUP($A9,'[3]ANTICIPOS SAN SEBASTIÁN'!$B$1:$B$221,'[3]ANTICIPOS SAN SEBASTIÁN'!$K$1:$K$221)))</f>
        <v>29 Y 30</v>
      </c>
      <c r="D9" s="16">
        <f t="shared" si="0"/>
        <v>0</v>
      </c>
      <c r="E9" s="100">
        <v>0</v>
      </c>
      <c r="F9" s="111"/>
      <c r="G9" s="100">
        <v>0</v>
      </c>
      <c r="H9" s="101"/>
      <c r="I9" s="100">
        <v>0</v>
      </c>
      <c r="J9" s="101"/>
      <c r="K9" s="100">
        <v>0</v>
      </c>
      <c r="L9" s="101"/>
      <c r="M9" s="100">
        <v>0</v>
      </c>
      <c r="N9" s="101"/>
      <c r="O9" s="100">
        <v>0</v>
      </c>
      <c r="P9" s="101"/>
      <c r="Q9" s="100">
        <v>0</v>
      </c>
      <c r="R9" s="101"/>
      <c r="S9" s="100">
        <v>0</v>
      </c>
      <c r="T9" s="101"/>
      <c r="U9" s="100">
        <v>0</v>
      </c>
      <c r="V9" s="101"/>
      <c r="W9" s="100">
        <v>0</v>
      </c>
      <c r="X9" s="101"/>
      <c r="Y9" s="100">
        <v>0</v>
      </c>
      <c r="Z9" s="101"/>
      <c r="AA9" s="100">
        <v>0</v>
      </c>
      <c r="AB9" s="101"/>
      <c r="AC9" s="100">
        <v>0</v>
      </c>
      <c r="AD9" s="101"/>
      <c r="AE9" s="100">
        <v>0</v>
      </c>
      <c r="AF9" s="101"/>
    </row>
    <row r="10" spans="1:32" ht="12.6" thickTop="1" thickBot="1" x14ac:dyDescent="0.25">
      <c r="A10" s="12">
        <v>7</v>
      </c>
      <c r="B10" s="1" t="str">
        <f>IF(A10="","",_xlfn.XLOOKUP($A10,'[3]ANTICIPOS SAN SEBASTIÁN'!$B$1:$B$221,'[3]ANTICIPOS SAN SEBASTIÁN'!$I$1:$I$221))</f>
        <v>ULIGAB</v>
      </c>
      <c r="C10" s="2">
        <f>IF(A10="","",IF(_xlfn.XLOOKUP($A10,'[3]ANTICIPOS SAN SEBASTIÁN'!$B$1:$B$221,'[3]ANTICIPOS SAN SEBASTIÁN'!$K$1:$K$221)="","",_xlfn.XLOOKUP($A10,'[3]ANTICIPOS SAN SEBASTIÁN'!$B$1:$B$221,'[3]ANTICIPOS SAN SEBASTIÁN'!$K$1:$K$221)))</f>
        <v>31</v>
      </c>
      <c r="D10" s="16">
        <f t="shared" si="0"/>
        <v>0</v>
      </c>
      <c r="E10" s="100">
        <v>0</v>
      </c>
      <c r="F10" s="111"/>
      <c r="G10" s="100">
        <v>0</v>
      </c>
      <c r="H10" s="101"/>
      <c r="I10" s="100">
        <v>0</v>
      </c>
      <c r="J10" s="101"/>
      <c r="K10" s="100">
        <v>0</v>
      </c>
      <c r="L10" s="101"/>
      <c r="M10" s="100">
        <v>0</v>
      </c>
      <c r="N10" s="101"/>
      <c r="O10" s="100">
        <v>0</v>
      </c>
      <c r="P10" s="101"/>
      <c r="Q10" s="100">
        <v>0</v>
      </c>
      <c r="R10" s="101"/>
      <c r="S10" s="100">
        <v>0</v>
      </c>
      <c r="T10" s="101"/>
      <c r="U10" s="100">
        <v>0</v>
      </c>
      <c r="V10" s="101"/>
      <c r="W10" s="100">
        <v>0</v>
      </c>
      <c r="X10" s="101"/>
      <c r="Y10" s="100">
        <v>0</v>
      </c>
      <c r="Z10" s="101"/>
      <c r="AA10" s="100">
        <v>0</v>
      </c>
      <c r="AB10" s="101"/>
      <c r="AC10" s="100">
        <v>0</v>
      </c>
      <c r="AD10" s="101"/>
      <c r="AE10" s="100">
        <v>0</v>
      </c>
      <c r="AF10" s="101"/>
    </row>
    <row r="11" spans="1:32" ht="12.6" thickTop="1" thickBot="1" x14ac:dyDescent="0.25">
      <c r="A11" s="12">
        <v>8</v>
      </c>
      <c r="B11" s="1" t="str">
        <f>IF(A11="","",_xlfn.XLOOKUP($A11,'[3]ANTICIPOS SAN SEBASTIÁN'!$B$1:$B$221,'[3]ANTICIPOS SAN SEBASTIÁN'!$I$1:$I$221))</f>
        <v>ULIGAB</v>
      </c>
      <c r="C11" s="2">
        <f>IF(A11="","",IF(_xlfn.XLOOKUP($A11,'[3]ANTICIPOS SAN SEBASTIÁN'!$B$1:$B$221,'[3]ANTICIPOS SAN SEBASTIÁN'!$K$1:$K$221)="","",_xlfn.XLOOKUP($A11,'[3]ANTICIPOS SAN SEBASTIÁN'!$B$1:$B$221,'[3]ANTICIPOS SAN SEBASTIÁN'!$K$1:$K$221)))</f>
        <v>31</v>
      </c>
      <c r="D11" s="16">
        <f t="shared" si="0"/>
        <v>0</v>
      </c>
      <c r="E11" s="100">
        <v>0</v>
      </c>
      <c r="F11" s="111"/>
      <c r="G11" s="100">
        <v>0</v>
      </c>
      <c r="H11" s="101"/>
      <c r="I11" s="100">
        <v>0</v>
      </c>
      <c r="J11" s="101"/>
      <c r="K11" s="100">
        <v>0</v>
      </c>
      <c r="L11" s="101"/>
      <c r="M11" s="100">
        <v>0</v>
      </c>
      <c r="N11" s="101"/>
      <c r="O11" s="100">
        <v>0</v>
      </c>
      <c r="P11" s="101"/>
      <c r="Q11" s="100">
        <v>0</v>
      </c>
      <c r="R11" s="101"/>
      <c r="S11" s="100">
        <v>0</v>
      </c>
      <c r="T11" s="101"/>
      <c r="U11" s="100">
        <v>0</v>
      </c>
      <c r="V11" s="101"/>
      <c r="W11" s="100">
        <v>0</v>
      </c>
      <c r="X11" s="101"/>
      <c r="Y11" s="100">
        <v>0</v>
      </c>
      <c r="Z11" s="101"/>
      <c r="AA11" s="100">
        <v>0</v>
      </c>
      <c r="AB11" s="101"/>
      <c r="AC11" s="100">
        <v>0</v>
      </c>
      <c r="AD11" s="101"/>
      <c r="AE11" s="100">
        <v>0</v>
      </c>
      <c r="AF11" s="101"/>
    </row>
    <row r="12" spans="1:32" ht="12.6" thickTop="1" thickBot="1" x14ac:dyDescent="0.25">
      <c r="A12" s="12">
        <v>9</v>
      </c>
      <c r="B12" s="1" t="str">
        <f>IF(A12="","",_xlfn.XLOOKUP($A12,'[3]ANTICIPOS SAN SEBASTIÁN'!$B$1:$B$221,'[3]ANTICIPOS SAN SEBASTIÁN'!$I$1:$I$221))</f>
        <v>ULIGAB</v>
      </c>
      <c r="C12" s="2">
        <f>IF(A12="","",IF(_xlfn.XLOOKUP($A12,'[3]ANTICIPOS SAN SEBASTIÁN'!$B$1:$B$221,'[3]ANTICIPOS SAN SEBASTIÁN'!$K$1:$K$221)="","",_xlfn.XLOOKUP($A12,'[3]ANTICIPOS SAN SEBASTIÁN'!$B$1:$B$221,'[3]ANTICIPOS SAN SEBASTIÁN'!$K$1:$K$221)))</f>
        <v>32</v>
      </c>
      <c r="D12" s="16">
        <f t="shared" si="0"/>
        <v>354098.07999999996</v>
      </c>
      <c r="E12" s="100">
        <v>0</v>
      </c>
      <c r="F12" s="111"/>
      <c r="G12" s="100">
        <v>0</v>
      </c>
      <c r="H12" s="101"/>
      <c r="I12" s="100">
        <v>112134.79</v>
      </c>
      <c r="J12" s="101"/>
      <c r="K12" s="100">
        <v>0</v>
      </c>
      <c r="L12" s="101"/>
      <c r="M12" s="100">
        <v>173453.5</v>
      </c>
      <c r="N12" s="101"/>
      <c r="O12" s="100">
        <v>68509.789999999994</v>
      </c>
      <c r="P12" s="101"/>
      <c r="Q12" s="100">
        <v>0</v>
      </c>
      <c r="R12" s="101"/>
      <c r="S12" s="100">
        <v>0</v>
      </c>
      <c r="T12" s="101"/>
      <c r="U12" s="100">
        <v>0</v>
      </c>
      <c r="V12" s="101"/>
      <c r="W12" s="100">
        <v>0</v>
      </c>
      <c r="X12" s="101"/>
      <c r="Y12" s="100">
        <v>0</v>
      </c>
      <c r="Z12" s="101"/>
      <c r="AA12" s="100">
        <v>0</v>
      </c>
      <c r="AB12" s="101"/>
      <c r="AC12" s="100">
        <v>0</v>
      </c>
      <c r="AD12" s="101"/>
      <c r="AE12" s="100">
        <v>0</v>
      </c>
      <c r="AF12" s="101"/>
    </row>
    <row r="13" spans="1:32" ht="12.6" thickTop="1" thickBot="1" x14ac:dyDescent="0.25">
      <c r="A13" s="12">
        <v>10</v>
      </c>
      <c r="B13" s="1" t="str">
        <f>IF(A13="","",_xlfn.XLOOKUP($A13,'[3]ANTICIPOS SAN SEBASTIÁN'!$B$1:$B$221,'[3]ANTICIPOS SAN SEBASTIÁN'!$I$1:$I$221))</f>
        <v>ANGEL ALAMEDA</v>
      </c>
      <c r="C13" s="2">
        <f>IF(A13="","",IF(_xlfn.XLOOKUP($A13,'[3]ANTICIPOS SAN SEBASTIÁN'!$B$1:$B$221,'[3]ANTICIPOS SAN SEBASTIÁN'!$K$1:$K$221)="","",_xlfn.XLOOKUP($A13,'[3]ANTICIPOS SAN SEBASTIÁN'!$B$1:$B$221,'[3]ANTICIPOS SAN SEBASTIÁN'!$K$1:$K$221)))</f>
        <v>33</v>
      </c>
      <c r="D13" s="16">
        <f t="shared" si="0"/>
        <v>329261.65999999997</v>
      </c>
      <c r="E13" s="100">
        <v>44879.77</v>
      </c>
      <c r="F13" s="111"/>
      <c r="G13" s="100">
        <v>0</v>
      </c>
      <c r="H13" s="101"/>
      <c r="I13" s="100">
        <v>69373.55</v>
      </c>
      <c r="J13" s="101"/>
      <c r="K13" s="100">
        <v>34423.56</v>
      </c>
      <c r="L13" s="101"/>
      <c r="M13" s="100">
        <v>98421.09</v>
      </c>
      <c r="N13" s="101"/>
      <c r="O13" s="100">
        <v>1505.45</v>
      </c>
      <c r="P13" s="101"/>
      <c r="Q13" s="100">
        <v>64208.14</v>
      </c>
      <c r="R13" s="101"/>
      <c r="S13" s="100">
        <v>0</v>
      </c>
      <c r="T13" s="101"/>
      <c r="U13" s="100">
        <v>0</v>
      </c>
      <c r="V13" s="101"/>
      <c r="W13" s="100">
        <v>0</v>
      </c>
      <c r="X13" s="101"/>
      <c r="Y13" s="100">
        <v>16450.099999999999</v>
      </c>
      <c r="Z13" s="101"/>
      <c r="AA13" s="100">
        <v>0</v>
      </c>
      <c r="AB13" s="101"/>
      <c r="AC13" s="100">
        <v>0</v>
      </c>
      <c r="AD13" s="101"/>
      <c r="AE13" s="100">
        <v>0</v>
      </c>
      <c r="AF13" s="101"/>
    </row>
    <row r="14" spans="1:32" ht="12.6" thickTop="1" thickBot="1" x14ac:dyDescent="0.25">
      <c r="A14" s="12">
        <v>11</v>
      </c>
      <c r="B14" s="1" t="str">
        <f>IF(A14="","",_xlfn.XLOOKUP($A14,'[3]ANTICIPOS SAN SEBASTIÁN'!$B$1:$B$221,'[3]ANTICIPOS SAN SEBASTIÁN'!$I$1:$I$221))</f>
        <v>POWER</v>
      </c>
      <c r="C14" s="2">
        <f>IF(A14="","",IF(_xlfn.XLOOKUP($A14,'[3]ANTICIPOS SAN SEBASTIÁN'!$B$1:$B$221,'[3]ANTICIPOS SAN SEBASTIÁN'!$K$1:$K$221)="","",_xlfn.XLOOKUP($A14,'[3]ANTICIPOS SAN SEBASTIÁN'!$B$1:$B$221,'[3]ANTICIPOS SAN SEBASTIÁN'!$K$1:$K$221)))</f>
        <v>33</v>
      </c>
      <c r="D14" s="16">
        <f t="shared" si="0"/>
        <v>347203.14999999997</v>
      </c>
      <c r="E14" s="100">
        <v>0</v>
      </c>
      <c r="F14" s="111"/>
      <c r="G14" s="100">
        <v>0</v>
      </c>
      <c r="H14" s="101"/>
      <c r="I14" s="100">
        <v>0</v>
      </c>
      <c r="J14" s="101"/>
      <c r="K14" s="100">
        <v>33742.080000000002</v>
      </c>
      <c r="L14" s="101"/>
      <c r="M14" s="100">
        <v>11406.73</v>
      </c>
      <c r="N14" s="101"/>
      <c r="O14" s="100">
        <v>49127.3</v>
      </c>
      <c r="P14" s="101"/>
      <c r="Q14" s="100">
        <v>12209.88</v>
      </c>
      <c r="R14" s="101"/>
      <c r="S14" s="100">
        <v>26993.66</v>
      </c>
      <c r="T14" s="101"/>
      <c r="U14" s="100">
        <v>57414.99</v>
      </c>
      <c r="V14" s="101"/>
      <c r="W14" s="100">
        <v>15481.27</v>
      </c>
      <c r="X14" s="101"/>
      <c r="Y14" s="100">
        <v>86519.2</v>
      </c>
      <c r="Z14" s="101"/>
      <c r="AA14" s="100">
        <v>26993.66</v>
      </c>
      <c r="AB14" s="101"/>
      <c r="AC14" s="100">
        <v>27314.38</v>
      </c>
      <c r="AD14" s="101"/>
      <c r="AE14" s="100">
        <v>0</v>
      </c>
      <c r="AF14" s="101"/>
    </row>
    <row r="15" spans="1:32" ht="12.6" thickTop="1" thickBot="1" x14ac:dyDescent="0.25">
      <c r="A15" s="12">
        <v>12</v>
      </c>
      <c r="B15" s="1" t="str">
        <f>IF(A15="","",_xlfn.XLOOKUP($A15,'[3]ANTICIPOS SAN SEBASTIÁN'!$B$1:$B$221,'[3]ANTICIPOS SAN SEBASTIÁN'!$I$1:$I$221))</f>
        <v>CONSORCIO RM</v>
      </c>
      <c r="C15" s="2">
        <f>IF(A15="","",IF(_xlfn.XLOOKUP($A15,'[3]ANTICIPOS SAN SEBASTIÁN'!$B$1:$B$221,'[3]ANTICIPOS SAN SEBASTIÁN'!$K$1:$K$221)="","",_xlfn.XLOOKUP($A15,'[3]ANTICIPOS SAN SEBASTIÁN'!$B$1:$B$221,'[3]ANTICIPOS SAN SEBASTIÁN'!$K$1:$K$221)))</f>
        <v>34</v>
      </c>
      <c r="D15" s="16">
        <f t="shared" si="0"/>
        <v>447466.04000000004</v>
      </c>
      <c r="E15" s="100">
        <v>0</v>
      </c>
      <c r="F15" s="111"/>
      <c r="G15" s="100">
        <v>0</v>
      </c>
      <c r="H15" s="101"/>
      <c r="I15" s="100">
        <v>0</v>
      </c>
      <c r="J15" s="101"/>
      <c r="K15" s="100">
        <v>99451.66</v>
      </c>
      <c r="L15" s="101"/>
      <c r="M15" s="100">
        <v>265763.88</v>
      </c>
      <c r="N15" s="101"/>
      <c r="O15" s="100">
        <v>82250.5</v>
      </c>
      <c r="P15" s="101"/>
      <c r="Q15" s="100">
        <v>0</v>
      </c>
      <c r="R15" s="101"/>
      <c r="S15" s="100">
        <v>0</v>
      </c>
      <c r="T15" s="101"/>
      <c r="U15" s="100">
        <v>0</v>
      </c>
      <c r="V15" s="101"/>
      <c r="W15" s="100">
        <v>0</v>
      </c>
      <c r="X15" s="101"/>
      <c r="Y15" s="100">
        <v>0</v>
      </c>
      <c r="Z15" s="101"/>
      <c r="AA15" s="100">
        <v>0</v>
      </c>
      <c r="AB15" s="101"/>
      <c r="AC15" s="100">
        <v>0</v>
      </c>
      <c r="AD15" s="101"/>
      <c r="AE15" s="100">
        <v>0</v>
      </c>
      <c r="AF15" s="101"/>
    </row>
    <row r="16" spans="1:32" ht="12.6" thickTop="1" thickBot="1" x14ac:dyDescent="0.25">
      <c r="A16" s="12">
        <v>13</v>
      </c>
      <c r="B16" s="1" t="str">
        <f>IF(A16="","",_xlfn.XLOOKUP($A16,'[3]ANTICIPOS SAN SEBASTIÁN'!$B$1:$B$221,'[3]ANTICIPOS SAN SEBASTIÁN'!$I$1:$I$221))</f>
        <v>CONSORCIO RM</v>
      </c>
      <c r="C16" s="2">
        <f>IF(A16="","",IF(_xlfn.XLOOKUP($A16,'[3]ANTICIPOS SAN SEBASTIÁN'!$B$1:$B$221,'[3]ANTICIPOS SAN SEBASTIÁN'!$K$1:$K$221)="","",_xlfn.XLOOKUP($A16,'[3]ANTICIPOS SAN SEBASTIÁN'!$B$1:$B$221,'[3]ANTICIPOS SAN SEBASTIÁN'!$K$1:$K$221)))</f>
        <v>34</v>
      </c>
      <c r="D16" s="16">
        <f t="shared" si="0"/>
        <v>0</v>
      </c>
      <c r="E16" s="100">
        <v>0</v>
      </c>
      <c r="F16" s="111"/>
      <c r="G16" s="100">
        <v>0</v>
      </c>
      <c r="H16" s="101"/>
      <c r="I16" s="100">
        <v>0</v>
      </c>
      <c r="J16" s="101"/>
      <c r="K16" s="100">
        <v>0</v>
      </c>
      <c r="L16" s="101"/>
      <c r="M16" s="100">
        <v>0</v>
      </c>
      <c r="N16" s="101"/>
      <c r="O16" s="100">
        <v>0</v>
      </c>
      <c r="P16" s="101"/>
      <c r="Q16" s="100">
        <v>0</v>
      </c>
      <c r="R16" s="101"/>
      <c r="S16" s="100">
        <v>0</v>
      </c>
      <c r="T16" s="101"/>
      <c r="U16" s="100">
        <v>0</v>
      </c>
      <c r="V16" s="101"/>
      <c r="W16" s="100">
        <v>0</v>
      </c>
      <c r="X16" s="101"/>
      <c r="Y16" s="100">
        <v>0</v>
      </c>
      <c r="Z16" s="101"/>
      <c r="AA16" s="100">
        <v>0</v>
      </c>
      <c r="AB16" s="101"/>
      <c r="AC16" s="100">
        <v>0</v>
      </c>
      <c r="AD16" s="101"/>
      <c r="AE16" s="100">
        <v>0</v>
      </c>
      <c r="AF16" s="101"/>
    </row>
    <row r="17" spans="1:32" ht="12.6" thickTop="1" thickBot="1" x14ac:dyDescent="0.25">
      <c r="A17" s="12">
        <v>14</v>
      </c>
      <c r="B17" s="1" t="str">
        <f>IF(A17="","",_xlfn.XLOOKUP($A17,'[3]ANTICIPOS SAN SEBASTIÁN'!$B$1:$B$221,'[3]ANTICIPOS SAN SEBASTIÁN'!$I$1:$I$221))</f>
        <v>COBYPSA</v>
      </c>
      <c r="C17" s="2">
        <f>IF(A17="","",IF(_xlfn.XLOOKUP($A17,'[3]ANTICIPOS SAN SEBASTIÁN'!$B$1:$B$221,'[3]ANTICIPOS SAN SEBASTIÁN'!$K$1:$K$221)="","",_xlfn.XLOOKUP($A17,'[3]ANTICIPOS SAN SEBASTIÁN'!$B$1:$B$221,'[3]ANTICIPOS SAN SEBASTIÁN'!$K$1:$K$221)))</f>
        <v>35</v>
      </c>
      <c r="D17" s="16">
        <f t="shared" si="0"/>
        <v>352629.98</v>
      </c>
      <c r="E17" s="100">
        <v>0</v>
      </c>
      <c r="F17" s="111"/>
      <c r="G17" s="100">
        <v>0</v>
      </c>
      <c r="H17" s="101"/>
      <c r="I17" s="100">
        <v>0</v>
      </c>
      <c r="J17" s="101"/>
      <c r="K17" s="100">
        <v>0</v>
      </c>
      <c r="L17" s="101"/>
      <c r="M17" s="100">
        <v>0</v>
      </c>
      <c r="N17" s="101"/>
      <c r="O17" s="100">
        <v>67079.509999999995</v>
      </c>
      <c r="P17" s="101"/>
      <c r="Q17" s="100">
        <v>134145.88</v>
      </c>
      <c r="R17" s="101"/>
      <c r="S17" s="100">
        <v>50735.71</v>
      </c>
      <c r="T17" s="101"/>
      <c r="U17" s="100">
        <v>83797.84</v>
      </c>
      <c r="V17" s="101"/>
      <c r="W17" s="100">
        <v>0</v>
      </c>
      <c r="X17" s="101"/>
      <c r="Y17" s="100">
        <v>16871.04</v>
      </c>
      <c r="Z17" s="101"/>
      <c r="AA17" s="100">
        <v>0</v>
      </c>
      <c r="AB17" s="101"/>
      <c r="AC17" s="100">
        <v>0</v>
      </c>
      <c r="AD17" s="101"/>
      <c r="AE17" s="100">
        <v>0</v>
      </c>
      <c r="AF17" s="101"/>
    </row>
    <row r="18" spans="1:32" ht="12.6" thickTop="1" thickBot="1" x14ac:dyDescent="0.25">
      <c r="A18" s="13">
        <v>15</v>
      </c>
      <c r="B18" s="14" t="str">
        <f>IF(A18="","",_xlfn.XLOOKUP($A18,'[3]ANTICIPOS SAN SEBASTIÁN'!$B$1:$B$221,'[3]ANTICIPOS SAN SEBASTIÁN'!$I$1:$I$221))</f>
        <v>ANGEL ALAMEDA</v>
      </c>
      <c r="C18" s="15">
        <f>IF(A18="","",IF(_xlfn.XLOOKUP($A18,'[3]ANTICIPOS SAN SEBASTIÁN'!$B$1:$B$221,'[3]ANTICIPOS SAN SEBASTIÁN'!$K$1:$K$221)="","",_xlfn.XLOOKUP($A18,'[3]ANTICIPOS SAN SEBASTIÁN'!$B$1:$B$221,'[3]ANTICIPOS SAN SEBASTIÁN'!$K$1:$K$221)))</f>
        <v>36</v>
      </c>
      <c r="D18" s="16">
        <f>SUM(E18:ZZ18)</f>
        <v>0</v>
      </c>
      <c r="E18" s="102">
        <v>0</v>
      </c>
      <c r="F18" s="112"/>
      <c r="G18" s="102">
        <v>0</v>
      </c>
      <c r="H18" s="103"/>
      <c r="I18" s="102">
        <v>0</v>
      </c>
      <c r="J18" s="103"/>
      <c r="K18" s="102">
        <v>0</v>
      </c>
      <c r="L18" s="103"/>
      <c r="M18" s="102">
        <v>0</v>
      </c>
      <c r="N18" s="103"/>
      <c r="O18" s="102">
        <v>0</v>
      </c>
      <c r="P18" s="103"/>
      <c r="Q18" s="102">
        <v>0</v>
      </c>
      <c r="R18" s="103"/>
      <c r="S18" s="102">
        <v>0</v>
      </c>
      <c r="T18" s="103"/>
      <c r="U18" s="102">
        <v>0</v>
      </c>
      <c r="V18" s="103"/>
      <c r="W18" s="102">
        <v>0</v>
      </c>
      <c r="X18" s="103"/>
      <c r="Y18" s="102">
        <v>0</v>
      </c>
      <c r="Z18" s="103"/>
      <c r="AA18" s="102">
        <v>0</v>
      </c>
      <c r="AB18" s="103"/>
      <c r="AC18" s="102">
        <v>0</v>
      </c>
      <c r="AD18" s="103"/>
      <c r="AE18" s="102">
        <v>0</v>
      </c>
      <c r="AF18" s="103"/>
    </row>
  </sheetData>
  <mergeCells count="215">
    <mergeCell ref="E7:F7"/>
    <mergeCell ref="G7:H7"/>
    <mergeCell ref="A1:D1"/>
    <mergeCell ref="A2:A5"/>
    <mergeCell ref="B2:B5"/>
    <mergeCell ref="C2:C5"/>
    <mergeCell ref="D2:D5"/>
    <mergeCell ref="E4:F4"/>
    <mergeCell ref="G4:H4"/>
    <mergeCell ref="E5:F5"/>
    <mergeCell ref="G5:H5"/>
    <mergeCell ref="E6:F6"/>
    <mergeCell ref="G6:H6"/>
    <mergeCell ref="E11:F11"/>
    <mergeCell ref="G11:H11"/>
    <mergeCell ref="E12:F12"/>
    <mergeCell ref="G12:H12"/>
    <mergeCell ref="E13:F13"/>
    <mergeCell ref="G13:H13"/>
    <mergeCell ref="E8:F8"/>
    <mergeCell ref="G8:H8"/>
    <mergeCell ref="E9:F9"/>
    <mergeCell ref="G9:H9"/>
    <mergeCell ref="E10:F10"/>
    <mergeCell ref="G10:H10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  <mergeCell ref="I18:J18"/>
    <mergeCell ref="I9:J9"/>
    <mergeCell ref="I10:J10"/>
    <mergeCell ref="I11:J11"/>
    <mergeCell ref="I12:J12"/>
    <mergeCell ref="I13:J13"/>
    <mergeCell ref="I4:J4"/>
    <mergeCell ref="I5:J5"/>
    <mergeCell ref="I6:J6"/>
    <mergeCell ref="I7:J7"/>
    <mergeCell ref="I8:J8"/>
    <mergeCell ref="K4:L4"/>
    <mergeCell ref="K5:L5"/>
    <mergeCell ref="K6:L6"/>
    <mergeCell ref="K7:L7"/>
    <mergeCell ref="K8:L8"/>
    <mergeCell ref="I14:J14"/>
    <mergeCell ref="I15:J15"/>
    <mergeCell ref="I16:J16"/>
    <mergeCell ref="I17:J17"/>
    <mergeCell ref="K14:L14"/>
    <mergeCell ref="K15:L15"/>
    <mergeCell ref="K16:L16"/>
    <mergeCell ref="K17:L17"/>
    <mergeCell ref="K18:L18"/>
    <mergeCell ref="K9:L9"/>
    <mergeCell ref="K10:L10"/>
    <mergeCell ref="K11:L11"/>
    <mergeCell ref="K12:L12"/>
    <mergeCell ref="K13:L13"/>
    <mergeCell ref="M18:N1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4:N4"/>
    <mergeCell ref="M5:N5"/>
    <mergeCell ref="M6:N6"/>
    <mergeCell ref="M7:N7"/>
    <mergeCell ref="M8:N8"/>
    <mergeCell ref="O4:P4"/>
    <mergeCell ref="O5:P5"/>
    <mergeCell ref="O6:P6"/>
    <mergeCell ref="O7:P7"/>
    <mergeCell ref="O8:P8"/>
    <mergeCell ref="O14:P14"/>
    <mergeCell ref="O15:P15"/>
    <mergeCell ref="O16:P16"/>
    <mergeCell ref="O17:P17"/>
    <mergeCell ref="O18:P18"/>
    <mergeCell ref="O9:P9"/>
    <mergeCell ref="O10:P10"/>
    <mergeCell ref="O11:P11"/>
    <mergeCell ref="O12:P12"/>
    <mergeCell ref="O13:P13"/>
    <mergeCell ref="Q18:R18"/>
    <mergeCell ref="Q9:R9"/>
    <mergeCell ref="Q10:R10"/>
    <mergeCell ref="Q11:R11"/>
    <mergeCell ref="Q12:R12"/>
    <mergeCell ref="Q13:R13"/>
    <mergeCell ref="Q4:R4"/>
    <mergeCell ref="Q5:R5"/>
    <mergeCell ref="Q6:R6"/>
    <mergeCell ref="Q7:R7"/>
    <mergeCell ref="Q8:R8"/>
    <mergeCell ref="S4:T4"/>
    <mergeCell ref="S5:T5"/>
    <mergeCell ref="S6:T6"/>
    <mergeCell ref="S7:T7"/>
    <mergeCell ref="S8:T8"/>
    <mergeCell ref="Q14:R14"/>
    <mergeCell ref="Q15:R15"/>
    <mergeCell ref="Q16:R16"/>
    <mergeCell ref="Q17:R17"/>
    <mergeCell ref="S14:T14"/>
    <mergeCell ref="S15:T15"/>
    <mergeCell ref="S16:T16"/>
    <mergeCell ref="S17:T17"/>
    <mergeCell ref="S18:T18"/>
    <mergeCell ref="S9:T9"/>
    <mergeCell ref="S10:T10"/>
    <mergeCell ref="S11:T11"/>
    <mergeCell ref="S12:T12"/>
    <mergeCell ref="S13:T13"/>
    <mergeCell ref="U18:V1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4:V4"/>
    <mergeCell ref="U5:V5"/>
    <mergeCell ref="U6:V6"/>
    <mergeCell ref="U7:V7"/>
    <mergeCell ref="U8:V8"/>
    <mergeCell ref="W4:X4"/>
    <mergeCell ref="W5:X5"/>
    <mergeCell ref="W6:X6"/>
    <mergeCell ref="W7:X7"/>
    <mergeCell ref="W8:X8"/>
    <mergeCell ref="W14:X14"/>
    <mergeCell ref="W15:X15"/>
    <mergeCell ref="W16:X16"/>
    <mergeCell ref="W17:X17"/>
    <mergeCell ref="W18:X18"/>
    <mergeCell ref="W9:X9"/>
    <mergeCell ref="W10:X10"/>
    <mergeCell ref="W11:X11"/>
    <mergeCell ref="W12:X12"/>
    <mergeCell ref="W13:X13"/>
    <mergeCell ref="Y18:Z18"/>
    <mergeCell ref="Y9:Z9"/>
    <mergeCell ref="Y10:Z10"/>
    <mergeCell ref="Y11:Z11"/>
    <mergeCell ref="Y12:Z12"/>
    <mergeCell ref="Y13:Z13"/>
    <mergeCell ref="Y4:Z4"/>
    <mergeCell ref="Y5:Z5"/>
    <mergeCell ref="Y6:Z6"/>
    <mergeCell ref="Y7:Z7"/>
    <mergeCell ref="Y8:Z8"/>
    <mergeCell ref="AA4:AB4"/>
    <mergeCell ref="AA5:AB5"/>
    <mergeCell ref="AA6:AB6"/>
    <mergeCell ref="AA7:AB7"/>
    <mergeCell ref="AA8:AB8"/>
    <mergeCell ref="Y14:Z14"/>
    <mergeCell ref="Y15:Z15"/>
    <mergeCell ref="Y16:Z16"/>
    <mergeCell ref="Y17:Z17"/>
    <mergeCell ref="AA14:AB14"/>
    <mergeCell ref="AA15:AB15"/>
    <mergeCell ref="AA16:AB16"/>
    <mergeCell ref="AA17:AB17"/>
    <mergeCell ref="AA18:AB18"/>
    <mergeCell ref="AA9:AB9"/>
    <mergeCell ref="AA10:AB10"/>
    <mergeCell ref="AA11:AB11"/>
    <mergeCell ref="AA12:AB12"/>
    <mergeCell ref="AA13:AB13"/>
    <mergeCell ref="AC18:AD18"/>
    <mergeCell ref="AC9:AD9"/>
    <mergeCell ref="AC10:AD10"/>
    <mergeCell ref="AC11:AD11"/>
    <mergeCell ref="AC12:AD12"/>
    <mergeCell ref="AC13:AD13"/>
    <mergeCell ref="AC14:AD14"/>
    <mergeCell ref="AC15:AD15"/>
    <mergeCell ref="AC16:AD16"/>
    <mergeCell ref="AC17:AD17"/>
    <mergeCell ref="AC4:AD4"/>
    <mergeCell ref="AC5:AD5"/>
    <mergeCell ref="AC6:AD6"/>
    <mergeCell ref="AC7:AD7"/>
    <mergeCell ref="AC8:AD8"/>
    <mergeCell ref="AE4:AF4"/>
    <mergeCell ref="AE5:AF5"/>
    <mergeCell ref="AE6:AF6"/>
    <mergeCell ref="AE7:AF7"/>
    <mergeCell ref="AE8:AF8"/>
    <mergeCell ref="AE14:AF14"/>
    <mergeCell ref="AE15:AF15"/>
    <mergeCell ref="AE16:AF16"/>
    <mergeCell ref="AE17:AF17"/>
    <mergeCell ref="AE18:AF18"/>
    <mergeCell ref="AE9:AF9"/>
    <mergeCell ref="AE10:AF10"/>
    <mergeCell ref="AE11:AF11"/>
    <mergeCell ref="AE12:AF12"/>
    <mergeCell ref="AE13:AF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CA61-4745-45B1-A5F3-8FBCBEFE49C0}">
  <dimension ref="A1:AL18"/>
  <sheetViews>
    <sheetView showGridLines="0" workbookViewId="0">
      <pane xSplit="4" ySplit="5" topLeftCell="E6" activePane="bottomRight" state="frozen"/>
      <selection activeCell="J9" sqref="J9"/>
      <selection pane="topRight" activeCell="J9" sqref="J9"/>
      <selection pane="bottomLeft" activeCell="J9" sqref="J9"/>
      <selection pane="bottomRight" activeCell="G15" sqref="G15:H15"/>
    </sheetView>
  </sheetViews>
  <sheetFormatPr baseColWidth="10" defaultColWidth="11.375" defaultRowHeight="11.4" x14ac:dyDescent="0.2"/>
  <cols>
    <col min="1" max="1" width="11.25" style="3" bestFit="1" customWidth="1"/>
    <col min="2" max="2" width="15.875" style="3" bestFit="1" customWidth="1"/>
    <col min="3" max="3" width="10.125" style="3" bestFit="1" customWidth="1"/>
    <col min="4" max="4" width="14.375" style="3" bestFit="1" customWidth="1"/>
    <col min="5" max="8" width="10.125" style="6" bestFit="1" customWidth="1"/>
    <col min="9" max="16384" width="11.375" style="3"/>
  </cols>
  <sheetData>
    <row r="1" spans="1:38" ht="21" thickBot="1" x14ac:dyDescent="0.25">
      <c r="A1" s="115" t="s">
        <v>6</v>
      </c>
      <c r="B1" s="115"/>
      <c r="C1" s="115"/>
      <c r="D1" s="115"/>
      <c r="S1" s="17"/>
    </row>
    <row r="2" spans="1:38" s="7" customFormat="1" ht="13.5" customHeight="1" thickBot="1" x14ac:dyDescent="0.25">
      <c r="A2" s="116" t="s">
        <v>0</v>
      </c>
      <c r="B2" s="119" t="s">
        <v>1</v>
      </c>
      <c r="C2" s="119" t="s">
        <v>2</v>
      </c>
      <c r="D2" s="119" t="s">
        <v>5</v>
      </c>
      <c r="E2" s="9" t="s">
        <v>3</v>
      </c>
      <c r="F2" s="9" t="s">
        <v>4</v>
      </c>
      <c r="G2" s="9" t="s">
        <v>3</v>
      </c>
      <c r="H2" s="10" t="s">
        <v>4</v>
      </c>
      <c r="I2" s="9" t="s">
        <v>3</v>
      </c>
      <c r="J2" s="10" t="s">
        <v>4</v>
      </c>
      <c r="K2" s="9" t="s">
        <v>3</v>
      </c>
      <c r="L2" s="10" t="s">
        <v>4</v>
      </c>
      <c r="M2" s="9" t="s">
        <v>3</v>
      </c>
      <c r="N2" s="10" t="s">
        <v>4</v>
      </c>
      <c r="O2" s="9" t="s">
        <v>3</v>
      </c>
      <c r="P2" s="10" t="s">
        <v>4</v>
      </c>
      <c r="Q2" s="9" t="s">
        <v>3</v>
      </c>
      <c r="R2" s="10" t="s">
        <v>4</v>
      </c>
      <c r="S2" s="9" t="s">
        <v>3</v>
      </c>
      <c r="T2" s="10" t="s">
        <v>4</v>
      </c>
      <c r="U2" s="9" t="s">
        <v>3</v>
      </c>
      <c r="V2" s="10" t="s">
        <v>4</v>
      </c>
      <c r="W2" s="9" t="s">
        <v>3</v>
      </c>
      <c r="X2" s="10" t="s">
        <v>4</v>
      </c>
      <c r="Y2" s="9" t="s">
        <v>3</v>
      </c>
      <c r="Z2" s="10" t="s">
        <v>4</v>
      </c>
      <c r="AA2" s="9" t="s">
        <v>3</v>
      </c>
      <c r="AB2" s="10" t="s">
        <v>4</v>
      </c>
      <c r="AC2" s="9" t="s">
        <v>3</v>
      </c>
      <c r="AD2" s="10" t="s">
        <v>4</v>
      </c>
      <c r="AE2" s="9" t="s">
        <v>3</v>
      </c>
      <c r="AF2" s="10" t="s">
        <v>4</v>
      </c>
      <c r="AG2" s="9" t="s">
        <v>3</v>
      </c>
      <c r="AH2" s="10" t="s">
        <v>4</v>
      </c>
      <c r="AI2" s="123" t="s">
        <v>36</v>
      </c>
      <c r="AJ2" s="124"/>
      <c r="AK2" s="123" t="s">
        <v>36</v>
      </c>
      <c r="AL2" s="124"/>
    </row>
    <row r="3" spans="1:38" s="6" customFormat="1" ht="13.5" customHeight="1" thickTop="1" thickBot="1" x14ac:dyDescent="0.25">
      <c r="A3" s="117"/>
      <c r="B3" s="120"/>
      <c r="C3" s="120"/>
      <c r="D3" s="120"/>
      <c r="E3" s="5">
        <v>44459</v>
      </c>
      <c r="F3" s="5">
        <f>E3+5</f>
        <v>44464</v>
      </c>
      <c r="G3" s="5">
        <f>E3+7</f>
        <v>44466</v>
      </c>
      <c r="H3" s="11">
        <f>G3+5</f>
        <v>44471</v>
      </c>
      <c r="I3" s="5">
        <f>G3+7</f>
        <v>44473</v>
      </c>
      <c r="J3" s="11">
        <f>I3+5</f>
        <v>44478</v>
      </c>
      <c r="K3" s="5">
        <f>I3+7</f>
        <v>44480</v>
      </c>
      <c r="L3" s="11">
        <f>K3+5</f>
        <v>44485</v>
      </c>
      <c r="M3" s="5">
        <f>K3+7</f>
        <v>44487</v>
      </c>
      <c r="N3" s="11">
        <f>M3+5</f>
        <v>44492</v>
      </c>
      <c r="O3" s="5">
        <f>M3+7</f>
        <v>44494</v>
      </c>
      <c r="P3" s="11">
        <f>O3+5</f>
        <v>44499</v>
      </c>
      <c r="Q3" s="5">
        <f>O3+7</f>
        <v>44501</v>
      </c>
      <c r="R3" s="11">
        <f>Q3+5</f>
        <v>44506</v>
      </c>
      <c r="S3" s="5">
        <f>Q3+7</f>
        <v>44508</v>
      </c>
      <c r="T3" s="11">
        <f>S3+5</f>
        <v>44513</v>
      </c>
      <c r="U3" s="5">
        <f>S3+7</f>
        <v>44515</v>
      </c>
      <c r="V3" s="11">
        <f>U3+5</f>
        <v>44520</v>
      </c>
      <c r="W3" s="5">
        <f>U3+7</f>
        <v>44522</v>
      </c>
      <c r="X3" s="11">
        <f>W3+5</f>
        <v>44527</v>
      </c>
      <c r="Y3" s="5">
        <f>W3+7</f>
        <v>44529</v>
      </c>
      <c r="Z3" s="11">
        <f>Y3+5</f>
        <v>44534</v>
      </c>
      <c r="AA3" s="5">
        <f>Y3+7</f>
        <v>44536</v>
      </c>
      <c r="AB3" s="11">
        <f>AA3+5</f>
        <v>44541</v>
      </c>
      <c r="AC3" s="5">
        <f>AA3+7</f>
        <v>44543</v>
      </c>
      <c r="AD3" s="11">
        <f>AC3+5</f>
        <v>44548</v>
      </c>
      <c r="AE3" s="5">
        <f>AC3+7</f>
        <v>44550</v>
      </c>
      <c r="AF3" s="11">
        <f>AE3+5</f>
        <v>44555</v>
      </c>
      <c r="AG3" s="5">
        <f>AE3+7</f>
        <v>44557</v>
      </c>
      <c r="AH3" s="11">
        <f>AG3+5</f>
        <v>44562</v>
      </c>
      <c r="AI3" s="125">
        <v>44564</v>
      </c>
      <c r="AJ3" s="126"/>
      <c r="AK3" s="125">
        <f>AI3+7</f>
        <v>44571</v>
      </c>
      <c r="AL3" s="126"/>
    </row>
    <row r="4" spans="1:38" s="8" customFormat="1" ht="13.5" customHeight="1" thickTop="1" thickBot="1" x14ac:dyDescent="0.25">
      <c r="A4" s="117"/>
      <c r="B4" s="120"/>
      <c r="C4" s="120"/>
      <c r="D4" s="120"/>
      <c r="E4" s="109">
        <v>1</v>
      </c>
      <c r="F4" s="127"/>
      <c r="G4" s="109">
        <f>E4+1</f>
        <v>2</v>
      </c>
      <c r="H4" s="110"/>
      <c r="I4" s="109">
        <f>G4+1</f>
        <v>3</v>
      </c>
      <c r="J4" s="110"/>
      <c r="K4" s="109">
        <f>I4+1</f>
        <v>4</v>
      </c>
      <c r="L4" s="110"/>
      <c r="M4" s="109">
        <f>K4+1</f>
        <v>5</v>
      </c>
      <c r="N4" s="110"/>
      <c r="O4" s="109">
        <f>M4+1</f>
        <v>6</v>
      </c>
      <c r="P4" s="110"/>
      <c r="Q4" s="109">
        <f>O4+1</f>
        <v>7</v>
      </c>
      <c r="R4" s="110"/>
      <c r="S4" s="109">
        <f>Q4+1</f>
        <v>8</v>
      </c>
      <c r="T4" s="110"/>
      <c r="U4" s="109">
        <f>S4+1</f>
        <v>9</v>
      </c>
      <c r="V4" s="110"/>
      <c r="W4" s="109">
        <f>U4+1</f>
        <v>10</v>
      </c>
      <c r="X4" s="110"/>
      <c r="Y4" s="109">
        <f>W4+1</f>
        <v>11</v>
      </c>
      <c r="Z4" s="110"/>
      <c r="AA4" s="109">
        <f>Y4+1</f>
        <v>12</v>
      </c>
      <c r="AB4" s="110"/>
      <c r="AC4" s="109">
        <f>AA4+1</f>
        <v>13</v>
      </c>
      <c r="AD4" s="110"/>
      <c r="AE4" s="109">
        <f>AC4+1</f>
        <v>14</v>
      </c>
      <c r="AF4" s="110"/>
      <c r="AG4" s="109">
        <f>AE4+1</f>
        <v>15</v>
      </c>
      <c r="AH4" s="110"/>
      <c r="AI4" s="104">
        <v>1</v>
      </c>
      <c r="AJ4" s="105"/>
      <c r="AK4" s="109">
        <f>AI4+1</f>
        <v>2</v>
      </c>
      <c r="AL4" s="110"/>
    </row>
    <row r="5" spans="1:38" s="8" customFormat="1" ht="12.75" customHeight="1" thickTop="1" thickBot="1" x14ac:dyDescent="0.25">
      <c r="A5" s="118"/>
      <c r="B5" s="121"/>
      <c r="C5" s="121"/>
      <c r="D5" s="121"/>
      <c r="E5" s="106">
        <f>SUM(E6:F18)</f>
        <v>398750</v>
      </c>
      <c r="F5" s="122"/>
      <c r="G5" s="106">
        <f>SUM(G6:H18)</f>
        <v>238983.2</v>
      </c>
      <c r="H5" s="107"/>
      <c r="I5" s="106">
        <f>SUM(I6:J18)</f>
        <v>455633.5</v>
      </c>
      <c r="J5" s="107"/>
      <c r="K5" s="106">
        <f>SUM(K6:L18)-K9</f>
        <v>314748.59999999998</v>
      </c>
      <c r="L5" s="107"/>
      <c r="M5" s="106">
        <f>SUM(M6:N18)</f>
        <v>165746.6</v>
      </c>
      <c r="N5" s="107"/>
      <c r="O5" s="106">
        <f>SUM(O6:P18)</f>
        <v>0</v>
      </c>
      <c r="P5" s="107"/>
      <c r="Q5" s="106">
        <f>SUM(Q6:R18)-Q8</f>
        <v>258329.09999999998</v>
      </c>
      <c r="R5" s="107"/>
      <c r="S5" s="106">
        <f>SUM(S6:T18)</f>
        <v>0</v>
      </c>
      <c r="T5" s="107"/>
      <c r="U5" s="106">
        <f>SUM(U6:V18)</f>
        <v>127049</v>
      </c>
      <c r="V5" s="107"/>
      <c r="W5" s="106">
        <f>SUM(W6:X18)</f>
        <v>23455.200000000001</v>
      </c>
      <c r="X5" s="107"/>
      <c r="Y5" s="106">
        <f>SUM(Y6:Z18)</f>
        <v>0</v>
      </c>
      <c r="Z5" s="107"/>
      <c r="AA5" s="106">
        <f>SUM(AA6:AB18)</f>
        <v>304842.2</v>
      </c>
      <c r="AB5" s="107"/>
      <c r="AC5" s="106">
        <f>SUM(AC6:AD18)</f>
        <v>0</v>
      </c>
      <c r="AD5" s="107"/>
      <c r="AE5" s="106">
        <f>SUM(AE6:AF18)</f>
        <v>0</v>
      </c>
      <c r="AF5" s="107"/>
      <c r="AG5" s="106">
        <f>SUM(AG6:AH18)</f>
        <v>0</v>
      </c>
      <c r="AH5" s="107"/>
      <c r="AI5" s="106">
        <f>SUM(AI6:AJ18)</f>
        <v>0</v>
      </c>
      <c r="AJ5" s="107"/>
    </row>
    <row r="6" spans="1:38" ht="12.6" thickTop="1" thickBot="1" x14ac:dyDescent="0.25">
      <c r="A6" s="12">
        <v>3</v>
      </c>
      <c r="B6" s="1" t="str">
        <f>IF(A6="","",_xlfn.XLOOKUP($A6,'[3]ANTICIPOS SAN SEBASTIÁN'!$B$1:$B$221,'[3]ANTICIPOS SAN SEBASTIÁN'!$I$1:$I$221))</f>
        <v>COINVI</v>
      </c>
      <c r="C6" s="2">
        <f>IF(A6="","",IF(_xlfn.XLOOKUP($A6,'[3]ANTICIPOS SAN SEBASTIÁN'!$B$1:$B$221,'[3]ANTICIPOS SAN SEBASTIÁN'!$K$1:$K$221)="","",_xlfn.XLOOKUP($A6,'[3]ANTICIPOS SAN SEBASTIÁN'!$B$1:$B$221,'[3]ANTICIPOS SAN SEBASTIÁN'!$K$1:$K$221)))</f>
        <v>27</v>
      </c>
      <c r="D6" s="16">
        <f t="shared" ref="D6:D17" si="0">SUM(E6:ZZ6)</f>
        <v>0</v>
      </c>
      <c r="E6" s="100">
        <v>0</v>
      </c>
      <c r="F6" s="101"/>
      <c r="G6" s="100">
        <v>0</v>
      </c>
      <c r="H6" s="101"/>
      <c r="I6" s="100">
        <v>0</v>
      </c>
      <c r="J6" s="101"/>
      <c r="K6" s="100">
        <v>0</v>
      </c>
      <c r="L6" s="101"/>
      <c r="M6" s="100">
        <v>0</v>
      </c>
      <c r="N6" s="101"/>
      <c r="O6" s="100">
        <v>0</v>
      </c>
      <c r="P6" s="101"/>
      <c r="Q6" s="100">
        <v>0</v>
      </c>
      <c r="R6" s="101"/>
      <c r="S6" s="100">
        <v>0</v>
      </c>
      <c r="T6" s="101"/>
      <c r="U6" s="100">
        <v>0</v>
      </c>
      <c r="V6" s="101"/>
      <c r="W6" s="100">
        <v>0</v>
      </c>
      <c r="X6" s="101"/>
      <c r="Y6" s="100">
        <v>0</v>
      </c>
      <c r="Z6" s="101"/>
      <c r="AA6" s="100">
        <v>0</v>
      </c>
      <c r="AB6" s="101"/>
      <c r="AC6" s="100">
        <v>0</v>
      </c>
      <c r="AD6" s="101"/>
      <c r="AE6" s="100">
        <v>0</v>
      </c>
      <c r="AF6" s="101"/>
      <c r="AG6" s="100">
        <v>0</v>
      </c>
      <c r="AH6" s="101"/>
      <c r="AI6" s="100">
        <v>0</v>
      </c>
      <c r="AJ6" s="101"/>
    </row>
    <row r="7" spans="1:38" ht="12.6" thickTop="1" thickBot="1" x14ac:dyDescent="0.25">
      <c r="A7" s="12">
        <v>4</v>
      </c>
      <c r="B7" s="1" t="str">
        <f>IF(A7="","",_xlfn.XLOOKUP($A7,'[3]ANTICIPOS SAN SEBASTIÁN'!$B$1:$B$221,'[3]ANTICIPOS SAN SEBASTIÁN'!$I$1:$I$221))</f>
        <v>OBREGÓN</v>
      </c>
      <c r="C7" s="2">
        <f>IF(A7="","",IF(_xlfn.XLOOKUP($A7,'[3]ANTICIPOS SAN SEBASTIÁN'!$B$1:$B$221,'[3]ANTICIPOS SAN SEBASTIÁN'!$K$1:$K$221)="","",_xlfn.XLOOKUP($A7,'[3]ANTICIPOS SAN SEBASTIÁN'!$B$1:$B$221,'[3]ANTICIPOS SAN SEBASTIÁN'!$K$1:$K$221)))</f>
        <v>27</v>
      </c>
      <c r="D7" s="16">
        <f t="shared" si="0"/>
        <v>0</v>
      </c>
      <c r="E7" s="100">
        <v>0</v>
      </c>
      <c r="F7" s="101"/>
      <c r="G7" s="100">
        <v>0</v>
      </c>
      <c r="H7" s="101"/>
      <c r="I7" s="100">
        <v>0</v>
      </c>
      <c r="J7" s="101"/>
      <c r="K7" s="100">
        <v>0</v>
      </c>
      <c r="L7" s="101"/>
      <c r="M7" s="100">
        <v>0</v>
      </c>
      <c r="N7" s="101"/>
      <c r="O7" s="100">
        <v>0</v>
      </c>
      <c r="P7" s="101"/>
      <c r="Q7" s="100">
        <v>0</v>
      </c>
      <c r="R7" s="101"/>
      <c r="S7" s="100">
        <v>0</v>
      </c>
      <c r="T7" s="101"/>
      <c r="U7" s="100">
        <v>0</v>
      </c>
      <c r="V7" s="101"/>
      <c r="W7" s="100">
        <v>0</v>
      </c>
      <c r="X7" s="101"/>
      <c r="Y7" s="100">
        <v>0</v>
      </c>
      <c r="Z7" s="101"/>
      <c r="AA7" s="100">
        <v>0</v>
      </c>
      <c r="AB7" s="101"/>
      <c r="AC7" s="100">
        <v>0</v>
      </c>
      <c r="AD7" s="101"/>
      <c r="AE7" s="100">
        <v>0</v>
      </c>
      <c r="AF7" s="101"/>
      <c r="AG7" s="100">
        <v>0</v>
      </c>
      <c r="AH7" s="101"/>
      <c r="AI7" s="100">
        <v>0</v>
      </c>
      <c r="AJ7" s="101"/>
    </row>
    <row r="8" spans="1:38" ht="12.6" thickTop="1" thickBot="1" x14ac:dyDescent="0.25">
      <c r="A8" s="12">
        <v>5</v>
      </c>
      <c r="B8" s="1" t="str">
        <f>IF(A8="","",_xlfn.XLOOKUP($A8,'[3]ANTICIPOS SAN SEBASTIÁN'!$B$1:$B$221,'[3]ANTICIPOS SAN SEBASTIÁN'!$I$1:$I$221))</f>
        <v>POWER</v>
      </c>
      <c r="C8" s="2">
        <f>IF(A8="","",IF(_xlfn.XLOOKUP($A8,'[3]ANTICIPOS SAN SEBASTIÁN'!$B$1:$B$221,'[3]ANTICIPOS SAN SEBASTIÁN'!$K$1:$K$221)="","",_xlfn.XLOOKUP($A8,'[3]ANTICIPOS SAN SEBASTIÁN'!$B$1:$B$221,'[3]ANTICIPOS SAN SEBASTIÁN'!$K$1:$K$221)))</f>
        <v>28</v>
      </c>
      <c r="D8" s="16">
        <f t="shared" si="0"/>
        <v>262006.30000000002</v>
      </c>
      <c r="E8" s="100">
        <v>121220</v>
      </c>
      <c r="F8" s="101"/>
      <c r="G8" s="100">
        <v>0</v>
      </c>
      <c r="H8" s="101"/>
      <c r="I8" s="100">
        <v>39092</v>
      </c>
      <c r="J8" s="101"/>
      <c r="K8" s="100">
        <v>0</v>
      </c>
      <c r="L8" s="101"/>
      <c r="M8" s="100">
        <v>0</v>
      </c>
      <c r="N8" s="101"/>
      <c r="O8" s="100">
        <v>0</v>
      </c>
      <c r="P8" s="101"/>
      <c r="Q8" s="128">
        <v>52774.2</v>
      </c>
      <c r="R8" s="129"/>
      <c r="S8" s="100">
        <v>0</v>
      </c>
      <c r="T8" s="101"/>
      <c r="U8" s="100">
        <v>0</v>
      </c>
      <c r="V8" s="101"/>
      <c r="W8" s="100">
        <v>0</v>
      </c>
      <c r="X8" s="101"/>
      <c r="Y8" s="100">
        <v>0</v>
      </c>
      <c r="Z8" s="101"/>
      <c r="AA8" s="100">
        <v>48920.1</v>
      </c>
      <c r="AB8" s="101"/>
      <c r="AC8" s="100">
        <v>0</v>
      </c>
      <c r="AD8" s="101"/>
      <c r="AE8" s="100">
        <v>0</v>
      </c>
      <c r="AF8" s="101"/>
      <c r="AG8" s="100">
        <v>0</v>
      </c>
      <c r="AH8" s="101"/>
      <c r="AI8" s="100">
        <v>0</v>
      </c>
      <c r="AJ8" s="101"/>
    </row>
    <row r="9" spans="1:38" ht="12.6" thickTop="1" thickBot="1" x14ac:dyDescent="0.25">
      <c r="A9" s="12">
        <v>6</v>
      </c>
      <c r="B9" s="1" t="str">
        <f>IF(A9="","",_xlfn.XLOOKUP($A9,'[3]ANTICIPOS SAN SEBASTIÁN'!$B$1:$B$221,'[3]ANTICIPOS SAN SEBASTIÁN'!$I$1:$I$221))</f>
        <v>FASAR</v>
      </c>
      <c r="C9" s="2" t="str">
        <f>IF(A9="","",IF(_xlfn.XLOOKUP($A9,'[3]ANTICIPOS SAN SEBASTIÁN'!$B$1:$B$221,'[3]ANTICIPOS SAN SEBASTIÁN'!$K$1:$K$221)="","",_xlfn.XLOOKUP($A9,'[3]ANTICIPOS SAN SEBASTIÁN'!$B$1:$B$221,'[3]ANTICIPOS SAN SEBASTIÁN'!$K$1:$K$221)))</f>
        <v>29 Y 30</v>
      </c>
      <c r="D9" s="16">
        <f t="shared" si="0"/>
        <v>558377.6</v>
      </c>
      <c r="E9" s="100">
        <v>244035</v>
      </c>
      <c r="F9" s="101"/>
      <c r="G9" s="100">
        <v>119625</v>
      </c>
      <c r="H9" s="101"/>
      <c r="I9" s="100">
        <v>48253.1</v>
      </c>
      <c r="J9" s="101"/>
      <c r="K9" s="100">
        <v>16614.099999999999</v>
      </c>
      <c r="L9" s="101"/>
      <c r="M9" s="100">
        <v>0</v>
      </c>
      <c r="N9" s="101"/>
      <c r="O9" s="100">
        <v>0</v>
      </c>
      <c r="P9" s="101"/>
      <c r="Q9" s="100">
        <v>23455.200000000001</v>
      </c>
      <c r="R9" s="101"/>
      <c r="S9" s="100">
        <v>0</v>
      </c>
      <c r="T9" s="101"/>
      <c r="U9" s="100">
        <v>0</v>
      </c>
      <c r="V9" s="101"/>
      <c r="W9" s="100">
        <v>0</v>
      </c>
      <c r="X9" s="101"/>
      <c r="Y9" s="100">
        <v>0</v>
      </c>
      <c r="Z9" s="101"/>
      <c r="AA9" s="100">
        <v>106395.2</v>
      </c>
      <c r="AB9" s="101"/>
      <c r="AC9" s="100">
        <v>0</v>
      </c>
      <c r="AD9" s="101"/>
      <c r="AE9" s="100">
        <v>0</v>
      </c>
      <c r="AF9" s="101"/>
      <c r="AG9" s="100">
        <v>0</v>
      </c>
      <c r="AH9" s="101"/>
      <c r="AI9" s="100">
        <v>0</v>
      </c>
      <c r="AJ9" s="101"/>
    </row>
    <row r="10" spans="1:38" ht="12.6" thickTop="1" thickBot="1" x14ac:dyDescent="0.25">
      <c r="A10" s="12">
        <v>7</v>
      </c>
      <c r="B10" s="1" t="str">
        <f>IF(A10="","",_xlfn.XLOOKUP($A10,'[3]ANTICIPOS SAN SEBASTIÁN'!$B$1:$B$221,'[3]ANTICIPOS SAN SEBASTIÁN'!$I$1:$I$221))</f>
        <v>ULIGAB</v>
      </c>
      <c r="C10" s="2">
        <f>IF(A10="","",IF(_xlfn.XLOOKUP($A10,'[3]ANTICIPOS SAN SEBASTIÁN'!$B$1:$B$221,'[3]ANTICIPOS SAN SEBASTIÁN'!$K$1:$K$221)="","",_xlfn.XLOOKUP($A10,'[3]ANTICIPOS SAN SEBASTIÁN'!$B$1:$B$221,'[3]ANTICIPOS SAN SEBASTIÁN'!$K$1:$K$221)))</f>
        <v>31</v>
      </c>
      <c r="D10" s="16">
        <f t="shared" si="0"/>
        <v>192850</v>
      </c>
      <c r="E10" s="100">
        <v>0</v>
      </c>
      <c r="F10" s="101"/>
      <c r="G10" s="100">
        <v>0</v>
      </c>
      <c r="H10" s="101"/>
      <c r="I10" s="100">
        <v>0</v>
      </c>
      <c r="J10" s="101"/>
      <c r="K10" s="100">
        <v>0</v>
      </c>
      <c r="L10" s="101"/>
      <c r="M10" s="100">
        <v>0</v>
      </c>
      <c r="N10" s="101"/>
      <c r="O10" s="100">
        <v>0</v>
      </c>
      <c r="P10" s="101"/>
      <c r="Q10" s="100">
        <v>112711.4</v>
      </c>
      <c r="R10" s="101"/>
      <c r="S10" s="100">
        <v>0</v>
      </c>
      <c r="T10" s="101"/>
      <c r="U10" s="100">
        <v>53751.5</v>
      </c>
      <c r="V10" s="101"/>
      <c r="W10" s="100">
        <v>0</v>
      </c>
      <c r="X10" s="101"/>
      <c r="Y10" s="100">
        <v>0</v>
      </c>
      <c r="Z10" s="101"/>
      <c r="AA10" s="100">
        <v>26387.1</v>
      </c>
      <c r="AB10" s="101"/>
      <c r="AC10" s="100">
        <v>0</v>
      </c>
      <c r="AD10" s="101"/>
      <c r="AE10" s="100">
        <v>0</v>
      </c>
      <c r="AF10" s="101"/>
      <c r="AG10" s="100">
        <v>0</v>
      </c>
      <c r="AH10" s="101"/>
      <c r="AI10" s="100">
        <v>0</v>
      </c>
      <c r="AJ10" s="101"/>
    </row>
    <row r="11" spans="1:38" ht="12.6" thickTop="1" thickBot="1" x14ac:dyDescent="0.25">
      <c r="A11" s="12">
        <v>8</v>
      </c>
      <c r="B11" s="1" t="str">
        <f>IF(A11="","",_xlfn.XLOOKUP($A11,'[3]ANTICIPOS SAN SEBASTIÁN'!$B$1:$B$221,'[3]ANTICIPOS SAN SEBASTIÁN'!$I$1:$I$221))</f>
        <v>ULIGAB</v>
      </c>
      <c r="C11" s="2">
        <f>IF(A11="","",IF(_xlfn.XLOOKUP($A11,'[3]ANTICIPOS SAN SEBASTIÁN'!$B$1:$B$221,'[3]ANTICIPOS SAN SEBASTIÁN'!$K$1:$K$221)="","",_xlfn.XLOOKUP($A11,'[3]ANTICIPOS SAN SEBASTIÁN'!$B$1:$B$221,'[3]ANTICIPOS SAN SEBASTIÁN'!$K$1:$K$221)))</f>
        <v>31</v>
      </c>
      <c r="D11" s="16">
        <f t="shared" si="0"/>
        <v>89911.6</v>
      </c>
      <c r="E11" s="100">
        <v>0</v>
      </c>
      <c r="F11" s="101"/>
      <c r="G11" s="100">
        <v>0</v>
      </c>
      <c r="H11" s="101"/>
      <c r="I11" s="100">
        <v>0</v>
      </c>
      <c r="J11" s="101"/>
      <c r="K11" s="100">
        <v>0</v>
      </c>
      <c r="L11" s="101"/>
      <c r="M11" s="100">
        <v>0</v>
      </c>
      <c r="N11" s="101"/>
      <c r="O11" s="100">
        <v>0</v>
      </c>
      <c r="P11" s="101"/>
      <c r="Q11" s="100">
        <v>41046.6</v>
      </c>
      <c r="R11" s="101"/>
      <c r="S11" s="100">
        <v>0</v>
      </c>
      <c r="T11" s="101"/>
      <c r="U11" s="100">
        <v>0</v>
      </c>
      <c r="V11" s="101"/>
      <c r="W11" s="100">
        <v>0</v>
      </c>
      <c r="X11" s="101"/>
      <c r="Y11" s="100">
        <v>0</v>
      </c>
      <c r="Z11" s="101"/>
      <c r="AA11" s="100">
        <v>48865</v>
      </c>
      <c r="AB11" s="101"/>
      <c r="AC11" s="100">
        <v>0</v>
      </c>
      <c r="AD11" s="101"/>
      <c r="AE11" s="100">
        <v>0</v>
      </c>
      <c r="AF11" s="101"/>
      <c r="AG11" s="100">
        <v>0</v>
      </c>
      <c r="AH11" s="101"/>
      <c r="AI11" s="100">
        <v>0</v>
      </c>
      <c r="AJ11" s="101"/>
    </row>
    <row r="12" spans="1:38" ht="12.6" thickTop="1" thickBot="1" x14ac:dyDescent="0.25">
      <c r="A12" s="12">
        <v>9</v>
      </c>
      <c r="B12" s="1" t="str">
        <f>IF(A12="","",_xlfn.XLOOKUP($A12,'[3]ANTICIPOS SAN SEBASTIÁN'!$B$1:$B$221,'[3]ANTICIPOS SAN SEBASTIÁN'!$I$1:$I$221))</f>
        <v>ULIGAB</v>
      </c>
      <c r="C12" s="2">
        <f>IF(A12="","",IF(_xlfn.XLOOKUP($A12,'[3]ANTICIPOS SAN SEBASTIÁN'!$B$1:$B$221,'[3]ANTICIPOS SAN SEBASTIÁN'!$K$1:$K$221)="","",_xlfn.XLOOKUP($A12,'[3]ANTICIPOS SAN SEBASTIÁN'!$B$1:$B$221,'[3]ANTICIPOS SAN SEBASTIÁN'!$K$1:$K$221)))</f>
        <v>32</v>
      </c>
      <c r="D12" s="16">
        <f t="shared" si="0"/>
        <v>347463.5</v>
      </c>
      <c r="E12" s="130">
        <v>33495</v>
      </c>
      <c r="F12" s="131"/>
      <c r="G12" s="100">
        <v>119358.2</v>
      </c>
      <c r="H12" s="101"/>
      <c r="I12" s="100">
        <v>78891.600000000006</v>
      </c>
      <c r="J12" s="101"/>
      <c r="K12" s="100">
        <v>115718.7</v>
      </c>
      <c r="L12" s="101"/>
      <c r="M12" s="100">
        <v>0</v>
      </c>
      <c r="N12" s="101"/>
      <c r="O12" s="100">
        <v>0</v>
      </c>
      <c r="P12" s="101"/>
      <c r="Q12" s="100">
        <v>0</v>
      </c>
      <c r="R12" s="101"/>
      <c r="S12" s="100">
        <v>0</v>
      </c>
      <c r="T12" s="101"/>
      <c r="U12" s="100">
        <v>0</v>
      </c>
      <c r="V12" s="101"/>
      <c r="W12" s="100">
        <v>0</v>
      </c>
      <c r="X12" s="101"/>
      <c r="Y12" s="100">
        <v>0</v>
      </c>
      <c r="Z12" s="101"/>
      <c r="AA12" s="100">
        <v>0</v>
      </c>
      <c r="AB12" s="101"/>
      <c r="AC12" s="100">
        <v>0</v>
      </c>
      <c r="AD12" s="101"/>
      <c r="AE12" s="100">
        <v>0</v>
      </c>
      <c r="AF12" s="101"/>
      <c r="AG12" s="100">
        <v>0</v>
      </c>
      <c r="AH12" s="101"/>
      <c r="AI12" s="100">
        <v>0</v>
      </c>
      <c r="AJ12" s="101"/>
    </row>
    <row r="13" spans="1:38" ht="12.6" thickTop="1" thickBot="1" x14ac:dyDescent="0.25">
      <c r="A13" s="12">
        <v>10</v>
      </c>
      <c r="B13" s="1" t="str">
        <f>IF(A13="","",_xlfn.XLOOKUP($A13,'[3]ANTICIPOS SAN SEBASTIÁN'!$B$1:$B$221,'[3]ANTICIPOS SAN SEBASTIÁN'!$I$1:$I$221))</f>
        <v>ANGEL ALAMEDA</v>
      </c>
      <c r="C13" s="2">
        <f>IF(A13="","",IF(_xlfn.XLOOKUP($A13,'[3]ANTICIPOS SAN SEBASTIÁN'!$B$1:$B$221,'[3]ANTICIPOS SAN SEBASTIÁN'!$K$1:$K$221)="","",_xlfn.XLOOKUP($A13,'[3]ANTICIPOS SAN SEBASTIÁN'!$B$1:$B$221,'[3]ANTICIPOS SAN SEBASTIÁN'!$K$1:$K$221)))</f>
        <v>33</v>
      </c>
      <c r="D13" s="16">
        <f t="shared" si="0"/>
        <v>0</v>
      </c>
      <c r="E13" s="100">
        <v>0</v>
      </c>
      <c r="F13" s="101"/>
      <c r="G13" s="100">
        <v>0</v>
      </c>
      <c r="H13" s="101"/>
      <c r="I13" s="100">
        <v>0</v>
      </c>
      <c r="J13" s="101"/>
      <c r="K13" s="100">
        <v>0</v>
      </c>
      <c r="L13" s="101"/>
      <c r="M13" s="100">
        <v>0</v>
      </c>
      <c r="N13" s="101"/>
      <c r="O13" s="100">
        <v>0</v>
      </c>
      <c r="P13" s="101"/>
      <c r="Q13" s="100">
        <v>0</v>
      </c>
      <c r="R13" s="101"/>
      <c r="S13" s="100">
        <v>0</v>
      </c>
      <c r="T13" s="101"/>
      <c r="U13" s="100">
        <v>0</v>
      </c>
      <c r="V13" s="101"/>
      <c r="W13" s="100">
        <v>0</v>
      </c>
      <c r="X13" s="101"/>
      <c r="Y13" s="100">
        <v>0</v>
      </c>
      <c r="Z13" s="101"/>
      <c r="AA13" s="100">
        <v>0</v>
      </c>
      <c r="AB13" s="101"/>
      <c r="AC13" s="100">
        <v>0</v>
      </c>
      <c r="AD13" s="101"/>
      <c r="AE13" s="100">
        <v>0</v>
      </c>
      <c r="AF13" s="101"/>
      <c r="AG13" s="100">
        <v>0</v>
      </c>
      <c r="AH13" s="101"/>
      <c r="AI13" s="100">
        <v>0</v>
      </c>
      <c r="AJ13" s="101"/>
    </row>
    <row r="14" spans="1:38" ht="12.6" thickTop="1" thickBot="1" x14ac:dyDescent="0.25">
      <c r="A14" s="12">
        <v>11</v>
      </c>
      <c r="B14" s="1" t="str">
        <f>IF(A14="","",_xlfn.XLOOKUP($A14,'[3]ANTICIPOS SAN SEBASTIÁN'!$B$1:$B$221,'[3]ANTICIPOS SAN SEBASTIÁN'!$I$1:$I$221))</f>
        <v>POWER</v>
      </c>
      <c r="C14" s="2">
        <f>IF(A14="","",IF(_xlfn.XLOOKUP($A14,'[3]ANTICIPOS SAN SEBASTIÁN'!$B$1:$B$221,'[3]ANTICIPOS SAN SEBASTIÁN'!$K$1:$K$221)="","",_xlfn.XLOOKUP($A14,'[3]ANTICIPOS SAN SEBASTIÁN'!$B$1:$B$221,'[3]ANTICIPOS SAN SEBASTIÁN'!$K$1:$K$221)))</f>
        <v>33</v>
      </c>
      <c r="D14" s="16">
        <f t="shared" si="0"/>
        <v>532408.10000000009</v>
      </c>
      <c r="E14" s="100">
        <v>0</v>
      </c>
      <c r="F14" s="101"/>
      <c r="G14" s="100">
        <v>0</v>
      </c>
      <c r="H14" s="101"/>
      <c r="I14" s="100">
        <v>129896.8</v>
      </c>
      <c r="J14" s="101"/>
      <c r="K14" s="100">
        <v>93307.5</v>
      </c>
      <c r="L14" s="101"/>
      <c r="M14" s="100">
        <v>75629.100000000006</v>
      </c>
      <c r="N14" s="101"/>
      <c r="O14" s="100">
        <v>0</v>
      </c>
      <c r="P14" s="101"/>
      <c r="Q14" s="100">
        <v>62547.199999999997</v>
      </c>
      <c r="R14" s="101"/>
      <c r="S14" s="100">
        <v>0</v>
      </c>
      <c r="T14" s="101"/>
      <c r="U14" s="100">
        <v>73297.5</v>
      </c>
      <c r="V14" s="101"/>
      <c r="W14" s="100">
        <v>23455.200000000001</v>
      </c>
      <c r="X14" s="101"/>
      <c r="Y14" s="100">
        <v>0</v>
      </c>
      <c r="Z14" s="101"/>
      <c r="AA14" s="100">
        <v>74274.8</v>
      </c>
      <c r="AB14" s="101"/>
      <c r="AC14" s="100">
        <v>0</v>
      </c>
      <c r="AD14" s="101"/>
      <c r="AE14" s="100">
        <v>0</v>
      </c>
      <c r="AF14" s="101"/>
      <c r="AG14" s="100">
        <v>0</v>
      </c>
      <c r="AH14" s="101"/>
      <c r="AI14" s="100">
        <v>0</v>
      </c>
      <c r="AJ14" s="101"/>
    </row>
    <row r="15" spans="1:38" ht="12.6" thickTop="1" thickBot="1" x14ac:dyDescent="0.25">
      <c r="A15" s="12">
        <v>12</v>
      </c>
      <c r="B15" s="1" t="str">
        <f>IF(A15="","",_xlfn.XLOOKUP($A15,'[3]ANTICIPOS SAN SEBASTIÁN'!$B$1:$B$221,'[3]ANTICIPOS SAN SEBASTIÁN'!$I$1:$I$221))</f>
        <v>CONSORCIO RM</v>
      </c>
      <c r="C15" s="2">
        <f>IF(A15="","",IF(_xlfn.XLOOKUP($A15,'[3]ANTICIPOS SAN SEBASTIÁN'!$B$1:$B$221,'[3]ANTICIPOS SAN SEBASTIÁN'!$K$1:$K$221)="","",_xlfn.XLOOKUP($A15,'[3]ANTICIPOS SAN SEBASTIÁN'!$B$1:$B$221,'[3]ANTICIPOS SAN SEBASTIÁN'!$K$1:$K$221)))</f>
        <v>34</v>
      </c>
      <c r="D15" s="16">
        <f t="shared" si="0"/>
        <v>0</v>
      </c>
      <c r="E15" s="100">
        <v>0</v>
      </c>
      <c r="F15" s="101"/>
      <c r="G15" s="100">
        <v>0</v>
      </c>
      <c r="H15" s="101"/>
      <c r="I15" s="100">
        <v>0</v>
      </c>
      <c r="J15" s="101"/>
      <c r="K15" s="100">
        <v>0</v>
      </c>
      <c r="L15" s="101"/>
      <c r="M15" s="100">
        <v>0</v>
      </c>
      <c r="N15" s="101"/>
      <c r="O15" s="100">
        <v>0</v>
      </c>
      <c r="P15" s="101"/>
      <c r="Q15" s="100">
        <v>0</v>
      </c>
      <c r="R15" s="101"/>
      <c r="S15" s="100">
        <v>0</v>
      </c>
      <c r="T15" s="101"/>
      <c r="U15" s="100">
        <v>0</v>
      </c>
      <c r="V15" s="101"/>
      <c r="W15" s="100">
        <v>0</v>
      </c>
      <c r="X15" s="101"/>
      <c r="Y15" s="100">
        <v>0</v>
      </c>
      <c r="Z15" s="101"/>
      <c r="AA15" s="100">
        <v>0</v>
      </c>
      <c r="AB15" s="101"/>
      <c r="AC15" s="100">
        <v>0</v>
      </c>
      <c r="AD15" s="101"/>
      <c r="AE15" s="100">
        <v>0</v>
      </c>
      <c r="AF15" s="101"/>
      <c r="AG15" s="100">
        <v>0</v>
      </c>
      <c r="AH15" s="101"/>
      <c r="AI15" s="100">
        <v>0</v>
      </c>
      <c r="AJ15" s="101"/>
    </row>
    <row r="16" spans="1:38" ht="12.6" thickTop="1" thickBot="1" x14ac:dyDescent="0.25">
      <c r="A16" s="12">
        <v>13</v>
      </c>
      <c r="B16" s="1" t="str">
        <f>IF(A16="","",_xlfn.XLOOKUP($A16,'[3]ANTICIPOS SAN SEBASTIÁN'!$B$1:$B$221,'[3]ANTICIPOS SAN SEBASTIÁN'!$I$1:$I$221))</f>
        <v>CONSORCIO RM</v>
      </c>
      <c r="C16" s="2">
        <f>IF(A16="","",IF(_xlfn.XLOOKUP($A16,'[3]ANTICIPOS SAN SEBASTIÁN'!$B$1:$B$221,'[3]ANTICIPOS SAN SEBASTIÁN'!$K$1:$K$221)="","",_xlfn.XLOOKUP($A16,'[3]ANTICIPOS SAN SEBASTIÁN'!$B$1:$B$221,'[3]ANTICIPOS SAN SEBASTIÁN'!$K$1:$K$221)))</f>
        <v>34</v>
      </c>
      <c r="D16" s="16">
        <f t="shared" si="0"/>
        <v>47850</v>
      </c>
      <c r="E16" s="100">
        <v>0</v>
      </c>
      <c r="F16" s="101"/>
      <c r="G16" s="100">
        <v>0</v>
      </c>
      <c r="H16" s="101"/>
      <c r="I16" s="100">
        <v>0</v>
      </c>
      <c r="J16" s="101"/>
      <c r="K16" s="100">
        <v>0</v>
      </c>
      <c r="L16" s="101"/>
      <c r="M16" s="100">
        <v>47850</v>
      </c>
      <c r="N16" s="101"/>
      <c r="O16" s="100">
        <v>0</v>
      </c>
      <c r="P16" s="101"/>
      <c r="Q16" s="100">
        <v>0</v>
      </c>
      <c r="R16" s="101"/>
      <c r="S16" s="100">
        <v>0</v>
      </c>
      <c r="T16" s="101"/>
      <c r="U16" s="100">
        <v>0</v>
      </c>
      <c r="V16" s="101"/>
      <c r="W16" s="100">
        <v>0</v>
      </c>
      <c r="X16" s="101"/>
      <c r="Y16" s="100">
        <v>0</v>
      </c>
      <c r="Z16" s="101"/>
      <c r="AA16" s="100">
        <v>0</v>
      </c>
      <c r="AB16" s="101"/>
      <c r="AC16" s="100">
        <v>0</v>
      </c>
      <c r="AD16" s="101"/>
      <c r="AE16" s="100">
        <v>0</v>
      </c>
      <c r="AF16" s="101"/>
      <c r="AG16" s="100">
        <v>0</v>
      </c>
      <c r="AH16" s="101"/>
      <c r="AI16" s="100">
        <v>0</v>
      </c>
      <c r="AJ16" s="101"/>
    </row>
    <row r="17" spans="1:36" ht="12.6" thickTop="1" thickBot="1" x14ac:dyDescent="0.25">
      <c r="A17" s="12">
        <v>14</v>
      </c>
      <c r="B17" s="1" t="str">
        <f>IF(A17="","",_xlfn.XLOOKUP($A17,'[3]ANTICIPOS SAN SEBASTIÁN'!$B$1:$B$221,'[3]ANTICIPOS SAN SEBASTIÁN'!$I$1:$I$221))</f>
        <v>COBYPSA</v>
      </c>
      <c r="C17" s="2">
        <f>IF(A17="","",IF(_xlfn.XLOOKUP($A17,'[3]ANTICIPOS SAN SEBASTIÁN'!$B$1:$B$221,'[3]ANTICIPOS SAN SEBASTIÁN'!$K$1:$K$221)="","",_xlfn.XLOOKUP($A17,'[3]ANTICIPOS SAN SEBASTIÁN'!$B$1:$B$221,'[3]ANTICIPOS SAN SEBASTIÁN'!$K$1:$K$221)))</f>
        <v>35</v>
      </c>
      <c r="D17" s="16">
        <f t="shared" si="0"/>
        <v>326058.60000000003</v>
      </c>
      <c r="E17" s="100">
        <v>0</v>
      </c>
      <c r="F17" s="101"/>
      <c r="G17" s="100">
        <v>0</v>
      </c>
      <c r="H17" s="101"/>
      <c r="I17" s="100">
        <v>159500</v>
      </c>
      <c r="J17" s="101"/>
      <c r="K17" s="100">
        <v>105722.4</v>
      </c>
      <c r="L17" s="101"/>
      <c r="M17" s="100">
        <v>42267.5</v>
      </c>
      <c r="N17" s="101"/>
      <c r="O17" s="100">
        <v>0</v>
      </c>
      <c r="P17" s="101"/>
      <c r="Q17" s="100">
        <v>18568.7</v>
      </c>
      <c r="R17" s="101"/>
      <c r="S17" s="100">
        <v>0</v>
      </c>
      <c r="T17" s="101"/>
      <c r="U17" s="100">
        <v>0</v>
      </c>
      <c r="V17" s="101"/>
      <c r="W17" s="100">
        <v>0</v>
      </c>
      <c r="X17" s="101"/>
      <c r="Y17" s="100">
        <v>0</v>
      </c>
      <c r="Z17" s="101"/>
      <c r="AA17" s="100">
        <v>0</v>
      </c>
      <c r="AB17" s="101"/>
      <c r="AC17" s="100">
        <v>0</v>
      </c>
      <c r="AD17" s="101"/>
      <c r="AE17" s="100">
        <v>0</v>
      </c>
      <c r="AF17" s="101"/>
      <c r="AG17" s="100">
        <v>0</v>
      </c>
      <c r="AH17" s="101"/>
      <c r="AI17" s="100">
        <v>0</v>
      </c>
      <c r="AJ17" s="101"/>
    </row>
    <row r="18" spans="1:36" ht="12.6" thickTop="1" thickBot="1" x14ac:dyDescent="0.25">
      <c r="A18" s="13">
        <v>15</v>
      </c>
      <c r="B18" s="14" t="str">
        <f>IF(A18="","",_xlfn.XLOOKUP($A18,'[3]ANTICIPOS SAN SEBASTIÁN'!$B$1:$B$221,'[3]ANTICIPOS SAN SEBASTIÁN'!$I$1:$I$221))</f>
        <v>ANGEL ALAMEDA</v>
      </c>
      <c r="C18" s="15">
        <f>IF(A18="","",IF(_xlfn.XLOOKUP($A18,'[3]ANTICIPOS SAN SEBASTIÁN'!$B$1:$B$221,'[3]ANTICIPOS SAN SEBASTIÁN'!$K$1:$K$221)="","",_xlfn.XLOOKUP($A18,'[3]ANTICIPOS SAN SEBASTIÁN'!$B$1:$B$221,'[3]ANTICIPOS SAN SEBASTIÁN'!$K$1:$K$221)))</f>
        <v>36</v>
      </c>
      <c r="D18" s="16">
        <f>SUM(E18:ZZ18)</f>
        <v>0</v>
      </c>
      <c r="E18" s="102">
        <v>0</v>
      </c>
      <c r="F18" s="103"/>
      <c r="G18" s="102">
        <v>0</v>
      </c>
      <c r="H18" s="103"/>
      <c r="I18" s="102">
        <v>0</v>
      </c>
      <c r="J18" s="103"/>
      <c r="K18" s="102">
        <v>0</v>
      </c>
      <c r="L18" s="103"/>
      <c r="M18" s="102">
        <v>0</v>
      </c>
      <c r="N18" s="103"/>
      <c r="O18" s="102">
        <v>0</v>
      </c>
      <c r="P18" s="103"/>
      <c r="Q18" s="102">
        <v>0</v>
      </c>
      <c r="R18" s="103"/>
      <c r="S18" s="102">
        <v>0</v>
      </c>
      <c r="T18" s="103"/>
      <c r="U18" s="102">
        <v>0</v>
      </c>
      <c r="V18" s="103"/>
      <c r="W18" s="102">
        <v>0</v>
      </c>
      <c r="X18" s="103"/>
      <c r="Y18" s="102">
        <v>0</v>
      </c>
      <c r="Z18" s="103"/>
      <c r="AA18" s="102">
        <v>0</v>
      </c>
      <c r="AB18" s="103"/>
      <c r="AC18" s="102">
        <v>0</v>
      </c>
      <c r="AD18" s="103"/>
      <c r="AE18" s="102">
        <v>0</v>
      </c>
      <c r="AF18" s="103"/>
      <c r="AG18" s="102">
        <v>0</v>
      </c>
      <c r="AH18" s="103"/>
      <c r="AI18" s="102">
        <v>0</v>
      </c>
      <c r="AJ18" s="103"/>
    </row>
  </sheetData>
  <mergeCells count="250">
    <mergeCell ref="AI2:AJ2"/>
    <mergeCell ref="AK2:AL2"/>
    <mergeCell ref="AI3:AJ3"/>
    <mergeCell ref="AK3:AL3"/>
    <mergeCell ref="AK4:AL4"/>
    <mergeCell ref="AA17:AB17"/>
    <mergeCell ref="AC17:AD17"/>
    <mergeCell ref="AE18:AF18"/>
    <mergeCell ref="AG18:AH18"/>
    <mergeCell ref="AI18:AJ18"/>
    <mergeCell ref="AC18:AD18"/>
    <mergeCell ref="AE13:AF13"/>
    <mergeCell ref="AG12:AH12"/>
    <mergeCell ref="AI12:AJ12"/>
    <mergeCell ref="AI10:AJ10"/>
    <mergeCell ref="AI11:AJ11"/>
    <mergeCell ref="AC7:AD7"/>
    <mergeCell ref="AE8:AF8"/>
    <mergeCell ref="AG8:AH8"/>
    <mergeCell ref="AI8:AJ8"/>
    <mergeCell ref="AA8:AB8"/>
    <mergeCell ref="AC8:AD8"/>
    <mergeCell ref="AE9:AF9"/>
    <mergeCell ref="AG9:AH9"/>
    <mergeCell ref="S18:T18"/>
    <mergeCell ref="U18:V18"/>
    <mergeCell ref="W18:X18"/>
    <mergeCell ref="Y18:Z18"/>
    <mergeCell ref="I18:J18"/>
    <mergeCell ref="K18:L18"/>
    <mergeCell ref="M18:N18"/>
    <mergeCell ref="O18:P18"/>
    <mergeCell ref="Q18:R18"/>
    <mergeCell ref="W17:X17"/>
    <mergeCell ref="Y17:Z17"/>
    <mergeCell ref="AE16:AF16"/>
    <mergeCell ref="AG16:AH16"/>
    <mergeCell ref="AI16:AJ16"/>
    <mergeCell ref="W16:X16"/>
    <mergeCell ref="Y16:Z16"/>
    <mergeCell ref="AA16:AB16"/>
    <mergeCell ref="AC16:AD16"/>
    <mergeCell ref="AE17:AF17"/>
    <mergeCell ref="AG17:AH17"/>
    <mergeCell ref="AI17:AJ17"/>
    <mergeCell ref="E15:F15"/>
    <mergeCell ref="AA18:AB18"/>
    <mergeCell ref="E17:F17"/>
    <mergeCell ref="G17:H17"/>
    <mergeCell ref="I17:J17"/>
    <mergeCell ref="K17:L17"/>
    <mergeCell ref="M17:N17"/>
    <mergeCell ref="O17:P17"/>
    <mergeCell ref="Q17:R17"/>
    <mergeCell ref="S16:T16"/>
    <mergeCell ref="U16:V16"/>
    <mergeCell ref="E18:F18"/>
    <mergeCell ref="G18:H18"/>
    <mergeCell ref="E16:F16"/>
    <mergeCell ref="G16:H16"/>
    <mergeCell ref="I16:J16"/>
    <mergeCell ref="K16:L16"/>
    <mergeCell ref="M16:N16"/>
    <mergeCell ref="O16:P16"/>
    <mergeCell ref="Q16:R16"/>
    <mergeCell ref="S15:T15"/>
    <mergeCell ref="U15:V15"/>
    <mergeCell ref="S17:T17"/>
    <mergeCell ref="U17:V17"/>
    <mergeCell ref="AE15:AF15"/>
    <mergeCell ref="AG15:AH15"/>
    <mergeCell ref="AI15:AJ15"/>
    <mergeCell ref="W15:X15"/>
    <mergeCell ref="Y15:Z15"/>
    <mergeCell ref="AA15:AB15"/>
    <mergeCell ref="AC15:AD15"/>
    <mergeCell ref="AA14:AB14"/>
    <mergeCell ref="AC14:AD14"/>
    <mergeCell ref="G15:H15"/>
    <mergeCell ref="I15:J15"/>
    <mergeCell ref="K15:L15"/>
    <mergeCell ref="M15:N15"/>
    <mergeCell ref="O15:P15"/>
    <mergeCell ref="Q15:R15"/>
    <mergeCell ref="S14:T14"/>
    <mergeCell ref="I13:J13"/>
    <mergeCell ref="K13:L13"/>
    <mergeCell ref="M13:N13"/>
    <mergeCell ref="O13:P13"/>
    <mergeCell ref="Q13:R13"/>
    <mergeCell ref="AG13:AH13"/>
    <mergeCell ref="AI13:AJ13"/>
    <mergeCell ref="E14:F14"/>
    <mergeCell ref="G14:H14"/>
    <mergeCell ref="I14:J14"/>
    <mergeCell ref="K14:L14"/>
    <mergeCell ref="M14:N14"/>
    <mergeCell ref="O14:P14"/>
    <mergeCell ref="Q14:R14"/>
    <mergeCell ref="S13:T13"/>
    <mergeCell ref="U13:V13"/>
    <mergeCell ref="W13:X13"/>
    <mergeCell ref="Y13:Z13"/>
    <mergeCell ref="AA13:AB13"/>
    <mergeCell ref="AC13:AD13"/>
    <mergeCell ref="AE14:AF14"/>
    <mergeCell ref="AG14:AH14"/>
    <mergeCell ref="AI14:AJ14"/>
    <mergeCell ref="W14:X14"/>
    <mergeCell ref="Y14:Z14"/>
    <mergeCell ref="E13:F13"/>
    <mergeCell ref="G13:H13"/>
    <mergeCell ref="U14:V14"/>
    <mergeCell ref="AE12:AF12"/>
    <mergeCell ref="AE10:AF10"/>
    <mergeCell ref="AG10:AH10"/>
    <mergeCell ref="W10:X10"/>
    <mergeCell ref="AA12:AB12"/>
    <mergeCell ref="AC12:AD12"/>
    <mergeCell ref="AC10:AD10"/>
    <mergeCell ref="AE11:AF11"/>
    <mergeCell ref="AG11:AH11"/>
    <mergeCell ref="W12:X12"/>
    <mergeCell ref="Y12:Z12"/>
    <mergeCell ref="S12:T12"/>
    <mergeCell ref="U12:V12"/>
    <mergeCell ref="E12:F12"/>
    <mergeCell ref="G12:H12"/>
    <mergeCell ref="I12:J12"/>
    <mergeCell ref="K12:L12"/>
    <mergeCell ref="M12:N12"/>
    <mergeCell ref="S11:T11"/>
    <mergeCell ref="U11:V11"/>
    <mergeCell ref="O12:P12"/>
    <mergeCell ref="Q12:R12"/>
    <mergeCell ref="U9:V9"/>
    <mergeCell ref="W9:X9"/>
    <mergeCell ref="Y9:Z9"/>
    <mergeCell ref="AA9:AB9"/>
    <mergeCell ref="AC9:AD9"/>
    <mergeCell ref="Y10:Z10"/>
    <mergeCell ref="AA10:AB10"/>
    <mergeCell ref="E11:F11"/>
    <mergeCell ref="G11:H11"/>
    <mergeCell ref="I11:J11"/>
    <mergeCell ref="K11:L11"/>
    <mergeCell ref="M11:N11"/>
    <mergeCell ref="O11:P11"/>
    <mergeCell ref="Q11:R11"/>
    <mergeCell ref="W11:X11"/>
    <mergeCell ref="Y11:Z11"/>
    <mergeCell ref="AA11:AB11"/>
    <mergeCell ref="AC11:AD11"/>
    <mergeCell ref="AI9:AJ9"/>
    <mergeCell ref="E10:F10"/>
    <mergeCell ref="G10:H10"/>
    <mergeCell ref="I10:J10"/>
    <mergeCell ref="K10:L10"/>
    <mergeCell ref="K8:L8"/>
    <mergeCell ref="M8:N8"/>
    <mergeCell ref="O8:P8"/>
    <mergeCell ref="Q8:R8"/>
    <mergeCell ref="W8:X8"/>
    <mergeCell ref="Y8:Z8"/>
    <mergeCell ref="E9:F9"/>
    <mergeCell ref="G9:H9"/>
    <mergeCell ref="I9:J9"/>
    <mergeCell ref="K9:L9"/>
    <mergeCell ref="M9:N9"/>
    <mergeCell ref="O9:P9"/>
    <mergeCell ref="Q9:R9"/>
    <mergeCell ref="S10:T10"/>
    <mergeCell ref="U10:V10"/>
    <mergeCell ref="M10:N10"/>
    <mergeCell ref="O10:P10"/>
    <mergeCell ref="Q10:R10"/>
    <mergeCell ref="S9:T9"/>
    <mergeCell ref="W7:X7"/>
    <mergeCell ref="Y7:Z7"/>
    <mergeCell ref="AA7:AB7"/>
    <mergeCell ref="AE6:AF6"/>
    <mergeCell ref="AG6:AH6"/>
    <mergeCell ref="AI6:AJ6"/>
    <mergeCell ref="W6:X6"/>
    <mergeCell ref="Y6:Z6"/>
    <mergeCell ref="AA6:AB6"/>
    <mergeCell ref="AC6:AD6"/>
    <mergeCell ref="AE7:AF7"/>
    <mergeCell ref="AG7:AH7"/>
    <mergeCell ref="AI7:AJ7"/>
    <mergeCell ref="E7:F7"/>
    <mergeCell ref="G7:H7"/>
    <mergeCell ref="I7:J7"/>
    <mergeCell ref="K7:L7"/>
    <mergeCell ref="M7:N7"/>
    <mergeCell ref="O7:P7"/>
    <mergeCell ref="Q7:R7"/>
    <mergeCell ref="S8:T8"/>
    <mergeCell ref="U8:V8"/>
    <mergeCell ref="E8:F8"/>
    <mergeCell ref="G8:H8"/>
    <mergeCell ref="I8:J8"/>
    <mergeCell ref="S7:T7"/>
    <mergeCell ref="U7:V7"/>
    <mergeCell ref="K4:L4"/>
    <mergeCell ref="M4:N4"/>
    <mergeCell ref="O4:P4"/>
    <mergeCell ref="Q4:R4"/>
    <mergeCell ref="AE5:AF5"/>
    <mergeCell ref="AG5:AH5"/>
    <mergeCell ref="AI5:AJ5"/>
    <mergeCell ref="W5:X5"/>
    <mergeCell ref="Y5:Z5"/>
    <mergeCell ref="AA5:AB5"/>
    <mergeCell ref="AC5:AD5"/>
    <mergeCell ref="E6:F6"/>
    <mergeCell ref="G6:H6"/>
    <mergeCell ref="I6:J6"/>
    <mergeCell ref="K6:L6"/>
    <mergeCell ref="M6:N6"/>
    <mergeCell ref="O6:P6"/>
    <mergeCell ref="Q6:R6"/>
    <mergeCell ref="S5:T5"/>
    <mergeCell ref="U5:V5"/>
    <mergeCell ref="S6:T6"/>
    <mergeCell ref="U6:V6"/>
    <mergeCell ref="A1:D1"/>
    <mergeCell ref="A2:A5"/>
    <mergeCell ref="B2:B5"/>
    <mergeCell ref="C2:C5"/>
    <mergeCell ref="D2:D5"/>
    <mergeCell ref="E4:F4"/>
    <mergeCell ref="AE4:AF4"/>
    <mergeCell ref="AG4:AH4"/>
    <mergeCell ref="AI4:AJ4"/>
    <mergeCell ref="E5:F5"/>
    <mergeCell ref="G5:H5"/>
    <mergeCell ref="I5:J5"/>
    <mergeCell ref="K5:L5"/>
    <mergeCell ref="M5:N5"/>
    <mergeCell ref="O5:P5"/>
    <mergeCell ref="Q5:R5"/>
    <mergeCell ref="S4:T4"/>
    <mergeCell ref="U4:V4"/>
    <mergeCell ref="W4:X4"/>
    <mergeCell ref="Y4:Z4"/>
    <mergeCell ref="AA4:AB4"/>
    <mergeCell ref="AC4:AD4"/>
    <mergeCell ref="G4:H4"/>
    <mergeCell ref="I4:J4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4F23-7309-4AEF-B1C4-693535960903}">
  <dimension ref="A1:AH21"/>
  <sheetViews>
    <sheetView showGridLines="0" workbookViewId="0">
      <pane xSplit="4" ySplit="5" topLeftCell="E6" activePane="bottomRight" state="frozen"/>
      <selection activeCell="J9" sqref="J9"/>
      <selection pane="topRight" activeCell="J9" sqref="J9"/>
      <selection pane="bottomLeft" activeCell="J9" sqref="J9"/>
      <selection pane="bottomRight" activeCell="D9" sqref="D9"/>
    </sheetView>
  </sheetViews>
  <sheetFormatPr baseColWidth="10" defaultColWidth="11.375" defaultRowHeight="11.4" x14ac:dyDescent="0.2"/>
  <cols>
    <col min="1" max="1" width="11.25" style="3" bestFit="1" customWidth="1"/>
    <col min="2" max="2" width="15.875" style="3" bestFit="1" customWidth="1"/>
    <col min="3" max="3" width="10.125" style="3" bestFit="1" customWidth="1"/>
    <col min="4" max="4" width="14.375" style="3" bestFit="1" customWidth="1"/>
    <col min="5" max="8" width="10.125" style="6" bestFit="1" customWidth="1"/>
    <col min="9" max="34" width="11.375" style="3"/>
    <col min="35" max="35" width="12.125" style="3" bestFit="1" customWidth="1"/>
    <col min="36" max="16384" width="11.375" style="3"/>
  </cols>
  <sheetData>
    <row r="1" spans="1:34" ht="21" thickBot="1" x14ac:dyDescent="0.25">
      <c r="A1" s="115" t="s">
        <v>7</v>
      </c>
      <c r="B1" s="115"/>
      <c r="C1" s="115"/>
      <c r="D1" s="115"/>
    </row>
    <row r="2" spans="1:34" s="7" customFormat="1" ht="13.5" customHeight="1" thickBot="1" x14ac:dyDescent="0.25">
      <c r="A2" s="116" t="s">
        <v>0</v>
      </c>
      <c r="B2" s="119" t="s">
        <v>1</v>
      </c>
      <c r="C2" s="119" t="s">
        <v>2</v>
      </c>
      <c r="D2" s="119" t="s">
        <v>5</v>
      </c>
      <c r="E2" s="9" t="s">
        <v>3</v>
      </c>
      <c r="F2" s="9" t="s">
        <v>4</v>
      </c>
      <c r="G2" s="9" t="s">
        <v>3</v>
      </c>
      <c r="H2" s="10" t="s">
        <v>4</v>
      </c>
      <c r="I2" s="9" t="s">
        <v>3</v>
      </c>
      <c r="J2" s="10" t="s">
        <v>4</v>
      </c>
      <c r="K2" s="9" t="s">
        <v>3</v>
      </c>
      <c r="L2" s="10" t="s">
        <v>4</v>
      </c>
      <c r="M2" s="9" t="s">
        <v>3</v>
      </c>
      <c r="N2" s="10" t="s">
        <v>4</v>
      </c>
      <c r="O2" s="9" t="s">
        <v>3</v>
      </c>
      <c r="P2" s="10" t="s">
        <v>4</v>
      </c>
      <c r="Q2" s="9" t="s">
        <v>3</v>
      </c>
      <c r="R2" s="10" t="s">
        <v>4</v>
      </c>
      <c r="S2" s="9" t="s">
        <v>3</v>
      </c>
      <c r="T2" s="10" t="s">
        <v>4</v>
      </c>
      <c r="U2" s="9" t="s">
        <v>3</v>
      </c>
      <c r="V2" s="10" t="s">
        <v>4</v>
      </c>
      <c r="W2" s="9" t="s">
        <v>3</v>
      </c>
      <c r="X2" s="10" t="s">
        <v>4</v>
      </c>
      <c r="Y2" s="9" t="s">
        <v>3</v>
      </c>
      <c r="Z2" s="10" t="s">
        <v>4</v>
      </c>
      <c r="AA2" s="9" t="s">
        <v>3</v>
      </c>
      <c r="AB2" s="10" t="s">
        <v>4</v>
      </c>
      <c r="AC2" s="9" t="s">
        <v>3</v>
      </c>
      <c r="AD2" s="10" t="s">
        <v>4</v>
      </c>
      <c r="AE2" s="9" t="s">
        <v>3</v>
      </c>
      <c r="AF2" s="10" t="s">
        <v>4</v>
      </c>
      <c r="AG2" s="9" t="s">
        <v>3</v>
      </c>
      <c r="AH2" s="10" t="s">
        <v>4</v>
      </c>
    </row>
    <row r="3" spans="1:34" s="6" customFormat="1" ht="13.5" customHeight="1" thickTop="1" thickBot="1" x14ac:dyDescent="0.25">
      <c r="A3" s="117"/>
      <c r="B3" s="120"/>
      <c r="C3" s="120"/>
      <c r="D3" s="120"/>
      <c r="E3" s="5"/>
      <c r="F3" s="5">
        <f>E3+5</f>
        <v>5</v>
      </c>
      <c r="G3" s="5">
        <f>E3+7</f>
        <v>7</v>
      </c>
      <c r="H3" s="11">
        <f>G3+5</f>
        <v>12</v>
      </c>
      <c r="I3" s="5">
        <f>G3+7</f>
        <v>14</v>
      </c>
      <c r="J3" s="11">
        <f>I3+5</f>
        <v>19</v>
      </c>
      <c r="K3" s="5">
        <f>I3+7</f>
        <v>21</v>
      </c>
      <c r="L3" s="11">
        <f>K3+5</f>
        <v>26</v>
      </c>
      <c r="M3" s="5">
        <f>K3+7</f>
        <v>28</v>
      </c>
      <c r="N3" s="11">
        <f>M3+5</f>
        <v>33</v>
      </c>
      <c r="O3" s="5">
        <f>M3+7</f>
        <v>35</v>
      </c>
      <c r="P3" s="11">
        <f>O3+5</f>
        <v>40</v>
      </c>
      <c r="Q3" s="5">
        <f>O3+7</f>
        <v>42</v>
      </c>
      <c r="R3" s="11">
        <f>Q3+5</f>
        <v>47</v>
      </c>
      <c r="S3" s="5">
        <f>Q3+7</f>
        <v>49</v>
      </c>
      <c r="T3" s="11">
        <f>S3+5</f>
        <v>54</v>
      </c>
      <c r="U3" s="5">
        <f>S3+7</f>
        <v>56</v>
      </c>
      <c r="V3" s="11">
        <f>U3+5</f>
        <v>61</v>
      </c>
      <c r="W3" s="5">
        <f>U3+7</f>
        <v>63</v>
      </c>
      <c r="X3" s="11">
        <f>W3+5</f>
        <v>68</v>
      </c>
      <c r="Y3" s="5">
        <f>W3+7</f>
        <v>70</v>
      </c>
      <c r="Z3" s="11">
        <f>Y3+5</f>
        <v>75</v>
      </c>
      <c r="AA3" s="5">
        <f>Y3+7</f>
        <v>77</v>
      </c>
      <c r="AB3" s="11">
        <f>AA3+5</f>
        <v>82</v>
      </c>
      <c r="AC3" s="5">
        <f>AA3+7</f>
        <v>84</v>
      </c>
      <c r="AD3" s="11">
        <f>AC3+5</f>
        <v>89</v>
      </c>
      <c r="AE3" s="5">
        <v>44548</v>
      </c>
      <c r="AF3" s="11">
        <f>AE3+6</f>
        <v>44554</v>
      </c>
      <c r="AG3" s="5">
        <v>44555</v>
      </c>
      <c r="AH3" s="11">
        <f>AG3+6</f>
        <v>44561</v>
      </c>
    </row>
    <row r="4" spans="1:34" s="8" customFormat="1" ht="13.5" customHeight="1" thickTop="1" thickBot="1" x14ac:dyDescent="0.25">
      <c r="A4" s="117"/>
      <c r="B4" s="120"/>
      <c r="C4" s="120"/>
      <c r="D4" s="120"/>
      <c r="E4" s="109">
        <v>1</v>
      </c>
      <c r="F4" s="127"/>
      <c r="G4" s="109">
        <f>E4+1</f>
        <v>2</v>
      </c>
      <c r="H4" s="110"/>
      <c r="I4" s="109">
        <f>G4+1</f>
        <v>3</v>
      </c>
      <c r="J4" s="110"/>
      <c r="K4" s="109">
        <f>I4+1</f>
        <v>4</v>
      </c>
      <c r="L4" s="110"/>
      <c r="M4" s="109">
        <f>K4+1</f>
        <v>5</v>
      </c>
      <c r="N4" s="110"/>
      <c r="O4" s="109">
        <f>M4+1</f>
        <v>6</v>
      </c>
      <c r="P4" s="110"/>
      <c r="Q4" s="109">
        <f>O4+1</f>
        <v>7</v>
      </c>
      <c r="R4" s="110"/>
      <c r="S4" s="109">
        <f>Q4+1</f>
        <v>8</v>
      </c>
      <c r="T4" s="110"/>
      <c r="U4" s="109">
        <f>S4+1</f>
        <v>9</v>
      </c>
      <c r="V4" s="110"/>
      <c r="W4" s="109">
        <f>U4+1</f>
        <v>10</v>
      </c>
      <c r="X4" s="110"/>
      <c r="Y4" s="109">
        <f>W4+1</f>
        <v>11</v>
      </c>
      <c r="Z4" s="110"/>
      <c r="AA4" s="109">
        <f>Y4+1</f>
        <v>12</v>
      </c>
      <c r="AB4" s="110"/>
      <c r="AC4" s="109">
        <f>AA4+1</f>
        <v>13</v>
      </c>
      <c r="AD4" s="110"/>
      <c r="AE4" s="109">
        <f>AC4+1</f>
        <v>14</v>
      </c>
      <c r="AF4" s="110"/>
      <c r="AG4" s="109">
        <f>AE4+1</f>
        <v>15</v>
      </c>
      <c r="AH4" s="110"/>
    </row>
    <row r="5" spans="1:34" s="8" customFormat="1" ht="12.75" customHeight="1" thickTop="1" thickBot="1" x14ac:dyDescent="0.25">
      <c r="A5" s="118"/>
      <c r="B5" s="121"/>
      <c r="C5" s="121"/>
      <c r="D5" s="121"/>
      <c r="E5" s="106">
        <f>SUM(E6:F18)</f>
        <v>203253.46</v>
      </c>
      <c r="F5" s="122"/>
      <c r="G5" s="106">
        <f>SUM(G6:H18)</f>
        <v>43986.62</v>
      </c>
      <c r="H5" s="107"/>
      <c r="I5" s="106">
        <f>SUM(I6:J18)</f>
        <v>376568.02</v>
      </c>
      <c r="J5" s="107"/>
      <c r="K5" s="106">
        <f>SUM(K6:L18)</f>
        <v>496829.28</v>
      </c>
      <c r="L5" s="107"/>
      <c r="M5" s="106">
        <f>SUM(M6:N18)</f>
        <v>649966.21</v>
      </c>
      <c r="N5" s="107"/>
      <c r="O5" s="106">
        <f>SUM(O6:P18)</f>
        <v>659507.55999999994</v>
      </c>
      <c r="P5" s="107"/>
      <c r="Q5" s="106">
        <f>SUM(Q6:R18)</f>
        <v>427664.28</v>
      </c>
      <c r="R5" s="107"/>
      <c r="S5" s="106">
        <f>SUM(S6:T18)</f>
        <v>459784.91</v>
      </c>
      <c r="T5" s="107"/>
      <c r="U5" s="106">
        <f>SUM(U6:V18)</f>
        <v>572466.38</v>
      </c>
      <c r="V5" s="107"/>
      <c r="W5" s="106">
        <f>SUM(W6:X18)</f>
        <v>496840.41000000003</v>
      </c>
      <c r="X5" s="107"/>
      <c r="Y5" s="106">
        <f>SUM(Y6:Z18)</f>
        <v>417239.82</v>
      </c>
      <c r="Z5" s="107"/>
      <c r="AA5" s="106">
        <f>SUM(AA6:AB18)</f>
        <v>289958.24</v>
      </c>
      <c r="AB5" s="107"/>
      <c r="AC5" s="106">
        <f>SUM(AC6:AD18)</f>
        <v>241470.24</v>
      </c>
      <c r="AD5" s="107"/>
      <c r="AE5" s="106">
        <f>SUM(AE6:AF18)</f>
        <v>0</v>
      </c>
      <c r="AF5" s="107"/>
      <c r="AG5" s="106">
        <f>SUM(AG6:AH18)</f>
        <v>0</v>
      </c>
      <c r="AH5" s="107"/>
    </row>
    <row r="6" spans="1:34" ht="12.6" thickTop="1" thickBot="1" x14ac:dyDescent="0.25">
      <c r="A6" s="12">
        <v>3</v>
      </c>
      <c r="B6" s="1" t="str">
        <f>IF(A6="","",_xlfn.XLOOKUP($A6,'[3]ANTICIPOS SAN SEBASTIÁN'!$B$1:$B$221,'[3]ANTICIPOS SAN SEBASTIÁN'!$I$1:$I$221))</f>
        <v>COINVI</v>
      </c>
      <c r="C6" s="2">
        <f>IF(A6="","",IF(_xlfn.XLOOKUP($A6,'[3]ANTICIPOS SAN SEBASTIÁN'!$B$1:$B$221,'[3]ANTICIPOS SAN SEBASTIÁN'!$K$1:$K$221)="","",_xlfn.XLOOKUP($A6,'[3]ANTICIPOS SAN SEBASTIÁN'!$B$1:$B$221,'[3]ANTICIPOS SAN SEBASTIÁN'!$K$1:$K$221)))</f>
        <v>27</v>
      </c>
      <c r="D6" s="16">
        <f t="shared" ref="D6:D17" si="0">SUM(E6:ZZ6)</f>
        <v>0</v>
      </c>
      <c r="E6" s="100">
        <v>0</v>
      </c>
      <c r="F6" s="111"/>
      <c r="G6" s="100">
        <v>0</v>
      </c>
      <c r="H6" s="101"/>
      <c r="I6" s="100">
        <v>0</v>
      </c>
      <c r="J6" s="101"/>
      <c r="K6" s="100">
        <v>0</v>
      </c>
      <c r="L6" s="101"/>
      <c r="M6" s="100">
        <v>0</v>
      </c>
      <c r="N6" s="101"/>
      <c r="O6" s="100">
        <v>0</v>
      </c>
      <c r="P6" s="101"/>
      <c r="Q6" s="100">
        <v>0</v>
      </c>
      <c r="R6" s="101"/>
      <c r="S6" s="100">
        <v>0</v>
      </c>
      <c r="T6" s="101"/>
      <c r="U6" s="100">
        <v>0</v>
      </c>
      <c r="V6" s="101"/>
      <c r="W6" s="100">
        <v>0</v>
      </c>
      <c r="X6" s="101"/>
      <c r="Y6" s="100">
        <v>0</v>
      </c>
      <c r="Z6" s="101"/>
      <c r="AA6" s="100">
        <v>0</v>
      </c>
      <c r="AB6" s="101"/>
      <c r="AC6" s="100">
        <v>0</v>
      </c>
      <c r="AD6" s="101"/>
      <c r="AE6" s="100">
        <v>0</v>
      </c>
      <c r="AF6" s="101"/>
      <c r="AG6" s="100">
        <v>0</v>
      </c>
      <c r="AH6" s="101"/>
    </row>
    <row r="7" spans="1:34" ht="12.6" thickTop="1" thickBot="1" x14ac:dyDescent="0.25">
      <c r="A7" s="12">
        <v>4</v>
      </c>
      <c r="B7" s="1" t="str">
        <f>IF(A7="","",_xlfn.XLOOKUP($A7,'[3]ANTICIPOS SAN SEBASTIÁN'!$B$1:$B$221,'[3]ANTICIPOS SAN SEBASTIÁN'!$I$1:$I$221))</f>
        <v>OBREGÓN</v>
      </c>
      <c r="C7" s="2">
        <f>IF(A7="","",IF(_xlfn.XLOOKUP($A7,'[3]ANTICIPOS SAN SEBASTIÁN'!$B$1:$B$221,'[3]ANTICIPOS SAN SEBASTIÁN'!$K$1:$K$221)="","",_xlfn.XLOOKUP($A7,'[3]ANTICIPOS SAN SEBASTIÁN'!$B$1:$B$221,'[3]ANTICIPOS SAN SEBASTIÁN'!$K$1:$K$221)))</f>
        <v>27</v>
      </c>
      <c r="D7" s="16">
        <f t="shared" si="0"/>
        <v>751059.52</v>
      </c>
      <c r="E7" s="100">
        <v>0</v>
      </c>
      <c r="F7" s="111"/>
      <c r="G7" s="100">
        <v>0</v>
      </c>
      <c r="H7" s="101"/>
      <c r="I7" s="100">
        <v>55901.1</v>
      </c>
      <c r="J7" s="101"/>
      <c r="K7" s="100">
        <v>93744.94</v>
      </c>
      <c r="L7" s="101"/>
      <c r="M7" s="100">
        <v>113187.81</v>
      </c>
      <c r="N7" s="101"/>
      <c r="O7" s="100">
        <v>30329.24</v>
      </c>
      <c r="P7" s="101"/>
      <c r="Q7" s="100">
        <v>49457.760000000002</v>
      </c>
      <c r="R7" s="101"/>
      <c r="S7" s="100">
        <v>70962.19</v>
      </c>
      <c r="T7" s="101"/>
      <c r="U7" s="100">
        <v>71762.240000000005</v>
      </c>
      <c r="V7" s="101"/>
      <c r="W7" s="100">
        <v>68852.960000000006</v>
      </c>
      <c r="X7" s="101"/>
      <c r="Y7" s="100">
        <v>70792.479999999996</v>
      </c>
      <c r="Z7" s="101"/>
      <c r="AA7" s="100">
        <v>63034.400000000001</v>
      </c>
      <c r="AB7" s="101"/>
      <c r="AC7" s="100">
        <v>63034.400000000001</v>
      </c>
      <c r="AD7" s="101"/>
      <c r="AE7" s="100">
        <v>0</v>
      </c>
      <c r="AF7" s="101"/>
      <c r="AG7" s="100">
        <v>0</v>
      </c>
      <c r="AH7" s="101"/>
    </row>
    <row r="8" spans="1:34" ht="12.6" thickTop="1" thickBot="1" x14ac:dyDescent="0.25">
      <c r="A8" s="12">
        <v>5</v>
      </c>
      <c r="B8" s="1" t="str">
        <f>IF(A8="","",_xlfn.XLOOKUP($A8,'[3]ANTICIPOS SAN SEBASTIÁN'!$B$1:$B$221,'[3]ANTICIPOS SAN SEBASTIÁN'!$I$1:$I$221))</f>
        <v>POWER</v>
      </c>
      <c r="C8" s="2">
        <f>IF(A8="","",IF(_xlfn.XLOOKUP($A8,'[3]ANTICIPOS SAN SEBASTIÁN'!$B$1:$B$221,'[3]ANTICIPOS SAN SEBASTIÁN'!$K$1:$K$221)="","",_xlfn.XLOOKUP($A8,'[3]ANTICIPOS SAN SEBASTIÁN'!$B$1:$B$221,'[3]ANTICIPOS SAN SEBASTIÁN'!$K$1:$K$221)))</f>
        <v>28</v>
      </c>
      <c r="D8" s="16">
        <f t="shared" si="0"/>
        <v>725834.04</v>
      </c>
      <c r="E8" s="100">
        <v>203253.46</v>
      </c>
      <c r="F8" s="111"/>
      <c r="G8" s="100">
        <v>43986.62</v>
      </c>
      <c r="H8" s="101"/>
      <c r="I8" s="100">
        <v>119280.48</v>
      </c>
      <c r="J8" s="101"/>
      <c r="K8" s="100">
        <v>92127.2</v>
      </c>
      <c r="L8" s="101"/>
      <c r="M8" s="100">
        <v>77580.800000000003</v>
      </c>
      <c r="N8" s="101"/>
      <c r="O8" s="100">
        <v>57215.839999999997</v>
      </c>
      <c r="P8" s="101"/>
      <c r="Q8" s="100">
        <f>9633+2223+10374+2850+10374+1330+10374+1330</f>
        <v>48488</v>
      </c>
      <c r="R8" s="101"/>
      <c r="S8" s="100">
        <f>(10374+1330+10374+1330+11115+1425+5468+10374+10374+741+2755)*1.16</f>
        <v>76165.599999999991</v>
      </c>
      <c r="T8" s="101"/>
      <c r="U8" s="100">
        <v>7736.04</v>
      </c>
      <c r="V8" s="101"/>
      <c r="W8" s="100">
        <v>0</v>
      </c>
      <c r="X8" s="101"/>
      <c r="Y8" s="100">
        <v>0</v>
      </c>
      <c r="Z8" s="101"/>
      <c r="AA8" s="100">
        <v>0</v>
      </c>
      <c r="AB8" s="101"/>
      <c r="AC8" s="100">
        <v>0</v>
      </c>
      <c r="AD8" s="101"/>
      <c r="AE8" s="100">
        <v>0</v>
      </c>
      <c r="AF8" s="101"/>
      <c r="AG8" s="100">
        <v>0</v>
      </c>
      <c r="AH8" s="101"/>
    </row>
    <row r="9" spans="1:34" ht="12.6" thickTop="1" thickBot="1" x14ac:dyDescent="0.25">
      <c r="A9" s="12">
        <v>6</v>
      </c>
      <c r="B9" s="1" t="str">
        <f>IF(A9="","",_xlfn.XLOOKUP($A9,'[3]ANTICIPOS SAN SEBASTIÁN'!$B$1:$B$221,'[3]ANTICIPOS SAN SEBASTIÁN'!$I$1:$I$221))</f>
        <v>FASAR</v>
      </c>
      <c r="C9" s="2" t="str">
        <f>IF(A9="","",IF(_xlfn.XLOOKUP($A9,'[3]ANTICIPOS SAN SEBASTIÁN'!$B$1:$B$221,'[3]ANTICIPOS SAN SEBASTIÁN'!$K$1:$K$221)="","",_xlfn.XLOOKUP($A9,'[3]ANTICIPOS SAN SEBASTIÁN'!$B$1:$B$221,'[3]ANTICIPOS SAN SEBASTIÁN'!$K$1:$K$221)))</f>
        <v>29 Y 30</v>
      </c>
      <c r="D9" s="16">
        <f t="shared" si="0"/>
        <v>0</v>
      </c>
      <c r="E9" s="100">
        <v>0</v>
      </c>
      <c r="F9" s="111"/>
      <c r="G9" s="100">
        <v>0</v>
      </c>
      <c r="H9" s="101"/>
      <c r="I9" s="100">
        <v>0</v>
      </c>
      <c r="J9" s="101"/>
      <c r="K9" s="100">
        <v>0</v>
      </c>
      <c r="L9" s="101"/>
      <c r="M9" s="100">
        <v>0</v>
      </c>
      <c r="N9" s="101"/>
      <c r="O9" s="100">
        <v>0</v>
      </c>
      <c r="P9" s="101"/>
      <c r="Q9" s="100">
        <v>0</v>
      </c>
      <c r="R9" s="101"/>
      <c r="S9" s="100">
        <v>0</v>
      </c>
      <c r="T9" s="101"/>
      <c r="U9" s="100">
        <v>0</v>
      </c>
      <c r="V9" s="101"/>
      <c r="W9" s="100">
        <v>0</v>
      </c>
      <c r="X9" s="101"/>
      <c r="Y9" s="100">
        <v>0</v>
      </c>
      <c r="Z9" s="101"/>
      <c r="AA9" s="100">
        <v>0</v>
      </c>
      <c r="AB9" s="101"/>
      <c r="AC9" s="100">
        <v>0</v>
      </c>
      <c r="AD9" s="101"/>
      <c r="AE9" s="100">
        <v>0</v>
      </c>
      <c r="AF9" s="101"/>
      <c r="AG9" s="100">
        <v>0</v>
      </c>
      <c r="AH9" s="101"/>
    </row>
    <row r="10" spans="1:34" ht="12.6" thickTop="1" thickBot="1" x14ac:dyDescent="0.25">
      <c r="A10" s="12">
        <v>7</v>
      </c>
      <c r="B10" s="1" t="str">
        <f>IF(A10="","",_xlfn.XLOOKUP($A10,'[3]ANTICIPOS SAN SEBASTIÁN'!$B$1:$B$221,'[3]ANTICIPOS SAN SEBASTIÁN'!$I$1:$I$221))</f>
        <v>ULIGAB</v>
      </c>
      <c r="C10" s="2">
        <f>IF(A10="","",IF(_xlfn.XLOOKUP($A10,'[3]ANTICIPOS SAN SEBASTIÁN'!$B$1:$B$221,'[3]ANTICIPOS SAN SEBASTIÁN'!$K$1:$K$221)="","",_xlfn.XLOOKUP($A10,'[3]ANTICIPOS SAN SEBASTIÁN'!$B$1:$B$221,'[3]ANTICIPOS SAN SEBASTIÁN'!$K$1:$K$221)))</f>
        <v>31</v>
      </c>
      <c r="D10" s="16">
        <f t="shared" si="0"/>
        <v>497464.26</v>
      </c>
      <c r="E10" s="100">
        <v>0</v>
      </c>
      <c r="F10" s="111"/>
      <c r="G10" s="100">
        <v>0</v>
      </c>
      <c r="H10" s="101"/>
      <c r="I10" s="100">
        <v>27750.1</v>
      </c>
      <c r="J10" s="101"/>
      <c r="K10" s="130">
        <v>88314.86</v>
      </c>
      <c r="L10" s="131"/>
      <c r="M10" s="100">
        <v>115966.36</v>
      </c>
      <c r="N10" s="101"/>
      <c r="O10" s="100">
        <v>96976</v>
      </c>
      <c r="P10" s="101"/>
      <c r="Q10" s="100">
        <f>+(93883.44-Q12)</f>
        <v>63820.880000000005</v>
      </c>
      <c r="R10" s="101"/>
      <c r="S10" s="100">
        <v>28123.040000000001</v>
      </c>
      <c r="T10" s="101"/>
      <c r="U10" s="100">
        <v>34911.360000000001</v>
      </c>
      <c r="V10" s="101"/>
      <c r="W10" s="100">
        <v>41601.660000000003</v>
      </c>
      <c r="X10" s="101"/>
      <c r="Y10" s="100">
        <v>0</v>
      </c>
      <c r="Z10" s="101"/>
      <c r="AA10" s="100">
        <v>0</v>
      </c>
      <c r="AB10" s="101"/>
      <c r="AC10" s="100">
        <v>0</v>
      </c>
      <c r="AD10" s="101"/>
      <c r="AE10" s="100">
        <v>0</v>
      </c>
      <c r="AF10" s="101"/>
      <c r="AG10" s="100">
        <v>0</v>
      </c>
      <c r="AH10" s="101"/>
    </row>
    <row r="11" spans="1:34" ht="12.6" thickTop="1" thickBot="1" x14ac:dyDescent="0.25">
      <c r="A11" s="12">
        <v>8</v>
      </c>
      <c r="B11" s="1" t="str">
        <f>IF(A11="","",_xlfn.XLOOKUP($A11,'[3]ANTICIPOS SAN SEBASTIÁN'!$B$1:$B$221,'[3]ANTICIPOS SAN SEBASTIÁN'!$I$1:$I$221))</f>
        <v>ULIGAB</v>
      </c>
      <c r="C11" s="2">
        <f>IF(A11="","",IF(_xlfn.XLOOKUP($A11,'[3]ANTICIPOS SAN SEBASTIÁN'!$B$1:$B$221,'[3]ANTICIPOS SAN SEBASTIÁN'!$K$1:$K$221)="","",_xlfn.XLOOKUP($A11,'[3]ANTICIPOS SAN SEBASTIÁN'!$B$1:$B$221,'[3]ANTICIPOS SAN SEBASTIÁN'!$K$1:$K$221)))</f>
        <v>31</v>
      </c>
      <c r="D11" s="16">
        <f t="shared" si="0"/>
        <v>0</v>
      </c>
      <c r="E11" s="100">
        <v>0</v>
      </c>
      <c r="F11" s="111"/>
      <c r="G11" s="100">
        <v>0</v>
      </c>
      <c r="H11" s="101"/>
      <c r="I11" s="100">
        <v>0</v>
      </c>
      <c r="J11" s="101"/>
      <c r="K11" s="100">
        <v>0</v>
      </c>
      <c r="L11" s="101"/>
      <c r="M11" s="100">
        <v>0</v>
      </c>
      <c r="N11" s="101"/>
      <c r="O11" s="100">
        <v>0</v>
      </c>
      <c r="P11" s="101"/>
      <c r="Q11" s="100">
        <v>0</v>
      </c>
      <c r="R11" s="101"/>
      <c r="S11" s="100">
        <v>0</v>
      </c>
      <c r="T11" s="101"/>
      <c r="U11" s="100">
        <v>0</v>
      </c>
      <c r="V11" s="101"/>
      <c r="W11" s="100">
        <v>0</v>
      </c>
      <c r="X11" s="101"/>
      <c r="Y11" s="100">
        <v>0</v>
      </c>
      <c r="Z11" s="101"/>
      <c r="AA11" s="100">
        <v>0</v>
      </c>
      <c r="AB11" s="101"/>
      <c r="AC11" s="100">
        <v>0</v>
      </c>
      <c r="AD11" s="101"/>
      <c r="AE11" s="100">
        <v>0</v>
      </c>
      <c r="AF11" s="101"/>
      <c r="AG11" s="100">
        <v>0</v>
      </c>
      <c r="AH11" s="101"/>
    </row>
    <row r="12" spans="1:34" ht="12.6" thickTop="1" thickBot="1" x14ac:dyDescent="0.25">
      <c r="A12" s="12">
        <v>9</v>
      </c>
      <c r="B12" s="1" t="str">
        <f>IF(A12="","",_xlfn.XLOOKUP($A12,'[3]ANTICIPOS SAN SEBASTIÁN'!$B$1:$B$221,'[3]ANTICIPOS SAN SEBASTIÁN'!$I$1:$I$221))</f>
        <v>ULIGAB</v>
      </c>
      <c r="C12" s="2">
        <f>IF(A12="","",IF(_xlfn.XLOOKUP($A12,'[3]ANTICIPOS SAN SEBASTIÁN'!$B$1:$B$221,'[3]ANTICIPOS SAN SEBASTIÁN'!$K$1:$K$221)="","",_xlfn.XLOOKUP($A12,'[3]ANTICIPOS SAN SEBASTIÁN'!$B$1:$B$221,'[3]ANTICIPOS SAN SEBASTIÁN'!$K$1:$K$221)))</f>
        <v>32</v>
      </c>
      <c r="D12" s="16">
        <f t="shared" si="0"/>
        <v>145621.76000000001</v>
      </c>
      <c r="E12" s="100">
        <v>0</v>
      </c>
      <c r="F12" s="111"/>
      <c r="G12" s="100">
        <v>0</v>
      </c>
      <c r="H12" s="101"/>
      <c r="I12" s="100">
        <v>0</v>
      </c>
      <c r="J12" s="101"/>
      <c r="K12" s="100">
        <v>0</v>
      </c>
      <c r="L12" s="101"/>
      <c r="M12" s="100">
        <v>70877.740000000005</v>
      </c>
      <c r="N12" s="101"/>
      <c r="O12" s="100">
        <v>44681.46</v>
      </c>
      <c r="P12" s="101"/>
      <c r="Q12" s="100">
        <f>(10374+1330+12597+1615)*1.16</f>
        <v>30062.559999999998</v>
      </c>
      <c r="R12" s="101"/>
      <c r="S12" s="100">
        <v>0</v>
      </c>
      <c r="T12" s="101"/>
      <c r="U12" s="100">
        <v>0</v>
      </c>
      <c r="V12" s="101"/>
      <c r="W12" s="100">
        <v>0</v>
      </c>
      <c r="X12" s="101"/>
      <c r="Y12" s="100">
        <v>0</v>
      </c>
      <c r="Z12" s="101"/>
      <c r="AA12" s="100">
        <v>0</v>
      </c>
      <c r="AB12" s="101"/>
      <c r="AC12" s="100">
        <v>0</v>
      </c>
      <c r="AD12" s="101"/>
      <c r="AE12" s="100">
        <v>0</v>
      </c>
      <c r="AF12" s="101"/>
      <c r="AG12" s="100">
        <v>0</v>
      </c>
      <c r="AH12" s="101"/>
    </row>
    <row r="13" spans="1:34" ht="12.6" thickTop="1" thickBot="1" x14ac:dyDescent="0.25">
      <c r="A13" s="12">
        <v>10</v>
      </c>
      <c r="B13" s="1" t="str">
        <f>IF(A13="","",_xlfn.XLOOKUP($A13,'[3]ANTICIPOS SAN SEBASTIÁN'!$B$1:$B$221,'[3]ANTICIPOS SAN SEBASTIÁN'!$I$1:$I$221))</f>
        <v>ANGEL ALAMEDA</v>
      </c>
      <c r="C13" s="2">
        <f>IF(A13="","",IF(_xlfn.XLOOKUP($A13,'[3]ANTICIPOS SAN SEBASTIÁN'!$B$1:$B$221,'[3]ANTICIPOS SAN SEBASTIÁN'!$K$1:$K$221)="","",_xlfn.XLOOKUP($A13,'[3]ANTICIPOS SAN SEBASTIÁN'!$B$1:$B$221,'[3]ANTICIPOS SAN SEBASTIÁN'!$K$1:$K$221)))</f>
        <v>33</v>
      </c>
      <c r="D13" s="16">
        <f t="shared" si="0"/>
        <v>0</v>
      </c>
      <c r="E13" s="100">
        <v>0</v>
      </c>
      <c r="F13" s="111"/>
      <c r="G13" s="100">
        <v>0</v>
      </c>
      <c r="H13" s="101"/>
      <c r="I13" s="100">
        <v>0</v>
      </c>
      <c r="J13" s="101"/>
      <c r="K13" s="100">
        <v>0</v>
      </c>
      <c r="L13" s="101"/>
      <c r="M13" s="100">
        <v>0</v>
      </c>
      <c r="N13" s="101"/>
      <c r="O13" s="100">
        <v>0</v>
      </c>
      <c r="P13" s="101"/>
      <c r="Q13" s="100">
        <v>0</v>
      </c>
      <c r="R13" s="101"/>
      <c r="S13" s="100">
        <v>0</v>
      </c>
      <c r="T13" s="101"/>
      <c r="U13" s="100">
        <v>0</v>
      </c>
      <c r="V13" s="101"/>
      <c r="W13" s="100">
        <v>0</v>
      </c>
      <c r="X13" s="101"/>
      <c r="Y13" s="100">
        <v>0</v>
      </c>
      <c r="Z13" s="101"/>
      <c r="AA13" s="100">
        <v>0</v>
      </c>
      <c r="AB13" s="101"/>
      <c r="AC13" s="100">
        <v>0</v>
      </c>
      <c r="AD13" s="101"/>
      <c r="AE13" s="100">
        <v>0</v>
      </c>
      <c r="AF13" s="101"/>
      <c r="AG13" s="100">
        <v>0</v>
      </c>
      <c r="AH13" s="101"/>
    </row>
    <row r="14" spans="1:34" ht="12.6" thickTop="1" thickBot="1" x14ac:dyDescent="0.25">
      <c r="A14" s="12">
        <v>11</v>
      </c>
      <c r="B14" s="1" t="str">
        <f>IF(A14="","",_xlfn.XLOOKUP($A14,'[3]ANTICIPOS SAN SEBASTIÁN'!$B$1:$B$221,'[3]ANTICIPOS SAN SEBASTIÁN'!$I$1:$I$221))</f>
        <v>POWER</v>
      </c>
      <c r="C14" s="2">
        <f>IF(A14="","",IF(_xlfn.XLOOKUP($A14,'[3]ANTICIPOS SAN SEBASTIÁN'!$B$1:$B$221,'[3]ANTICIPOS SAN SEBASTIÁN'!$K$1:$K$221)="","",_xlfn.XLOOKUP($A14,'[3]ANTICIPOS SAN SEBASTIÁN'!$B$1:$B$221,'[3]ANTICIPOS SAN SEBASTIÁN'!$K$1:$K$221)))</f>
        <v>33</v>
      </c>
      <c r="D14" s="16">
        <f t="shared" si="0"/>
        <v>493646.24000000005</v>
      </c>
      <c r="E14" s="100">
        <v>0</v>
      </c>
      <c r="F14" s="111"/>
      <c r="G14" s="100">
        <v>0</v>
      </c>
      <c r="H14" s="101"/>
      <c r="I14" s="100">
        <v>0</v>
      </c>
      <c r="J14" s="101"/>
      <c r="K14" s="100">
        <v>0</v>
      </c>
      <c r="L14" s="101"/>
      <c r="M14" s="100">
        <v>52367.040000000001</v>
      </c>
      <c r="N14" s="101"/>
      <c r="O14" s="100">
        <v>125162.96</v>
      </c>
      <c r="P14" s="101"/>
      <c r="Q14" s="100">
        <v>105593.06</v>
      </c>
      <c r="R14" s="101"/>
      <c r="S14" s="100">
        <f>157710.7-S8</f>
        <v>81545.10000000002</v>
      </c>
      <c r="T14" s="101"/>
      <c r="U14" s="100">
        <v>128978.08</v>
      </c>
      <c r="V14" s="101"/>
      <c r="W14" s="100">
        <v>0</v>
      </c>
      <c r="X14" s="101"/>
      <c r="Y14" s="100">
        <v>0</v>
      </c>
      <c r="Z14" s="101"/>
      <c r="AA14" s="100">
        <v>0</v>
      </c>
      <c r="AB14" s="101"/>
      <c r="AC14" s="100">
        <v>0</v>
      </c>
      <c r="AD14" s="101"/>
      <c r="AE14" s="100">
        <v>0</v>
      </c>
      <c r="AF14" s="101"/>
      <c r="AG14" s="100">
        <v>0</v>
      </c>
      <c r="AH14" s="101"/>
    </row>
    <row r="15" spans="1:34" ht="12.6" thickTop="1" thickBot="1" x14ac:dyDescent="0.25">
      <c r="A15" s="12">
        <v>12</v>
      </c>
      <c r="B15" s="1" t="str">
        <f>IF(A15="","",_xlfn.XLOOKUP($A15,'[3]ANTICIPOS SAN SEBASTIÁN'!$B$1:$B$221,'[3]ANTICIPOS SAN SEBASTIÁN'!$I$1:$I$221))</f>
        <v>CONSORCIO RM</v>
      </c>
      <c r="C15" s="2">
        <f>IF(A15="","",IF(_xlfn.XLOOKUP($A15,'[3]ANTICIPOS SAN SEBASTIÁN'!$B$1:$B$221,'[3]ANTICIPOS SAN SEBASTIÁN'!$K$1:$K$221)="","",_xlfn.XLOOKUP($A15,'[3]ANTICIPOS SAN SEBASTIÁN'!$B$1:$B$221,'[3]ANTICIPOS SAN SEBASTIÁN'!$K$1:$K$221)))</f>
        <v>34</v>
      </c>
      <c r="D15" s="16">
        <f t="shared" si="0"/>
        <v>993789.4</v>
      </c>
      <c r="E15" s="100">
        <v>0</v>
      </c>
      <c r="F15" s="111"/>
      <c r="G15" s="100">
        <v>0</v>
      </c>
      <c r="H15" s="101"/>
      <c r="I15" s="100">
        <v>173636.34</v>
      </c>
      <c r="J15" s="101"/>
      <c r="K15" s="100">
        <v>222642.28</v>
      </c>
      <c r="L15" s="101"/>
      <c r="M15" s="100">
        <v>107453.7</v>
      </c>
      <c r="N15" s="101"/>
      <c r="O15" s="100">
        <v>151014.01999999999</v>
      </c>
      <c r="P15" s="101"/>
      <c r="Q15" s="100">
        <v>0</v>
      </c>
      <c r="R15" s="101"/>
      <c r="S15" s="100">
        <v>88412.3</v>
      </c>
      <c r="T15" s="101"/>
      <c r="U15" s="100">
        <v>189535.88</v>
      </c>
      <c r="V15" s="101"/>
      <c r="W15" s="100">
        <v>38790.400000000001</v>
      </c>
      <c r="X15" s="101"/>
      <c r="Y15" s="100">
        <v>22304.48</v>
      </c>
      <c r="Z15" s="101"/>
      <c r="AA15" s="100">
        <v>0</v>
      </c>
      <c r="AB15" s="101"/>
      <c r="AC15" s="100">
        <v>0</v>
      </c>
      <c r="AD15" s="101"/>
      <c r="AE15" s="100">
        <v>0</v>
      </c>
      <c r="AF15" s="101"/>
      <c r="AG15" s="100">
        <v>0</v>
      </c>
      <c r="AH15" s="101"/>
    </row>
    <row r="16" spans="1:34" ht="12.6" thickTop="1" thickBot="1" x14ac:dyDescent="0.25">
      <c r="A16" s="12">
        <v>13</v>
      </c>
      <c r="B16" s="1" t="str">
        <f>IF(A16="","",_xlfn.XLOOKUP($A16,'[3]ANTICIPOS SAN SEBASTIÁN'!$B$1:$B$221,'[3]ANTICIPOS SAN SEBASTIÁN'!$I$1:$I$221))</f>
        <v>CONSORCIO RM</v>
      </c>
      <c r="C16" s="2">
        <f>IF(A16="","",IF(_xlfn.XLOOKUP($A16,'[3]ANTICIPOS SAN SEBASTIÁN'!$B$1:$B$221,'[3]ANTICIPOS SAN SEBASTIÁN'!$K$1:$K$221)="","",_xlfn.XLOOKUP($A16,'[3]ANTICIPOS SAN SEBASTIÁN'!$B$1:$B$221,'[3]ANTICIPOS SAN SEBASTIÁN'!$K$1:$K$221)))</f>
        <v>34</v>
      </c>
      <c r="D16" s="16">
        <f t="shared" si="0"/>
        <v>649674.59</v>
      </c>
      <c r="E16" s="100">
        <v>0</v>
      </c>
      <c r="F16" s="111"/>
      <c r="G16" s="100">
        <v>0</v>
      </c>
      <c r="H16" s="101"/>
      <c r="I16" s="100">
        <v>0</v>
      </c>
      <c r="J16" s="101"/>
      <c r="K16" s="100">
        <v>0</v>
      </c>
      <c r="L16" s="101"/>
      <c r="M16" s="100">
        <v>0</v>
      </c>
      <c r="N16" s="101"/>
      <c r="O16" s="100">
        <v>0</v>
      </c>
      <c r="P16" s="101"/>
      <c r="Q16" s="100">
        <v>83463.28</v>
      </c>
      <c r="R16" s="101"/>
      <c r="S16" s="100">
        <v>0</v>
      </c>
      <c r="T16" s="101"/>
      <c r="U16" s="100">
        <v>46281.68</v>
      </c>
      <c r="V16" s="101"/>
      <c r="W16" s="100">
        <v>145602.26999999999</v>
      </c>
      <c r="X16" s="101"/>
      <c r="Y16" s="100">
        <v>210437.92</v>
      </c>
      <c r="Z16" s="101"/>
      <c r="AA16" s="100">
        <v>116371.2</v>
      </c>
      <c r="AB16" s="101"/>
      <c r="AC16" s="100">
        <v>47518.239999999998</v>
      </c>
      <c r="AD16" s="101"/>
      <c r="AE16" s="100">
        <v>0</v>
      </c>
      <c r="AF16" s="101"/>
      <c r="AG16" s="100">
        <v>0</v>
      </c>
      <c r="AH16" s="101"/>
    </row>
    <row r="17" spans="1:34" ht="12.6" thickTop="1" thickBot="1" x14ac:dyDescent="0.25">
      <c r="A17" s="12">
        <v>14</v>
      </c>
      <c r="B17" s="1" t="str">
        <f>IF(A17="","",_xlfn.XLOOKUP($A17,'[3]ANTICIPOS SAN SEBASTIÁN'!$B$1:$B$221,'[3]ANTICIPOS SAN SEBASTIÁN'!$I$1:$I$221))</f>
        <v>COBYPSA</v>
      </c>
      <c r="C17" s="2">
        <f>IF(A17="","",IF(_xlfn.XLOOKUP($A17,'[3]ANTICIPOS SAN SEBASTIÁN'!$B$1:$B$221,'[3]ANTICIPOS SAN SEBASTIÁN'!$K$1:$K$221)="","",_xlfn.XLOOKUP($A17,'[3]ANTICIPOS SAN SEBASTIÁN'!$B$1:$B$221,'[3]ANTICIPOS SAN SEBASTIÁN'!$K$1:$K$221)))</f>
        <v>35</v>
      </c>
      <c r="D17" s="16">
        <f t="shared" si="0"/>
        <v>174288.26</v>
      </c>
      <c r="E17" s="100">
        <v>0</v>
      </c>
      <c r="F17" s="111"/>
      <c r="G17" s="100">
        <v>0</v>
      </c>
      <c r="H17" s="101"/>
      <c r="I17" s="100">
        <v>0</v>
      </c>
      <c r="J17" s="101"/>
      <c r="K17" s="100">
        <v>0</v>
      </c>
      <c r="L17" s="101"/>
      <c r="M17" s="100">
        <v>53068.26</v>
      </c>
      <c r="N17" s="101"/>
      <c r="O17" s="100">
        <v>66913.440000000002</v>
      </c>
      <c r="P17" s="101"/>
      <c r="Q17" s="100">
        <v>0</v>
      </c>
      <c r="R17" s="101"/>
      <c r="S17" s="100">
        <v>25213.759999999998</v>
      </c>
      <c r="T17" s="101"/>
      <c r="U17" s="100">
        <v>0</v>
      </c>
      <c r="V17" s="101"/>
      <c r="W17" s="100">
        <v>29092.799999999999</v>
      </c>
      <c r="X17" s="101"/>
      <c r="Y17" s="100">
        <v>0</v>
      </c>
      <c r="Z17" s="101"/>
      <c r="AA17" s="100">
        <v>0</v>
      </c>
      <c r="AB17" s="101"/>
      <c r="AC17" s="100">
        <v>0</v>
      </c>
      <c r="AD17" s="101"/>
      <c r="AE17" s="100">
        <v>0</v>
      </c>
      <c r="AF17" s="101"/>
      <c r="AG17" s="100">
        <v>0</v>
      </c>
      <c r="AH17" s="101"/>
    </row>
    <row r="18" spans="1:34" ht="12.6" thickTop="1" thickBot="1" x14ac:dyDescent="0.25">
      <c r="A18" s="13">
        <v>15</v>
      </c>
      <c r="B18" s="14" t="str">
        <f>IF(A18="","",_xlfn.XLOOKUP($A18,'[3]ANTICIPOS SAN SEBASTIÁN'!$B$1:$B$221,'[3]ANTICIPOS SAN SEBASTIÁN'!$I$1:$I$221))</f>
        <v>ANGEL ALAMEDA</v>
      </c>
      <c r="C18" s="15">
        <f>IF(A18="","",IF(_xlfn.XLOOKUP($A18,'[3]ANTICIPOS SAN SEBASTIÁN'!$B$1:$B$221,'[3]ANTICIPOS SAN SEBASTIÁN'!$K$1:$K$221)="","",_xlfn.XLOOKUP($A18,'[3]ANTICIPOS SAN SEBASTIÁN'!$B$1:$B$221,'[3]ANTICIPOS SAN SEBASTIÁN'!$K$1:$K$221)))</f>
        <v>36</v>
      </c>
      <c r="D18" s="16">
        <f>SUM(E18:ZZ18)</f>
        <v>904157.35999999987</v>
      </c>
      <c r="E18" s="102">
        <v>0</v>
      </c>
      <c r="F18" s="112"/>
      <c r="G18" s="102">
        <v>0</v>
      </c>
      <c r="H18" s="103"/>
      <c r="I18" s="102">
        <v>0</v>
      </c>
      <c r="J18" s="103"/>
      <c r="K18" s="102">
        <v>0</v>
      </c>
      <c r="L18" s="103"/>
      <c r="M18" s="102">
        <v>59464.5</v>
      </c>
      <c r="N18" s="103"/>
      <c r="O18" s="102">
        <v>87214.6</v>
      </c>
      <c r="P18" s="103"/>
      <c r="Q18" s="102">
        <v>46778.74</v>
      </c>
      <c r="R18" s="103"/>
      <c r="S18" s="102">
        <v>89362.92</v>
      </c>
      <c r="T18" s="103"/>
      <c r="U18" s="102">
        <v>93261.1</v>
      </c>
      <c r="V18" s="103"/>
      <c r="W18" s="102">
        <v>172900.32</v>
      </c>
      <c r="X18" s="103"/>
      <c r="Y18" s="102">
        <v>113704.94</v>
      </c>
      <c r="Z18" s="103"/>
      <c r="AA18" s="102">
        <v>110552.64</v>
      </c>
      <c r="AB18" s="103"/>
      <c r="AC18" s="102">
        <v>130917.6</v>
      </c>
      <c r="AD18" s="103"/>
      <c r="AE18" s="102">
        <v>0</v>
      </c>
      <c r="AF18" s="103"/>
      <c r="AG18" s="102">
        <v>0</v>
      </c>
      <c r="AH18" s="103"/>
    </row>
    <row r="20" spans="1:34" x14ac:dyDescent="0.2">
      <c r="L20" s="3">
        <f>15064.34+14271.48+12685.76+38692.38+3964.3+3636.6</f>
        <v>88314.86</v>
      </c>
    </row>
    <row r="21" spans="1:34" x14ac:dyDescent="0.2">
      <c r="L21" s="3">
        <f>L20-84678.26</f>
        <v>3636.6000000000058</v>
      </c>
    </row>
  </sheetData>
  <mergeCells count="230">
    <mergeCell ref="G9:H9"/>
    <mergeCell ref="E10:F10"/>
    <mergeCell ref="G10:H10"/>
    <mergeCell ref="E7:F7"/>
    <mergeCell ref="G7:H7"/>
    <mergeCell ref="A1:D1"/>
    <mergeCell ref="A2:A5"/>
    <mergeCell ref="B2:B5"/>
    <mergeCell ref="C2:C5"/>
    <mergeCell ref="D2:D5"/>
    <mergeCell ref="E4:F4"/>
    <mergeCell ref="G4:H4"/>
    <mergeCell ref="E5:F5"/>
    <mergeCell ref="G5:H5"/>
    <mergeCell ref="E6:F6"/>
    <mergeCell ref="G6:H6"/>
    <mergeCell ref="I4:J4"/>
    <mergeCell ref="I5:J5"/>
    <mergeCell ref="I6:J6"/>
    <mergeCell ref="I7:J7"/>
    <mergeCell ref="I8:J8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E8:F8"/>
    <mergeCell ref="G8:H8"/>
    <mergeCell ref="E9:F9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K18:L18"/>
    <mergeCell ref="K9:L9"/>
    <mergeCell ref="K10:L10"/>
    <mergeCell ref="K11:L11"/>
    <mergeCell ref="K12:L12"/>
    <mergeCell ref="K13:L13"/>
    <mergeCell ref="K4:L4"/>
    <mergeCell ref="K5:L5"/>
    <mergeCell ref="K6:L6"/>
    <mergeCell ref="K7:L7"/>
    <mergeCell ref="K8:L8"/>
    <mergeCell ref="M4:N4"/>
    <mergeCell ref="M5:N5"/>
    <mergeCell ref="M6:N6"/>
    <mergeCell ref="M7:N7"/>
    <mergeCell ref="M8:N8"/>
    <mergeCell ref="K14:L14"/>
    <mergeCell ref="K15:L15"/>
    <mergeCell ref="K16:L16"/>
    <mergeCell ref="K17:L17"/>
    <mergeCell ref="M14:N14"/>
    <mergeCell ref="M15:N15"/>
    <mergeCell ref="M16:N16"/>
    <mergeCell ref="M17:N17"/>
    <mergeCell ref="M18:N18"/>
    <mergeCell ref="M9:N9"/>
    <mergeCell ref="M10:N10"/>
    <mergeCell ref="M11:N11"/>
    <mergeCell ref="M12:N12"/>
    <mergeCell ref="M13:N13"/>
    <mergeCell ref="O18:P1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4:P4"/>
    <mergeCell ref="O5:P5"/>
    <mergeCell ref="O6:P6"/>
    <mergeCell ref="O7:P7"/>
    <mergeCell ref="O8:P8"/>
    <mergeCell ref="Q4:R4"/>
    <mergeCell ref="Q5:R5"/>
    <mergeCell ref="Q6:R6"/>
    <mergeCell ref="Q7:R7"/>
    <mergeCell ref="Q8:R8"/>
    <mergeCell ref="Q14:R14"/>
    <mergeCell ref="Q15:R15"/>
    <mergeCell ref="Q16:R16"/>
    <mergeCell ref="Q17:R17"/>
    <mergeCell ref="Q18:R18"/>
    <mergeCell ref="Q9:R9"/>
    <mergeCell ref="Q10:R10"/>
    <mergeCell ref="Q11:R11"/>
    <mergeCell ref="Q12:R12"/>
    <mergeCell ref="Q13:R13"/>
    <mergeCell ref="S18:T18"/>
    <mergeCell ref="S9:T9"/>
    <mergeCell ref="S10:T10"/>
    <mergeCell ref="S11:T11"/>
    <mergeCell ref="S12:T12"/>
    <mergeCell ref="S13:T13"/>
    <mergeCell ref="S4:T4"/>
    <mergeCell ref="S5:T5"/>
    <mergeCell ref="S6:T6"/>
    <mergeCell ref="S7:T7"/>
    <mergeCell ref="S8:T8"/>
    <mergeCell ref="U4:V4"/>
    <mergeCell ref="U5:V5"/>
    <mergeCell ref="U6:V6"/>
    <mergeCell ref="U7:V7"/>
    <mergeCell ref="U8:V8"/>
    <mergeCell ref="S14:T14"/>
    <mergeCell ref="S15:T15"/>
    <mergeCell ref="S16:T16"/>
    <mergeCell ref="S17:T17"/>
    <mergeCell ref="U14:V14"/>
    <mergeCell ref="U15:V15"/>
    <mergeCell ref="U16:V16"/>
    <mergeCell ref="U17:V17"/>
    <mergeCell ref="U18:V18"/>
    <mergeCell ref="U9:V9"/>
    <mergeCell ref="U10:V10"/>
    <mergeCell ref="U11:V11"/>
    <mergeCell ref="U12:V12"/>
    <mergeCell ref="U13:V13"/>
    <mergeCell ref="W18:X1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4:X4"/>
    <mergeCell ref="W5:X5"/>
    <mergeCell ref="W6:X6"/>
    <mergeCell ref="W7:X7"/>
    <mergeCell ref="W8:X8"/>
    <mergeCell ref="Y4:Z4"/>
    <mergeCell ref="Y5:Z5"/>
    <mergeCell ref="Y6:Z6"/>
    <mergeCell ref="Y7:Z7"/>
    <mergeCell ref="Y8:Z8"/>
    <mergeCell ref="Y14:Z14"/>
    <mergeCell ref="Y15:Z15"/>
    <mergeCell ref="Y16:Z16"/>
    <mergeCell ref="Y17:Z17"/>
    <mergeCell ref="Y18:Z18"/>
    <mergeCell ref="Y9:Z9"/>
    <mergeCell ref="Y10:Z10"/>
    <mergeCell ref="Y11:Z11"/>
    <mergeCell ref="Y12:Z12"/>
    <mergeCell ref="Y13:Z13"/>
    <mergeCell ref="AA18:AB18"/>
    <mergeCell ref="AA9:AB9"/>
    <mergeCell ref="AA10:AB10"/>
    <mergeCell ref="AA11:AB11"/>
    <mergeCell ref="AA12:AB12"/>
    <mergeCell ref="AA13:AB13"/>
    <mergeCell ref="AA4:AB4"/>
    <mergeCell ref="AA5:AB5"/>
    <mergeCell ref="AA6:AB6"/>
    <mergeCell ref="AA7:AB7"/>
    <mergeCell ref="AA8:AB8"/>
    <mergeCell ref="AC4:AD4"/>
    <mergeCell ref="AC5:AD5"/>
    <mergeCell ref="AC6:AD6"/>
    <mergeCell ref="AC7:AD7"/>
    <mergeCell ref="AC8:AD8"/>
    <mergeCell ref="AA14:AB14"/>
    <mergeCell ref="AA15:AB15"/>
    <mergeCell ref="AA16:AB16"/>
    <mergeCell ref="AA17:AB17"/>
    <mergeCell ref="AC14:AD14"/>
    <mergeCell ref="AC15:AD15"/>
    <mergeCell ref="AC16:AD16"/>
    <mergeCell ref="AC17:AD17"/>
    <mergeCell ref="AC18:AD18"/>
    <mergeCell ref="AC9:AD9"/>
    <mergeCell ref="AC10:AD10"/>
    <mergeCell ref="AC11:AD11"/>
    <mergeCell ref="AC12:AD12"/>
    <mergeCell ref="AC13:AD13"/>
    <mergeCell ref="AE18:AF1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4:AF4"/>
    <mergeCell ref="AE5:AF5"/>
    <mergeCell ref="AE6:AF6"/>
    <mergeCell ref="AE7:AF7"/>
    <mergeCell ref="AE8:AF8"/>
    <mergeCell ref="AG4:AH4"/>
    <mergeCell ref="AG5:AH5"/>
    <mergeCell ref="AG6:AH6"/>
    <mergeCell ref="AG7:AH7"/>
    <mergeCell ref="AG8:AH8"/>
    <mergeCell ref="AG14:AH14"/>
    <mergeCell ref="AG15:AH15"/>
    <mergeCell ref="AG16:AH16"/>
    <mergeCell ref="AG17:AH17"/>
    <mergeCell ref="AG18:AH18"/>
    <mergeCell ref="AG9:AH9"/>
    <mergeCell ref="AG10:AH10"/>
    <mergeCell ref="AG11:AH11"/>
    <mergeCell ref="AG12:AH12"/>
    <mergeCell ref="AG13:AH13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3E9E-77E5-4BAC-A021-BB39DCE381EE}">
  <dimension ref="A1:AL18"/>
  <sheetViews>
    <sheetView showGridLines="0" workbookViewId="0">
      <pane xSplit="4" ySplit="5" topLeftCell="E6" activePane="bottomRight" state="frozen"/>
      <selection activeCell="J9" sqref="J9"/>
      <selection pane="topRight" activeCell="J9" sqref="J9"/>
      <selection pane="bottomLeft" activeCell="J9" sqref="J9"/>
      <selection pane="bottomRight" activeCell="G20" sqref="G20"/>
    </sheetView>
  </sheetViews>
  <sheetFormatPr baseColWidth="10" defaultColWidth="11.375" defaultRowHeight="11.4" x14ac:dyDescent="0.2"/>
  <cols>
    <col min="1" max="1" width="11.25" style="3" bestFit="1" customWidth="1"/>
    <col min="2" max="2" width="15.875" style="3" bestFit="1" customWidth="1"/>
    <col min="3" max="3" width="10.125" style="3" bestFit="1" customWidth="1"/>
    <col min="4" max="4" width="22.875" style="3" customWidth="1"/>
    <col min="5" max="8" width="10.125" style="6" bestFit="1" customWidth="1"/>
    <col min="9" max="38" width="11.375" style="3"/>
    <col min="39" max="39" width="11.875" style="3" bestFit="1" customWidth="1"/>
    <col min="40" max="16384" width="11.375" style="3"/>
  </cols>
  <sheetData>
    <row r="1" spans="1:38" ht="21" thickBot="1" x14ac:dyDescent="0.25">
      <c r="A1" s="115" t="s">
        <v>8</v>
      </c>
      <c r="B1" s="115"/>
      <c r="C1" s="115"/>
      <c r="D1" s="115"/>
    </row>
    <row r="2" spans="1:38" s="7" customFormat="1" ht="13.5" customHeight="1" thickBot="1" x14ac:dyDescent="0.25">
      <c r="A2" s="116" t="s">
        <v>0</v>
      </c>
      <c r="B2" s="119" t="s">
        <v>1</v>
      </c>
      <c r="C2" s="119" t="s">
        <v>2</v>
      </c>
      <c r="D2" s="119" t="s">
        <v>5</v>
      </c>
      <c r="E2" s="9" t="s">
        <v>3</v>
      </c>
      <c r="F2" s="9" t="s">
        <v>4</v>
      </c>
      <c r="G2" s="9" t="s">
        <v>3</v>
      </c>
      <c r="H2" s="10" t="s">
        <v>4</v>
      </c>
      <c r="I2" s="9" t="s">
        <v>3</v>
      </c>
      <c r="J2" s="10" t="s">
        <v>4</v>
      </c>
      <c r="K2" s="9" t="s">
        <v>3</v>
      </c>
      <c r="L2" s="10" t="s">
        <v>4</v>
      </c>
      <c r="M2" s="9" t="s">
        <v>3</v>
      </c>
      <c r="N2" s="10" t="s">
        <v>4</v>
      </c>
      <c r="O2" s="9" t="s">
        <v>3</v>
      </c>
      <c r="P2" s="10" t="s">
        <v>4</v>
      </c>
      <c r="Q2" s="9" t="s">
        <v>3</v>
      </c>
      <c r="R2" s="10" t="s">
        <v>4</v>
      </c>
      <c r="S2" s="9" t="s">
        <v>3</v>
      </c>
      <c r="T2" s="10" t="s">
        <v>4</v>
      </c>
      <c r="U2" s="9" t="s">
        <v>3</v>
      </c>
      <c r="V2" s="10" t="s">
        <v>4</v>
      </c>
      <c r="W2" s="9" t="s">
        <v>3</v>
      </c>
      <c r="X2" s="10" t="s">
        <v>4</v>
      </c>
      <c r="Y2" s="9" t="s">
        <v>3</v>
      </c>
      <c r="Z2" s="10" t="s">
        <v>4</v>
      </c>
      <c r="AA2" s="9" t="s">
        <v>3</v>
      </c>
      <c r="AB2" s="10" t="s">
        <v>4</v>
      </c>
      <c r="AC2" s="9" t="s">
        <v>3</v>
      </c>
      <c r="AD2" s="10" t="s">
        <v>4</v>
      </c>
      <c r="AE2" s="9" t="s">
        <v>3</v>
      </c>
      <c r="AF2" s="10" t="s">
        <v>4</v>
      </c>
      <c r="AG2" s="9" t="s">
        <v>3</v>
      </c>
      <c r="AH2" s="10" t="s">
        <v>4</v>
      </c>
      <c r="AI2" s="9" t="s">
        <v>3</v>
      </c>
      <c r="AJ2" s="10" t="s">
        <v>4</v>
      </c>
      <c r="AK2" s="9" t="s">
        <v>3</v>
      </c>
      <c r="AL2" s="10" t="s">
        <v>4</v>
      </c>
    </row>
    <row r="3" spans="1:38" s="6" customFormat="1" ht="13.5" customHeight="1" thickTop="1" thickBot="1" x14ac:dyDescent="0.25">
      <c r="A3" s="117"/>
      <c r="B3" s="120"/>
      <c r="C3" s="120"/>
      <c r="D3" s="120"/>
      <c r="E3" s="5"/>
      <c r="F3" s="5">
        <f>E3+5</f>
        <v>5</v>
      </c>
      <c r="G3" s="5">
        <f>E3+7</f>
        <v>7</v>
      </c>
      <c r="H3" s="11">
        <f>G3+5</f>
        <v>12</v>
      </c>
      <c r="I3" s="5">
        <f>G3+7</f>
        <v>14</v>
      </c>
      <c r="J3" s="11">
        <f>I3+5</f>
        <v>19</v>
      </c>
      <c r="K3" s="5">
        <f>I3+7</f>
        <v>21</v>
      </c>
      <c r="L3" s="11">
        <f>K3+5</f>
        <v>26</v>
      </c>
      <c r="M3" s="5">
        <f>K3+7</f>
        <v>28</v>
      </c>
      <c r="N3" s="11">
        <f>M3+5</f>
        <v>33</v>
      </c>
      <c r="O3" s="5">
        <f>M3+7</f>
        <v>35</v>
      </c>
      <c r="P3" s="11">
        <f>O3+5</f>
        <v>40</v>
      </c>
      <c r="Q3" s="5">
        <f>O3+7</f>
        <v>42</v>
      </c>
      <c r="R3" s="11">
        <f>Q3+5</f>
        <v>47</v>
      </c>
      <c r="S3" s="5">
        <f>Q3+7</f>
        <v>49</v>
      </c>
      <c r="T3" s="11">
        <f>S3+5</f>
        <v>54</v>
      </c>
      <c r="U3" s="5">
        <f>S3+7</f>
        <v>56</v>
      </c>
      <c r="V3" s="11">
        <f>U3+5</f>
        <v>61</v>
      </c>
      <c r="W3" s="5">
        <f>U3+7</f>
        <v>63</v>
      </c>
      <c r="X3" s="11">
        <f>W3+5</f>
        <v>68</v>
      </c>
      <c r="Y3" s="5">
        <f>W3+7</f>
        <v>70</v>
      </c>
      <c r="Z3" s="11">
        <f>Y3+5</f>
        <v>75</v>
      </c>
      <c r="AA3" s="5">
        <f>Y3+7</f>
        <v>77</v>
      </c>
      <c r="AB3" s="11">
        <f>AA3+5</f>
        <v>82</v>
      </c>
      <c r="AC3" s="5">
        <f>AA3+7</f>
        <v>84</v>
      </c>
      <c r="AD3" s="11">
        <f>AC3+5</f>
        <v>89</v>
      </c>
      <c r="AE3" s="5">
        <f>AC3+7</f>
        <v>91</v>
      </c>
      <c r="AF3" s="11">
        <f>AE3+5</f>
        <v>96</v>
      </c>
      <c r="AG3" s="5">
        <f>AE3+7</f>
        <v>98</v>
      </c>
      <c r="AH3" s="11">
        <f>AG3+5</f>
        <v>103</v>
      </c>
      <c r="AI3" s="5">
        <f>AG3+7</f>
        <v>105</v>
      </c>
      <c r="AJ3" s="11">
        <f>AI3+5</f>
        <v>110</v>
      </c>
      <c r="AK3" s="5">
        <f>AI3+7</f>
        <v>112</v>
      </c>
      <c r="AL3" s="11">
        <f>AK3+5</f>
        <v>117</v>
      </c>
    </row>
    <row r="4" spans="1:38" s="8" customFormat="1" ht="13.5" customHeight="1" thickTop="1" thickBot="1" x14ac:dyDescent="0.25">
      <c r="A4" s="117"/>
      <c r="B4" s="120"/>
      <c r="C4" s="120"/>
      <c r="D4" s="120"/>
      <c r="E4" s="109">
        <v>1</v>
      </c>
      <c r="F4" s="127"/>
      <c r="G4" s="109">
        <f>E4+1</f>
        <v>2</v>
      </c>
      <c r="H4" s="110"/>
      <c r="I4" s="109">
        <f>G4+1</f>
        <v>3</v>
      </c>
      <c r="J4" s="110"/>
      <c r="K4" s="109">
        <f>I4+1</f>
        <v>4</v>
      </c>
      <c r="L4" s="110"/>
      <c r="M4" s="109">
        <f>K4+1</f>
        <v>5</v>
      </c>
      <c r="N4" s="110"/>
      <c r="O4" s="109">
        <f>M4+1</f>
        <v>6</v>
      </c>
      <c r="P4" s="110"/>
      <c r="Q4" s="109">
        <f>O4+1</f>
        <v>7</v>
      </c>
      <c r="R4" s="110"/>
      <c r="S4" s="109">
        <f>Q4+1</f>
        <v>8</v>
      </c>
      <c r="T4" s="110"/>
      <c r="U4" s="109">
        <f>S4+1</f>
        <v>9</v>
      </c>
      <c r="V4" s="110"/>
      <c r="W4" s="109">
        <f>U4+1</f>
        <v>10</v>
      </c>
      <c r="X4" s="110"/>
      <c r="Y4" s="109">
        <f>W4+1</f>
        <v>11</v>
      </c>
      <c r="Z4" s="110"/>
      <c r="AA4" s="109">
        <f>Y4+1</f>
        <v>12</v>
      </c>
      <c r="AB4" s="110"/>
      <c r="AC4" s="109">
        <f>AA4+1</f>
        <v>13</v>
      </c>
      <c r="AD4" s="110"/>
      <c r="AE4" s="109">
        <f>AC4+1</f>
        <v>14</v>
      </c>
      <c r="AF4" s="110"/>
      <c r="AG4" s="109">
        <f>AE4+1</f>
        <v>15</v>
      </c>
      <c r="AH4" s="110"/>
      <c r="AI4" s="109">
        <f>AG4+1</f>
        <v>16</v>
      </c>
      <c r="AJ4" s="110"/>
      <c r="AK4" s="109">
        <f>AI4+1</f>
        <v>17</v>
      </c>
      <c r="AL4" s="110"/>
    </row>
    <row r="5" spans="1:38" s="8" customFormat="1" ht="12.75" customHeight="1" thickTop="1" thickBot="1" x14ac:dyDescent="0.25">
      <c r="A5" s="118"/>
      <c r="B5" s="121"/>
      <c r="C5" s="121"/>
      <c r="D5" s="121"/>
      <c r="E5" s="106">
        <f>SUM(E6:F18)</f>
        <v>528957.1</v>
      </c>
      <c r="F5" s="122"/>
      <c r="G5" s="106">
        <f>SUM(G6:H18)</f>
        <v>391826.83</v>
      </c>
      <c r="H5" s="107"/>
      <c r="I5" s="106">
        <f>SUM(I6:J18)</f>
        <v>286960.8</v>
      </c>
      <c r="J5" s="107"/>
      <c r="K5" s="106">
        <f>SUM(K6:L18)</f>
        <v>440069.19999999995</v>
      </c>
      <c r="L5" s="107"/>
      <c r="M5" s="106">
        <f>SUM(M6:N18)</f>
        <v>678614.5</v>
      </c>
      <c r="N5" s="107"/>
      <c r="O5" s="106">
        <f>SUM(O6:P18)</f>
        <v>227710.90000000002</v>
      </c>
      <c r="P5" s="107"/>
      <c r="Q5" s="106">
        <f>SUM(Q6:R18)</f>
        <v>268757.5</v>
      </c>
      <c r="R5" s="107"/>
      <c r="S5" s="106">
        <f>SUM(S6:T18)</f>
        <v>147572.29999999999</v>
      </c>
      <c r="T5" s="107"/>
      <c r="U5" s="106">
        <f>SUM(U6:V18)</f>
        <v>0</v>
      </c>
      <c r="V5" s="107"/>
      <c r="W5" s="106">
        <f>SUM(W6:X18)</f>
        <v>0</v>
      </c>
      <c r="X5" s="107"/>
      <c r="Y5" s="106">
        <f>SUM(Y6:Z18)</f>
        <v>0</v>
      </c>
      <c r="Z5" s="107"/>
      <c r="AA5" s="106">
        <f>SUM(AA6:AB18)</f>
        <v>0</v>
      </c>
      <c r="AB5" s="107"/>
      <c r="AC5" s="106">
        <f>SUM(AC6:AD18)</f>
        <v>0</v>
      </c>
      <c r="AD5" s="107"/>
      <c r="AE5" s="106">
        <f>SUM(AE6:AF18)</f>
        <v>0</v>
      </c>
      <c r="AF5" s="107"/>
      <c r="AG5" s="106">
        <f>SUM(AG6:AH18)</f>
        <v>0</v>
      </c>
      <c r="AH5" s="107"/>
      <c r="AI5" s="106">
        <f>SUM(AI6:AJ18)</f>
        <v>0</v>
      </c>
      <c r="AJ5" s="107"/>
      <c r="AK5" s="106">
        <f>SUM(AK6:AL18)</f>
        <v>0</v>
      </c>
      <c r="AL5" s="107"/>
    </row>
    <row r="6" spans="1:38" ht="12.6" thickTop="1" thickBot="1" x14ac:dyDescent="0.25">
      <c r="A6" s="12">
        <v>3</v>
      </c>
      <c r="B6" s="1" t="str">
        <f>IF(A6="","",_xlfn.XLOOKUP($A6,'[3]ANTICIPOS SAN SEBASTIÁN'!$B$1:$B$221,'[3]ANTICIPOS SAN SEBASTIÁN'!$I$1:$I$221))</f>
        <v>COINVI</v>
      </c>
      <c r="C6" s="2">
        <f>IF(A6="","",IF(_xlfn.XLOOKUP($A6,'[3]ANTICIPOS SAN SEBASTIÁN'!$B$1:$B$221,'[3]ANTICIPOS SAN SEBASTIÁN'!$K$1:$K$221)="","",_xlfn.XLOOKUP($A6,'[3]ANTICIPOS SAN SEBASTIÁN'!$B$1:$B$221,'[3]ANTICIPOS SAN SEBASTIÁN'!$K$1:$K$221)))</f>
        <v>27</v>
      </c>
      <c r="D6" s="16">
        <f t="shared" ref="D6:D17" si="0">SUM(E6:ZZ6)</f>
        <v>503361.7</v>
      </c>
      <c r="E6" s="100">
        <v>164285</v>
      </c>
      <c r="F6" s="111"/>
      <c r="G6" s="100">
        <f>'[4]SAN SEBASTIAN'!N6</f>
        <v>31273.599999999999</v>
      </c>
      <c r="H6" s="101"/>
      <c r="I6" s="100">
        <f>'[4]SAN SEBASTIAN'!O6</f>
        <v>46864</v>
      </c>
      <c r="J6" s="101"/>
      <c r="K6" s="100">
        <f>'[4]SAN SEBASTIAN'!P6</f>
        <v>31273.599999999999</v>
      </c>
      <c r="L6" s="101"/>
      <c r="M6" s="100">
        <f>'[4]SAN SEBASTIAN'!Q6</f>
        <v>56683.4</v>
      </c>
      <c r="N6" s="101"/>
      <c r="O6" s="100">
        <f>'[4]SAN SEBASTIAN'!R6</f>
        <v>29319</v>
      </c>
      <c r="P6" s="101"/>
      <c r="Q6" s="100">
        <f>'[4]SAN SEBASTIAN'!S6</f>
        <v>93820.800000000003</v>
      </c>
      <c r="R6" s="101"/>
      <c r="S6" s="100">
        <f>'[4]SAN SEBASTIAN'!T6</f>
        <v>49842.3</v>
      </c>
      <c r="T6" s="101"/>
      <c r="U6" s="100">
        <v>0</v>
      </c>
      <c r="V6" s="101"/>
      <c r="W6" s="100">
        <v>0</v>
      </c>
      <c r="X6" s="101"/>
      <c r="Y6" s="100">
        <v>0</v>
      </c>
      <c r="Z6" s="101"/>
      <c r="AA6" s="100">
        <v>0</v>
      </c>
      <c r="AB6" s="101"/>
      <c r="AC6" s="100">
        <v>0</v>
      </c>
      <c r="AD6" s="101"/>
      <c r="AE6" s="100">
        <v>0</v>
      </c>
      <c r="AF6" s="101"/>
      <c r="AG6" s="100">
        <v>0</v>
      </c>
      <c r="AH6" s="101"/>
      <c r="AI6" s="100">
        <v>0</v>
      </c>
      <c r="AJ6" s="101"/>
      <c r="AK6" s="100">
        <v>0</v>
      </c>
      <c r="AL6" s="101"/>
    </row>
    <row r="7" spans="1:38" ht="12.6" thickTop="1" thickBot="1" x14ac:dyDescent="0.25">
      <c r="A7" s="12">
        <v>4</v>
      </c>
      <c r="B7" s="1" t="str">
        <f>IF(A7="","",_xlfn.XLOOKUP($A7,'[3]ANTICIPOS SAN SEBASTIÁN'!$B$1:$B$221,'[3]ANTICIPOS SAN SEBASTIÁN'!$I$1:$I$221))</f>
        <v>OBREGÓN</v>
      </c>
      <c r="C7" s="2">
        <f>IF(A7="","",IF(_xlfn.XLOOKUP($A7,'[3]ANTICIPOS SAN SEBASTIÁN'!$B$1:$B$221,'[3]ANTICIPOS SAN SEBASTIÁN'!$K$1:$K$221)="","",_xlfn.XLOOKUP($A7,'[3]ANTICIPOS SAN SEBASTIÁN'!$B$1:$B$221,'[3]ANTICIPOS SAN SEBASTIÁN'!$K$1:$K$221)))</f>
        <v>27</v>
      </c>
      <c r="D7" s="16">
        <f t="shared" si="0"/>
        <v>0</v>
      </c>
      <c r="E7" s="100">
        <v>0</v>
      </c>
      <c r="F7" s="111"/>
      <c r="G7" s="100">
        <f>'[4]SAN SEBASTIAN'!N7</f>
        <v>0</v>
      </c>
      <c r="H7" s="101"/>
      <c r="I7" s="100">
        <f>'[4]SAN SEBASTIAN'!O7</f>
        <v>0</v>
      </c>
      <c r="J7" s="101"/>
      <c r="K7" s="100">
        <f>'[4]SAN SEBASTIAN'!P7</f>
        <v>0</v>
      </c>
      <c r="L7" s="101"/>
      <c r="M7" s="100">
        <f>'[4]SAN SEBASTIAN'!Q7</f>
        <v>0</v>
      </c>
      <c r="N7" s="101"/>
      <c r="O7" s="100">
        <f>'[4]SAN SEBASTIAN'!R7</f>
        <v>0</v>
      </c>
      <c r="P7" s="101"/>
      <c r="Q7" s="100">
        <f>'[4]SAN SEBASTIAN'!S7</f>
        <v>0</v>
      </c>
      <c r="R7" s="101"/>
      <c r="S7" s="100">
        <f>'[4]SAN SEBASTIAN'!T7</f>
        <v>0</v>
      </c>
      <c r="T7" s="101"/>
      <c r="U7" s="100">
        <v>0</v>
      </c>
      <c r="V7" s="101"/>
      <c r="W7" s="100">
        <v>0</v>
      </c>
      <c r="X7" s="101"/>
      <c r="Y7" s="100">
        <v>0</v>
      </c>
      <c r="Z7" s="101"/>
      <c r="AA7" s="100">
        <v>0</v>
      </c>
      <c r="AB7" s="101"/>
      <c r="AC7" s="100">
        <v>0</v>
      </c>
      <c r="AD7" s="101"/>
      <c r="AE7" s="100">
        <v>0</v>
      </c>
      <c r="AF7" s="101"/>
      <c r="AG7" s="100">
        <v>0</v>
      </c>
      <c r="AH7" s="101"/>
      <c r="AI7" s="100">
        <v>0</v>
      </c>
      <c r="AJ7" s="101"/>
      <c r="AK7" s="100">
        <v>0</v>
      </c>
      <c r="AL7" s="101"/>
    </row>
    <row r="8" spans="1:38" ht="12.6" thickTop="1" thickBot="1" x14ac:dyDescent="0.25">
      <c r="A8" s="12">
        <v>5</v>
      </c>
      <c r="B8" s="1" t="str">
        <f>IF(A8="","",_xlfn.XLOOKUP($A8,'[3]ANTICIPOS SAN SEBASTIÁN'!$B$1:$B$221,'[3]ANTICIPOS SAN SEBASTIÁN'!$I$1:$I$221))</f>
        <v>POWER</v>
      </c>
      <c r="C8" s="2">
        <f>IF(A8="","",IF(_xlfn.XLOOKUP($A8,'[3]ANTICIPOS SAN SEBASTIÁN'!$B$1:$B$221,'[3]ANTICIPOS SAN SEBASTIÁN'!$K$1:$K$221)="","",_xlfn.XLOOKUP($A8,'[3]ANTICIPOS SAN SEBASTIÁN'!$B$1:$B$221,'[3]ANTICIPOS SAN SEBASTIÁN'!$K$1:$K$221)))</f>
        <v>28</v>
      </c>
      <c r="D8" s="16">
        <f t="shared" si="0"/>
        <v>0</v>
      </c>
      <c r="E8" s="100">
        <v>0</v>
      </c>
      <c r="F8" s="111"/>
      <c r="G8" s="100">
        <f>'[4]SAN SEBASTIAN'!N8</f>
        <v>0</v>
      </c>
      <c r="H8" s="101"/>
      <c r="I8" s="100">
        <f>'[4]SAN SEBASTIAN'!O8</f>
        <v>0</v>
      </c>
      <c r="J8" s="101"/>
      <c r="K8" s="100">
        <f>'[4]SAN SEBASTIAN'!P8</f>
        <v>0</v>
      </c>
      <c r="L8" s="101"/>
      <c r="M8" s="100">
        <f>'[4]SAN SEBASTIAN'!Q8</f>
        <v>0</v>
      </c>
      <c r="N8" s="101"/>
      <c r="O8" s="100">
        <f>'[4]SAN SEBASTIAN'!R8</f>
        <v>0</v>
      </c>
      <c r="P8" s="101"/>
      <c r="Q8" s="100">
        <f>'[4]SAN SEBASTIAN'!S8</f>
        <v>0</v>
      </c>
      <c r="R8" s="101"/>
      <c r="S8" s="100">
        <f>'[4]SAN SEBASTIAN'!T8</f>
        <v>0</v>
      </c>
      <c r="T8" s="101"/>
      <c r="U8" s="100">
        <v>0</v>
      </c>
      <c r="V8" s="101"/>
      <c r="W8" s="100">
        <v>0</v>
      </c>
      <c r="X8" s="101"/>
      <c r="Y8" s="100">
        <v>0</v>
      </c>
      <c r="Z8" s="101"/>
      <c r="AA8" s="100">
        <v>0</v>
      </c>
      <c r="AB8" s="101"/>
      <c r="AC8" s="100">
        <v>0</v>
      </c>
      <c r="AD8" s="101"/>
      <c r="AE8" s="100">
        <v>0</v>
      </c>
      <c r="AF8" s="101"/>
      <c r="AG8" s="100">
        <v>0</v>
      </c>
      <c r="AH8" s="101"/>
      <c r="AI8" s="100">
        <v>0</v>
      </c>
      <c r="AJ8" s="101"/>
      <c r="AK8" s="100">
        <v>0</v>
      </c>
      <c r="AL8" s="101"/>
    </row>
    <row r="9" spans="1:38" ht="12.6" thickTop="1" thickBot="1" x14ac:dyDescent="0.25">
      <c r="A9" s="12">
        <v>6</v>
      </c>
      <c r="B9" s="1" t="str">
        <f>IF(A9="","",_xlfn.XLOOKUP($A9,'[3]ANTICIPOS SAN SEBASTIÁN'!$B$1:$B$221,'[3]ANTICIPOS SAN SEBASTIÁN'!$I$1:$I$221))</f>
        <v>FASAR</v>
      </c>
      <c r="C9" s="2" t="str">
        <f>IF(A9="","",IF(_xlfn.XLOOKUP($A9,'[3]ANTICIPOS SAN SEBASTIÁN'!$B$1:$B$221,'[3]ANTICIPOS SAN SEBASTIÁN'!$K$1:$K$221)="","",_xlfn.XLOOKUP($A9,'[3]ANTICIPOS SAN SEBASTIÁN'!$B$1:$B$221,'[3]ANTICIPOS SAN SEBASTIÁN'!$K$1:$K$221)))</f>
        <v>29 Y 30</v>
      </c>
      <c r="D9" s="16">
        <f t="shared" si="0"/>
        <v>421216.30000000005</v>
      </c>
      <c r="E9" s="100">
        <v>0</v>
      </c>
      <c r="F9" s="111"/>
      <c r="G9" s="100">
        <f>'[4]SAN SEBASTIAN'!N9</f>
        <v>39092</v>
      </c>
      <c r="H9" s="101"/>
      <c r="I9" s="100">
        <f>'[4]SAN SEBASTIAN'!O9</f>
        <v>114344.1</v>
      </c>
      <c r="J9" s="101"/>
      <c r="K9" s="100">
        <f>'[4]SAN SEBASTIAN'!P9</f>
        <v>69388.3</v>
      </c>
      <c r="L9" s="101"/>
      <c r="M9" s="100">
        <f>'[4]SAN SEBASTIAN'!Q9</f>
        <v>127049</v>
      </c>
      <c r="N9" s="101"/>
      <c r="O9" s="100">
        <f>'[4]SAN SEBASTIAN'!R9</f>
        <v>42023.9</v>
      </c>
      <c r="P9" s="101"/>
      <c r="Q9" s="100">
        <f>'[4]SAN SEBASTIAN'!S9</f>
        <v>29319</v>
      </c>
      <c r="R9" s="101"/>
      <c r="S9" s="100">
        <f>'[4]SAN SEBASTIAN'!T9</f>
        <v>0</v>
      </c>
      <c r="T9" s="101"/>
      <c r="U9" s="100">
        <v>0</v>
      </c>
      <c r="V9" s="101"/>
      <c r="W9" s="100">
        <v>0</v>
      </c>
      <c r="X9" s="101"/>
      <c r="Y9" s="100">
        <v>0</v>
      </c>
      <c r="Z9" s="101"/>
      <c r="AA9" s="100">
        <v>0</v>
      </c>
      <c r="AB9" s="101"/>
      <c r="AC9" s="100">
        <v>0</v>
      </c>
      <c r="AD9" s="101"/>
      <c r="AE9" s="100">
        <v>0</v>
      </c>
      <c r="AF9" s="101"/>
      <c r="AG9" s="100">
        <v>0</v>
      </c>
      <c r="AH9" s="101"/>
      <c r="AI9" s="100">
        <v>0</v>
      </c>
      <c r="AJ9" s="101"/>
      <c r="AK9" s="100">
        <v>0</v>
      </c>
      <c r="AL9" s="101"/>
    </row>
    <row r="10" spans="1:38" ht="12.6" thickTop="1" thickBot="1" x14ac:dyDescent="0.25">
      <c r="A10" s="12">
        <v>7</v>
      </c>
      <c r="B10" s="1" t="str">
        <f>IF(A10="","",_xlfn.XLOOKUP($A10,'[3]ANTICIPOS SAN SEBASTIÁN'!$B$1:$B$221,'[3]ANTICIPOS SAN SEBASTIÁN'!$I$1:$I$221))</f>
        <v>ULIGAB</v>
      </c>
      <c r="C10" s="2">
        <f>IF(A10="","",IF(_xlfn.XLOOKUP($A10,'[3]ANTICIPOS SAN SEBASTIÁN'!$B$1:$B$221,'[3]ANTICIPOS SAN SEBASTIÁN'!$K$1:$K$221)="","",_xlfn.XLOOKUP($A10,'[3]ANTICIPOS SAN SEBASTIÁN'!$B$1:$B$221,'[3]ANTICIPOS SAN SEBASTIÁN'!$K$1:$K$221)))</f>
        <v>31</v>
      </c>
      <c r="D10" s="16">
        <f t="shared" si="0"/>
        <v>16614.099999999999</v>
      </c>
      <c r="E10" s="100">
        <v>0</v>
      </c>
      <c r="F10" s="111"/>
      <c r="G10" s="100">
        <f>'[4]SAN SEBASTIAN'!N10</f>
        <v>0</v>
      </c>
      <c r="H10" s="101"/>
      <c r="I10" s="100">
        <f>'[4]SAN SEBASTIAN'!O10</f>
        <v>0</v>
      </c>
      <c r="J10" s="101"/>
      <c r="K10" s="100">
        <f>'[4]SAN SEBASTIAN'!P10</f>
        <v>0</v>
      </c>
      <c r="L10" s="101"/>
      <c r="M10" s="100">
        <f>'[4]SAN SEBASTIAN'!Q10</f>
        <v>16614.099999999999</v>
      </c>
      <c r="N10" s="101"/>
      <c r="O10" s="100">
        <f>'[4]SAN SEBASTIAN'!R10</f>
        <v>0</v>
      </c>
      <c r="P10" s="101"/>
      <c r="Q10" s="100">
        <f>'[4]SAN SEBASTIAN'!S10</f>
        <v>0</v>
      </c>
      <c r="R10" s="101"/>
      <c r="S10" s="100">
        <f>'[4]SAN SEBASTIAN'!T10</f>
        <v>0</v>
      </c>
      <c r="T10" s="101"/>
      <c r="U10" s="100">
        <v>0</v>
      </c>
      <c r="V10" s="101"/>
      <c r="W10" s="100">
        <v>0</v>
      </c>
      <c r="X10" s="101"/>
      <c r="Y10" s="100">
        <v>0</v>
      </c>
      <c r="Z10" s="101"/>
      <c r="AA10" s="100">
        <v>0</v>
      </c>
      <c r="AB10" s="101"/>
      <c r="AC10" s="100">
        <v>0</v>
      </c>
      <c r="AD10" s="101"/>
      <c r="AE10" s="100">
        <v>0</v>
      </c>
      <c r="AF10" s="101"/>
      <c r="AG10" s="100">
        <v>0</v>
      </c>
      <c r="AH10" s="101"/>
      <c r="AI10" s="100">
        <v>0</v>
      </c>
      <c r="AJ10" s="101"/>
      <c r="AK10" s="100">
        <v>0</v>
      </c>
      <c r="AL10" s="101"/>
    </row>
    <row r="11" spans="1:38" ht="12.6" thickTop="1" thickBot="1" x14ac:dyDescent="0.25">
      <c r="A11" s="12">
        <v>8</v>
      </c>
      <c r="B11" s="1" t="str">
        <f>IF(A11="","",_xlfn.XLOOKUP($A11,'[3]ANTICIPOS SAN SEBASTIÁN'!$B$1:$B$221,'[3]ANTICIPOS SAN SEBASTIÁN'!$I$1:$I$221))</f>
        <v>ULIGAB</v>
      </c>
      <c r="C11" s="2">
        <f>IF(A11="","",IF(_xlfn.XLOOKUP($A11,'[3]ANTICIPOS SAN SEBASTIÁN'!$B$1:$B$221,'[3]ANTICIPOS SAN SEBASTIÁN'!$K$1:$K$221)="","",_xlfn.XLOOKUP($A11,'[3]ANTICIPOS SAN SEBASTIÁN'!$B$1:$B$221,'[3]ANTICIPOS SAN SEBASTIÁN'!$K$1:$K$221)))</f>
        <v>31</v>
      </c>
      <c r="D11" s="16">
        <f t="shared" si="0"/>
        <v>416303.7</v>
      </c>
      <c r="E11" s="100">
        <v>0</v>
      </c>
      <c r="F11" s="111"/>
      <c r="G11" s="100">
        <f>'[4]SAN SEBASTIAN'!N11</f>
        <v>29507.5</v>
      </c>
      <c r="H11" s="101"/>
      <c r="I11" s="100">
        <f>'[4]SAN SEBASTIAN'!O11</f>
        <v>53432.5</v>
      </c>
      <c r="J11" s="101"/>
      <c r="K11" s="100">
        <f>'[4]SAN SEBASTIAN'!P11</f>
        <v>84761.2</v>
      </c>
      <c r="L11" s="101"/>
      <c r="M11" s="100">
        <f>'[4]SAN SEBASTIAN'!Q11</f>
        <v>107871.3</v>
      </c>
      <c r="N11" s="101"/>
      <c r="O11" s="100">
        <f>'[4]SAN SEBASTIAN'!R11</f>
        <v>39092</v>
      </c>
      <c r="P11" s="101"/>
      <c r="Q11" s="100">
        <f>'[4]SAN SEBASTIAN'!S11</f>
        <v>47887.7</v>
      </c>
      <c r="R11" s="101"/>
      <c r="S11" s="100">
        <f>'[4]SAN SEBASTIAN'!T11</f>
        <v>53751.5</v>
      </c>
      <c r="T11" s="101"/>
      <c r="U11" s="100">
        <v>0</v>
      </c>
      <c r="V11" s="101"/>
      <c r="W11" s="100">
        <v>0</v>
      </c>
      <c r="X11" s="101"/>
      <c r="Y11" s="100">
        <v>0</v>
      </c>
      <c r="Z11" s="101"/>
      <c r="AA11" s="100">
        <v>0</v>
      </c>
      <c r="AB11" s="101"/>
      <c r="AC11" s="100">
        <v>0</v>
      </c>
      <c r="AD11" s="101"/>
      <c r="AE11" s="100">
        <v>0</v>
      </c>
      <c r="AF11" s="101"/>
      <c r="AG11" s="100">
        <v>0</v>
      </c>
      <c r="AH11" s="101"/>
      <c r="AI11" s="100">
        <v>0</v>
      </c>
      <c r="AJ11" s="101"/>
      <c r="AK11" s="100">
        <v>0</v>
      </c>
      <c r="AL11" s="101"/>
    </row>
    <row r="12" spans="1:38" ht="12.6" thickTop="1" thickBot="1" x14ac:dyDescent="0.25">
      <c r="A12" s="12">
        <v>9</v>
      </c>
      <c r="B12" s="1" t="str">
        <f>IF(A12="","",_xlfn.XLOOKUP($A12,'[3]ANTICIPOS SAN SEBASTIÁN'!$B$1:$B$221,'[3]ANTICIPOS SAN SEBASTIÁN'!$I$1:$I$221))</f>
        <v>ULIGAB</v>
      </c>
      <c r="C12" s="2">
        <f>IF(A12="","",IF(_xlfn.XLOOKUP($A12,'[3]ANTICIPOS SAN SEBASTIÁN'!$B$1:$B$221,'[3]ANTICIPOS SAN SEBASTIÁN'!$K$1:$K$221)="","",_xlfn.XLOOKUP($A12,'[3]ANTICIPOS SAN SEBASTIÁN'!$B$1:$B$221,'[3]ANTICIPOS SAN SEBASTIÁN'!$K$1:$K$221)))</f>
        <v>32</v>
      </c>
      <c r="D12" s="16">
        <f t="shared" si="0"/>
        <v>120207.90000000001</v>
      </c>
      <c r="E12" s="100">
        <v>0</v>
      </c>
      <c r="F12" s="111"/>
      <c r="G12" s="100">
        <f>'[4]SAN SEBASTIAN'!N12</f>
        <v>31273.599999999999</v>
      </c>
      <c r="H12" s="101"/>
      <c r="I12" s="100">
        <f>'[4]SAN SEBASTIAN'!O12</f>
        <v>0</v>
      </c>
      <c r="J12" s="101"/>
      <c r="K12" s="100">
        <f>'[4]SAN SEBASTIAN'!P12</f>
        <v>0</v>
      </c>
      <c r="L12" s="101"/>
      <c r="M12" s="100">
        <f>'[4]SAN SEBASTIAN'!Q12</f>
        <v>43978.5</v>
      </c>
      <c r="N12" s="101"/>
      <c r="O12" s="100">
        <f>'[4]SAN SEBASTIAN'!R12</f>
        <v>44955.8</v>
      </c>
      <c r="P12" s="101"/>
      <c r="Q12" s="100">
        <f>'[4]SAN SEBASTIAN'!S12</f>
        <v>0</v>
      </c>
      <c r="R12" s="101"/>
      <c r="S12" s="100">
        <f>'[4]SAN SEBASTIAN'!T12</f>
        <v>0</v>
      </c>
      <c r="T12" s="101"/>
      <c r="U12" s="100">
        <v>0</v>
      </c>
      <c r="V12" s="101"/>
      <c r="W12" s="100">
        <v>0</v>
      </c>
      <c r="X12" s="101"/>
      <c r="Y12" s="100">
        <v>0</v>
      </c>
      <c r="Z12" s="101"/>
      <c r="AA12" s="100">
        <v>0</v>
      </c>
      <c r="AB12" s="101"/>
      <c r="AC12" s="100">
        <v>0</v>
      </c>
      <c r="AD12" s="101"/>
      <c r="AE12" s="100">
        <v>0</v>
      </c>
      <c r="AF12" s="101"/>
      <c r="AG12" s="100">
        <v>0</v>
      </c>
      <c r="AH12" s="101"/>
      <c r="AI12" s="100">
        <v>0</v>
      </c>
      <c r="AJ12" s="101"/>
      <c r="AK12" s="100">
        <v>0</v>
      </c>
      <c r="AL12" s="101"/>
    </row>
    <row r="13" spans="1:38" ht="12.6" thickTop="1" thickBot="1" x14ac:dyDescent="0.25">
      <c r="A13" s="12">
        <v>10</v>
      </c>
      <c r="B13" s="1" t="str">
        <f>IF(A13="","",_xlfn.XLOOKUP($A13,'[3]ANTICIPOS SAN SEBASTIÁN'!$B$1:$B$221,'[3]ANTICIPOS SAN SEBASTIÁN'!$I$1:$I$221))</f>
        <v>ANGEL ALAMEDA</v>
      </c>
      <c r="C13" s="2">
        <f>IF(A13="","",IF(_xlfn.XLOOKUP($A13,'[3]ANTICIPOS SAN SEBASTIÁN'!$B$1:$B$221,'[3]ANTICIPOS SAN SEBASTIÁN'!$K$1:$K$221)="","",_xlfn.XLOOKUP($A13,'[3]ANTICIPOS SAN SEBASTIÁN'!$B$1:$B$221,'[3]ANTICIPOS SAN SEBASTIÁN'!$K$1:$K$221)))</f>
        <v>33</v>
      </c>
      <c r="D13" s="16">
        <f t="shared" si="0"/>
        <v>688900.79999999993</v>
      </c>
      <c r="E13" s="100">
        <v>352709.6</v>
      </c>
      <c r="F13" s="111"/>
      <c r="G13" s="100">
        <f>'[4]SAN SEBASTIAN'!N13</f>
        <v>110434.9</v>
      </c>
      <c r="H13" s="101"/>
      <c r="I13" s="100">
        <f>'[4]SAN SEBASTIAN'!O13</f>
        <v>72320.2</v>
      </c>
      <c r="J13" s="101"/>
      <c r="K13" s="100">
        <f>'[4]SAN SEBASTIAN'!P13</f>
        <v>45933.1</v>
      </c>
      <c r="L13" s="101"/>
      <c r="M13" s="100">
        <f>'[4]SAN SEBASTIAN'!Q13</f>
        <v>63524.5</v>
      </c>
      <c r="N13" s="101"/>
      <c r="O13" s="100">
        <f>'[4]SAN SEBASTIAN'!R13</f>
        <v>22477.9</v>
      </c>
      <c r="P13" s="101"/>
      <c r="Q13" s="100">
        <f>'[4]SAN SEBASTIAN'!S13</f>
        <v>21500.6</v>
      </c>
      <c r="R13" s="101"/>
      <c r="S13" s="100">
        <f>'[4]SAN SEBASTIAN'!T13</f>
        <v>0</v>
      </c>
      <c r="T13" s="101"/>
      <c r="U13" s="100">
        <v>0</v>
      </c>
      <c r="V13" s="101"/>
      <c r="W13" s="100">
        <v>0</v>
      </c>
      <c r="X13" s="101"/>
      <c r="Y13" s="100">
        <v>0</v>
      </c>
      <c r="Z13" s="101"/>
      <c r="AA13" s="100">
        <v>0</v>
      </c>
      <c r="AB13" s="101"/>
      <c r="AC13" s="100">
        <v>0</v>
      </c>
      <c r="AD13" s="101"/>
      <c r="AE13" s="100">
        <v>0</v>
      </c>
      <c r="AF13" s="101"/>
      <c r="AG13" s="100">
        <v>0</v>
      </c>
      <c r="AH13" s="101"/>
      <c r="AI13" s="100">
        <v>0</v>
      </c>
      <c r="AJ13" s="101"/>
      <c r="AK13" s="100">
        <v>0</v>
      </c>
      <c r="AL13" s="101"/>
    </row>
    <row r="14" spans="1:38" ht="12.6" thickTop="1" thickBot="1" x14ac:dyDescent="0.25">
      <c r="A14" s="12">
        <v>11</v>
      </c>
      <c r="B14" s="1" t="str">
        <f>IF(A14="","",_xlfn.XLOOKUP($A14,'[3]ANTICIPOS SAN SEBASTIÁN'!$B$1:$B$221,'[3]ANTICIPOS SAN SEBASTIÁN'!$I$1:$I$221))</f>
        <v>POWER</v>
      </c>
      <c r="C14" s="2">
        <f>IF(A14="","",IF(_xlfn.XLOOKUP($A14,'[3]ANTICIPOS SAN SEBASTIÁN'!$B$1:$B$221,'[3]ANTICIPOS SAN SEBASTIÁN'!$K$1:$K$221)="","",_xlfn.XLOOKUP($A14,'[3]ANTICIPOS SAN SEBASTIÁN'!$B$1:$B$221,'[3]ANTICIPOS SAN SEBASTIÁN'!$K$1:$K$221)))</f>
        <v>33</v>
      </c>
      <c r="D14" s="16">
        <f t="shared" si="0"/>
        <v>15734.53</v>
      </c>
      <c r="E14" s="100">
        <v>0</v>
      </c>
      <c r="F14" s="111"/>
      <c r="G14" s="100">
        <f>'[4]SAN SEBASTIAN'!N14</f>
        <v>15734.53</v>
      </c>
      <c r="H14" s="101"/>
      <c r="I14" s="100">
        <f>'[4]SAN SEBASTIAN'!O14</f>
        <v>0</v>
      </c>
      <c r="J14" s="101"/>
      <c r="K14" s="100">
        <f>'[4]SAN SEBASTIAN'!P14</f>
        <v>0</v>
      </c>
      <c r="L14" s="101"/>
      <c r="M14" s="100">
        <f>'[4]SAN SEBASTIAN'!Q14</f>
        <v>0</v>
      </c>
      <c r="N14" s="101"/>
      <c r="O14" s="100">
        <f>'[4]SAN SEBASTIAN'!R14</f>
        <v>0</v>
      </c>
      <c r="P14" s="101"/>
      <c r="Q14" s="100">
        <f>'[4]SAN SEBASTIAN'!S14</f>
        <v>0</v>
      </c>
      <c r="R14" s="101"/>
      <c r="S14" s="100">
        <f>'[4]SAN SEBASTIAN'!T14</f>
        <v>0</v>
      </c>
      <c r="T14" s="101"/>
      <c r="U14" s="100">
        <v>0</v>
      </c>
      <c r="V14" s="101"/>
      <c r="W14" s="100">
        <v>0</v>
      </c>
      <c r="X14" s="101"/>
      <c r="Y14" s="100">
        <v>0</v>
      </c>
      <c r="Z14" s="101"/>
      <c r="AA14" s="100">
        <v>0</v>
      </c>
      <c r="AB14" s="101"/>
      <c r="AC14" s="100">
        <v>0</v>
      </c>
      <c r="AD14" s="101"/>
      <c r="AE14" s="100">
        <v>0</v>
      </c>
      <c r="AF14" s="101"/>
      <c r="AG14" s="100">
        <v>0</v>
      </c>
      <c r="AH14" s="101"/>
      <c r="AI14" s="100">
        <v>0</v>
      </c>
      <c r="AJ14" s="101"/>
      <c r="AK14" s="100">
        <v>0</v>
      </c>
      <c r="AL14" s="101"/>
    </row>
    <row r="15" spans="1:38" ht="12.6" thickTop="1" thickBot="1" x14ac:dyDescent="0.25">
      <c r="A15" s="12">
        <v>12</v>
      </c>
      <c r="B15" s="1" t="str">
        <f>IF(A15="","",_xlfn.XLOOKUP($A15,'[3]ANTICIPOS SAN SEBASTIÁN'!$B$1:$B$221,'[3]ANTICIPOS SAN SEBASTIÁN'!$I$1:$I$221))</f>
        <v>CONSORCIO RM</v>
      </c>
      <c r="C15" s="2">
        <f>IF(A15="","",IF(_xlfn.XLOOKUP($A15,'[3]ANTICIPOS SAN SEBASTIÁN'!$B$1:$B$221,'[3]ANTICIPOS SAN SEBASTIÁN'!$K$1:$K$221)="","",_xlfn.XLOOKUP($A15,'[3]ANTICIPOS SAN SEBASTIÁN'!$B$1:$B$221,'[3]ANTICIPOS SAN SEBASTIÁN'!$K$1:$K$221)))</f>
        <v>34</v>
      </c>
      <c r="D15" s="16">
        <f t="shared" si="0"/>
        <v>201558.7</v>
      </c>
      <c r="E15" s="100">
        <v>11962.5</v>
      </c>
      <c r="F15" s="111"/>
      <c r="G15" s="100">
        <f>'[4]SAN SEBASTIAN'!N15</f>
        <v>0</v>
      </c>
      <c r="H15" s="101"/>
      <c r="I15" s="100">
        <f>'[4]SAN SEBASTIAN'!O15</f>
        <v>0</v>
      </c>
      <c r="J15" s="101"/>
      <c r="K15" s="100">
        <f>'[4]SAN SEBASTIAN'!P15</f>
        <v>96752.7</v>
      </c>
      <c r="L15" s="101"/>
      <c r="M15" s="100">
        <f>'[4]SAN SEBASTIAN'!Q15</f>
        <v>92843.5</v>
      </c>
      <c r="N15" s="101"/>
      <c r="O15" s="100">
        <f>'[4]SAN SEBASTIAN'!R15</f>
        <v>0</v>
      </c>
      <c r="P15" s="101"/>
      <c r="Q15" s="100">
        <f>'[4]SAN SEBASTIAN'!S15</f>
        <v>0</v>
      </c>
      <c r="R15" s="101"/>
      <c r="S15" s="100">
        <f>'[4]SAN SEBASTIAN'!T15</f>
        <v>0</v>
      </c>
      <c r="T15" s="101"/>
      <c r="U15" s="100">
        <v>0</v>
      </c>
      <c r="V15" s="101"/>
      <c r="W15" s="100">
        <v>0</v>
      </c>
      <c r="X15" s="101"/>
      <c r="Y15" s="100">
        <v>0</v>
      </c>
      <c r="Z15" s="101"/>
      <c r="AA15" s="100">
        <v>0</v>
      </c>
      <c r="AB15" s="101"/>
      <c r="AC15" s="100">
        <v>0</v>
      </c>
      <c r="AD15" s="101"/>
      <c r="AE15" s="100">
        <v>0</v>
      </c>
      <c r="AF15" s="101"/>
      <c r="AG15" s="100">
        <v>0</v>
      </c>
      <c r="AH15" s="101"/>
      <c r="AI15" s="100">
        <v>0</v>
      </c>
      <c r="AJ15" s="101"/>
      <c r="AK15" s="100">
        <v>0</v>
      </c>
      <c r="AL15" s="101"/>
    </row>
    <row r="16" spans="1:38" ht="12.6" thickTop="1" thickBot="1" x14ac:dyDescent="0.25">
      <c r="A16" s="12">
        <v>13</v>
      </c>
      <c r="B16" s="1" t="str">
        <f>IF(A16="","",_xlfn.XLOOKUP($A16,'[3]ANTICIPOS SAN SEBASTIÁN'!$B$1:$B$221,'[3]ANTICIPOS SAN SEBASTIÁN'!$I$1:$I$221))</f>
        <v>CONSORCIO RM</v>
      </c>
      <c r="C16" s="2">
        <f>IF(A16="","",IF(_xlfn.XLOOKUP($A16,'[3]ANTICIPOS SAN SEBASTIÁN'!$B$1:$B$221,'[3]ANTICIPOS SAN SEBASTIÁN'!$K$1:$K$221)="","",_xlfn.XLOOKUP($A16,'[3]ANTICIPOS SAN SEBASTIÁN'!$B$1:$B$221,'[3]ANTICIPOS SAN SEBASTIÁN'!$K$1:$K$221)))</f>
        <v>34</v>
      </c>
      <c r="D16" s="16">
        <f t="shared" si="0"/>
        <v>232788.80000000002</v>
      </c>
      <c r="E16" s="100">
        <v>0</v>
      </c>
      <c r="F16" s="111"/>
      <c r="G16" s="100">
        <f>'[4]SAN SEBASTIAN'!N16</f>
        <v>134510.70000000001</v>
      </c>
      <c r="H16" s="101"/>
      <c r="I16" s="100">
        <f>'[4]SAN SEBASTIAN'!O16</f>
        <v>0</v>
      </c>
      <c r="J16" s="101"/>
      <c r="K16" s="100">
        <f>'[4]SAN SEBASTIAN'!P16</f>
        <v>27912.5</v>
      </c>
      <c r="L16" s="101"/>
      <c r="M16" s="100">
        <f>'[4]SAN SEBASTIAN'!Q16</f>
        <v>70365.600000000006</v>
      </c>
      <c r="N16" s="101"/>
      <c r="O16" s="100">
        <f>'[4]SAN SEBASTIAN'!R16</f>
        <v>0</v>
      </c>
      <c r="P16" s="101"/>
      <c r="Q16" s="100">
        <f>'[4]SAN SEBASTIAN'!S16</f>
        <v>0</v>
      </c>
      <c r="R16" s="101"/>
      <c r="S16" s="100">
        <f>'[4]SAN SEBASTIAN'!T16</f>
        <v>0</v>
      </c>
      <c r="T16" s="101"/>
      <c r="U16" s="100">
        <v>0</v>
      </c>
      <c r="V16" s="101"/>
      <c r="W16" s="100">
        <v>0</v>
      </c>
      <c r="X16" s="101"/>
      <c r="Y16" s="100">
        <v>0</v>
      </c>
      <c r="Z16" s="101"/>
      <c r="AA16" s="100">
        <v>0</v>
      </c>
      <c r="AB16" s="101"/>
      <c r="AC16" s="100">
        <v>0</v>
      </c>
      <c r="AD16" s="101"/>
      <c r="AE16" s="100">
        <v>0</v>
      </c>
      <c r="AF16" s="101"/>
      <c r="AG16" s="100">
        <v>0</v>
      </c>
      <c r="AH16" s="101"/>
      <c r="AI16" s="100">
        <v>0</v>
      </c>
      <c r="AJ16" s="101"/>
      <c r="AK16" s="100">
        <v>0</v>
      </c>
      <c r="AL16" s="101"/>
    </row>
    <row r="17" spans="1:38" ht="12.6" thickTop="1" thickBot="1" x14ac:dyDescent="0.25">
      <c r="A17" s="12">
        <v>14</v>
      </c>
      <c r="B17" s="1" t="str">
        <f>IF(A17="","",_xlfn.XLOOKUP($A17,'[3]ANTICIPOS SAN SEBASTIÁN'!$B$1:$B$221,'[3]ANTICIPOS SAN SEBASTIÁN'!$I$1:$I$221))</f>
        <v>COBYPSA</v>
      </c>
      <c r="C17" s="2">
        <f>IF(A17="","",IF(_xlfn.XLOOKUP($A17,'[3]ANTICIPOS SAN SEBASTIÁN'!$B$1:$B$221,'[3]ANTICIPOS SAN SEBASTIÁN'!$K$1:$K$221)="","",_xlfn.XLOOKUP($A17,'[3]ANTICIPOS SAN SEBASTIÁN'!$B$1:$B$221,'[3]ANTICIPOS SAN SEBASTIÁN'!$K$1:$K$221)))</f>
        <v>35</v>
      </c>
      <c r="D17" s="16">
        <f t="shared" si="0"/>
        <v>353782.6</v>
      </c>
      <c r="E17" s="100">
        <v>0</v>
      </c>
      <c r="F17" s="111"/>
      <c r="G17" s="100">
        <f>'[4]SAN SEBASTIAN'!N17</f>
        <v>0</v>
      </c>
      <c r="H17" s="101"/>
      <c r="I17" s="100">
        <f>'[4]SAN SEBASTIAN'!O17</f>
        <v>0</v>
      </c>
      <c r="J17" s="101"/>
      <c r="K17" s="100">
        <f>'[4]SAN SEBASTIAN'!P17</f>
        <v>84047.8</v>
      </c>
      <c r="L17" s="101"/>
      <c r="M17" s="100">
        <f>'[4]SAN SEBASTIAN'!Q17</f>
        <v>99684.6</v>
      </c>
      <c r="N17" s="101"/>
      <c r="O17" s="100">
        <f>'[4]SAN SEBASTIAN'!R17</f>
        <v>49842.3</v>
      </c>
      <c r="P17" s="101"/>
      <c r="Q17" s="100">
        <f>'[4]SAN SEBASTIAN'!S17</f>
        <v>76229.399999999994</v>
      </c>
      <c r="R17" s="101"/>
      <c r="S17" s="100">
        <f>'[4]SAN SEBASTIAN'!T17</f>
        <v>43978.5</v>
      </c>
      <c r="T17" s="101"/>
      <c r="U17" s="100">
        <v>0</v>
      </c>
      <c r="V17" s="101"/>
      <c r="W17" s="100">
        <v>0</v>
      </c>
      <c r="X17" s="101"/>
      <c r="Y17" s="100">
        <v>0</v>
      </c>
      <c r="Z17" s="101"/>
      <c r="AA17" s="100">
        <v>0</v>
      </c>
      <c r="AB17" s="101"/>
      <c r="AC17" s="100">
        <v>0</v>
      </c>
      <c r="AD17" s="101"/>
      <c r="AE17" s="100">
        <v>0</v>
      </c>
      <c r="AF17" s="101"/>
      <c r="AG17" s="100">
        <v>0</v>
      </c>
      <c r="AH17" s="101"/>
      <c r="AI17" s="100">
        <v>0</v>
      </c>
      <c r="AJ17" s="101"/>
      <c r="AK17" s="100">
        <v>0</v>
      </c>
      <c r="AL17" s="101"/>
    </row>
    <row r="18" spans="1:38" ht="12.6" thickTop="1" thickBot="1" x14ac:dyDescent="0.25">
      <c r="A18" s="13">
        <v>15</v>
      </c>
      <c r="B18" s="14" t="str">
        <f>IF(A18="","",_xlfn.XLOOKUP($A18,'[3]ANTICIPOS SAN SEBASTIÁN'!$B$1:$B$221,'[3]ANTICIPOS SAN SEBASTIÁN'!$I$1:$I$221))</f>
        <v>ANGEL ALAMEDA</v>
      </c>
      <c r="C18" s="15">
        <f>IF(A18="","",IF(_xlfn.XLOOKUP($A18,'[3]ANTICIPOS SAN SEBASTIÁN'!$B$1:$B$221,'[3]ANTICIPOS SAN SEBASTIÁN'!$K$1:$K$221)="","",_xlfn.XLOOKUP($A18,'[3]ANTICIPOS SAN SEBASTIÁN'!$B$1:$B$221,'[3]ANTICIPOS SAN SEBASTIÁN'!$K$1:$K$221)))</f>
        <v>36</v>
      </c>
      <c r="D18" s="16">
        <f>SUM(E18:ZZ18)</f>
        <v>0</v>
      </c>
      <c r="E18" s="102">
        <v>0</v>
      </c>
      <c r="F18" s="112"/>
      <c r="G18" s="100">
        <f>'[4]SAN SEBASTIAN'!N18</f>
        <v>0</v>
      </c>
      <c r="H18" s="101"/>
      <c r="I18" s="100">
        <f>'[4]SAN SEBASTIAN'!O18</f>
        <v>0</v>
      </c>
      <c r="J18" s="101"/>
      <c r="K18" s="100">
        <f>'[4]SAN SEBASTIAN'!P18</f>
        <v>0</v>
      </c>
      <c r="L18" s="101"/>
      <c r="M18" s="100">
        <f>'[4]SAN SEBASTIAN'!Q18</f>
        <v>0</v>
      </c>
      <c r="N18" s="101"/>
      <c r="O18" s="100">
        <f>'[4]SAN SEBASTIAN'!R18</f>
        <v>0</v>
      </c>
      <c r="P18" s="101"/>
      <c r="Q18" s="100">
        <f>'[4]SAN SEBASTIAN'!S18</f>
        <v>0</v>
      </c>
      <c r="R18" s="101"/>
      <c r="S18" s="100">
        <f>'[4]SAN SEBASTIAN'!T18</f>
        <v>0</v>
      </c>
      <c r="T18" s="101"/>
      <c r="U18" s="102">
        <v>0</v>
      </c>
      <c r="V18" s="103"/>
      <c r="W18" s="102">
        <v>0</v>
      </c>
      <c r="X18" s="103"/>
      <c r="Y18" s="102">
        <v>0</v>
      </c>
      <c r="Z18" s="103"/>
      <c r="AA18" s="102">
        <v>0</v>
      </c>
      <c r="AB18" s="103"/>
      <c r="AC18" s="102">
        <v>0</v>
      </c>
      <c r="AD18" s="103"/>
      <c r="AE18" s="102">
        <v>0</v>
      </c>
      <c r="AF18" s="103"/>
      <c r="AG18" s="102">
        <v>0</v>
      </c>
      <c r="AH18" s="103"/>
      <c r="AI18" s="102">
        <v>0</v>
      </c>
      <c r="AJ18" s="103"/>
      <c r="AK18" s="102">
        <v>0</v>
      </c>
      <c r="AL18" s="103"/>
    </row>
  </sheetData>
  <mergeCells count="260">
    <mergeCell ref="G9:H9"/>
    <mergeCell ref="E10:F10"/>
    <mergeCell ref="G10:H10"/>
    <mergeCell ref="E7:F7"/>
    <mergeCell ref="G7:H7"/>
    <mergeCell ref="A1:D1"/>
    <mergeCell ref="A2:A5"/>
    <mergeCell ref="B2:B5"/>
    <mergeCell ref="C2:C5"/>
    <mergeCell ref="D2:D5"/>
    <mergeCell ref="E4:F4"/>
    <mergeCell ref="G4:H4"/>
    <mergeCell ref="E5:F5"/>
    <mergeCell ref="G5:H5"/>
    <mergeCell ref="E6:F6"/>
    <mergeCell ref="G6:H6"/>
    <mergeCell ref="I4:J4"/>
    <mergeCell ref="I5:J5"/>
    <mergeCell ref="I6:J6"/>
    <mergeCell ref="I7:J7"/>
    <mergeCell ref="I8:J8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  <mergeCell ref="E11:F11"/>
    <mergeCell ref="G11:H11"/>
    <mergeCell ref="E12:F12"/>
    <mergeCell ref="G12:H12"/>
    <mergeCell ref="E13:F13"/>
    <mergeCell ref="G13:H13"/>
    <mergeCell ref="E8:F8"/>
    <mergeCell ref="G8:H8"/>
    <mergeCell ref="E9:F9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K18:L18"/>
    <mergeCell ref="K9:L9"/>
    <mergeCell ref="K10:L10"/>
    <mergeCell ref="K11:L11"/>
    <mergeCell ref="K12:L12"/>
    <mergeCell ref="K13:L13"/>
    <mergeCell ref="K4:L4"/>
    <mergeCell ref="K5:L5"/>
    <mergeCell ref="K6:L6"/>
    <mergeCell ref="K7:L7"/>
    <mergeCell ref="K8:L8"/>
    <mergeCell ref="M4:N4"/>
    <mergeCell ref="M5:N5"/>
    <mergeCell ref="M6:N6"/>
    <mergeCell ref="M7:N7"/>
    <mergeCell ref="M8:N8"/>
    <mergeCell ref="K14:L14"/>
    <mergeCell ref="K15:L15"/>
    <mergeCell ref="K16:L16"/>
    <mergeCell ref="K17:L17"/>
    <mergeCell ref="M14:N14"/>
    <mergeCell ref="M15:N15"/>
    <mergeCell ref="M16:N16"/>
    <mergeCell ref="M17:N17"/>
    <mergeCell ref="M18:N18"/>
    <mergeCell ref="M9:N9"/>
    <mergeCell ref="M10:N10"/>
    <mergeCell ref="M11:N11"/>
    <mergeCell ref="M12:N12"/>
    <mergeCell ref="M13:N13"/>
    <mergeCell ref="O18:P1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4:P4"/>
    <mergeCell ref="O5:P5"/>
    <mergeCell ref="O6:P6"/>
    <mergeCell ref="O7:P7"/>
    <mergeCell ref="O8:P8"/>
    <mergeCell ref="Q4:R4"/>
    <mergeCell ref="Q5:R5"/>
    <mergeCell ref="Q6:R6"/>
    <mergeCell ref="Q7:R7"/>
    <mergeCell ref="Q8:R8"/>
    <mergeCell ref="Q14:R14"/>
    <mergeCell ref="Q15:R15"/>
    <mergeCell ref="Q16:R16"/>
    <mergeCell ref="Q17:R17"/>
    <mergeCell ref="Q18:R18"/>
    <mergeCell ref="Q9:R9"/>
    <mergeCell ref="Q10:R10"/>
    <mergeCell ref="Q11:R11"/>
    <mergeCell ref="Q12:R12"/>
    <mergeCell ref="Q13:R13"/>
    <mergeCell ref="S18:T18"/>
    <mergeCell ref="S9:T9"/>
    <mergeCell ref="S10:T10"/>
    <mergeCell ref="S11:T11"/>
    <mergeCell ref="S12:T12"/>
    <mergeCell ref="S13:T13"/>
    <mergeCell ref="S4:T4"/>
    <mergeCell ref="S5:T5"/>
    <mergeCell ref="S6:T6"/>
    <mergeCell ref="S7:T7"/>
    <mergeCell ref="S8:T8"/>
    <mergeCell ref="U4:V4"/>
    <mergeCell ref="U5:V5"/>
    <mergeCell ref="U6:V6"/>
    <mergeCell ref="U7:V7"/>
    <mergeCell ref="U8:V8"/>
    <mergeCell ref="S14:T14"/>
    <mergeCell ref="S15:T15"/>
    <mergeCell ref="S16:T16"/>
    <mergeCell ref="S17:T17"/>
    <mergeCell ref="U14:V14"/>
    <mergeCell ref="U15:V15"/>
    <mergeCell ref="U16:V16"/>
    <mergeCell ref="U17:V17"/>
    <mergeCell ref="U18:V18"/>
    <mergeCell ref="U9:V9"/>
    <mergeCell ref="U10:V10"/>
    <mergeCell ref="U11:V11"/>
    <mergeCell ref="U12:V12"/>
    <mergeCell ref="U13:V13"/>
    <mergeCell ref="W18:X18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4:X4"/>
    <mergeCell ref="W5:X5"/>
    <mergeCell ref="W6:X6"/>
    <mergeCell ref="W7:X7"/>
    <mergeCell ref="W8:X8"/>
    <mergeCell ref="Y4:Z4"/>
    <mergeCell ref="Y5:Z5"/>
    <mergeCell ref="Y6:Z6"/>
    <mergeCell ref="Y7:Z7"/>
    <mergeCell ref="Y8:Z8"/>
    <mergeCell ref="Y14:Z14"/>
    <mergeCell ref="Y15:Z15"/>
    <mergeCell ref="Y16:Z16"/>
    <mergeCell ref="Y17:Z17"/>
    <mergeCell ref="Y18:Z18"/>
    <mergeCell ref="Y9:Z9"/>
    <mergeCell ref="Y10:Z10"/>
    <mergeCell ref="Y11:Z11"/>
    <mergeCell ref="Y12:Z12"/>
    <mergeCell ref="Y13:Z13"/>
    <mergeCell ref="AA18:AB18"/>
    <mergeCell ref="AA9:AB9"/>
    <mergeCell ref="AA10:AB10"/>
    <mergeCell ref="AA11:AB11"/>
    <mergeCell ref="AA12:AB12"/>
    <mergeCell ref="AA13:AB13"/>
    <mergeCell ref="AA4:AB4"/>
    <mergeCell ref="AA5:AB5"/>
    <mergeCell ref="AA6:AB6"/>
    <mergeCell ref="AA7:AB7"/>
    <mergeCell ref="AA8:AB8"/>
    <mergeCell ref="AC4:AD4"/>
    <mergeCell ref="AC5:AD5"/>
    <mergeCell ref="AC6:AD6"/>
    <mergeCell ref="AC7:AD7"/>
    <mergeCell ref="AC8:AD8"/>
    <mergeCell ref="AA14:AB14"/>
    <mergeCell ref="AA15:AB15"/>
    <mergeCell ref="AA16:AB16"/>
    <mergeCell ref="AA17:AB17"/>
    <mergeCell ref="AC14:AD14"/>
    <mergeCell ref="AC15:AD15"/>
    <mergeCell ref="AC16:AD16"/>
    <mergeCell ref="AC17:AD17"/>
    <mergeCell ref="AC18:AD18"/>
    <mergeCell ref="AC9:AD9"/>
    <mergeCell ref="AC10:AD10"/>
    <mergeCell ref="AC11:AD11"/>
    <mergeCell ref="AC12:AD12"/>
    <mergeCell ref="AC13:AD13"/>
    <mergeCell ref="AE18:AF18"/>
    <mergeCell ref="AE9:AF9"/>
    <mergeCell ref="AE10:AF10"/>
    <mergeCell ref="AE11:AF11"/>
    <mergeCell ref="AE12:AF12"/>
    <mergeCell ref="AE13:AF13"/>
    <mergeCell ref="AE14:AF14"/>
    <mergeCell ref="AE15:AF15"/>
    <mergeCell ref="AE16:AF16"/>
    <mergeCell ref="AE17:AF17"/>
    <mergeCell ref="AE4:AF4"/>
    <mergeCell ref="AE5:AF5"/>
    <mergeCell ref="AE6:AF6"/>
    <mergeCell ref="AE7:AF7"/>
    <mergeCell ref="AE8:AF8"/>
    <mergeCell ref="AG4:AH4"/>
    <mergeCell ref="AG5:AH5"/>
    <mergeCell ref="AG6:AH6"/>
    <mergeCell ref="AG7:AH7"/>
    <mergeCell ref="AG8:AH8"/>
    <mergeCell ref="AG14:AH14"/>
    <mergeCell ref="AG15:AH15"/>
    <mergeCell ref="AG16:AH16"/>
    <mergeCell ref="AG17:AH17"/>
    <mergeCell ref="AG18:AH18"/>
    <mergeCell ref="AG9:AH9"/>
    <mergeCell ref="AG10:AH10"/>
    <mergeCell ref="AG11:AH11"/>
    <mergeCell ref="AG12:AH12"/>
    <mergeCell ref="AG13:AH13"/>
    <mergeCell ref="AI9:AJ9"/>
    <mergeCell ref="AI10:AJ10"/>
    <mergeCell ref="AI11:AJ11"/>
    <mergeCell ref="AI12:AJ12"/>
    <mergeCell ref="AI13:AJ13"/>
    <mergeCell ref="AI4:AJ4"/>
    <mergeCell ref="AI5:AJ5"/>
    <mergeCell ref="AI6:AJ6"/>
    <mergeCell ref="AI7:AJ7"/>
    <mergeCell ref="AI8:AJ8"/>
    <mergeCell ref="AI14:AJ14"/>
    <mergeCell ref="AI15:AJ15"/>
    <mergeCell ref="AI16:AJ16"/>
    <mergeCell ref="AI17:AJ17"/>
    <mergeCell ref="AK14:AL14"/>
    <mergeCell ref="AK15:AL15"/>
    <mergeCell ref="AK16:AL16"/>
    <mergeCell ref="AK17:AL17"/>
    <mergeCell ref="AI18:AJ18"/>
    <mergeCell ref="AK18:AL18"/>
    <mergeCell ref="AK9:AL9"/>
    <mergeCell ref="AK10:AL10"/>
    <mergeCell ref="AK11:AL11"/>
    <mergeCell ref="AK12:AL12"/>
    <mergeCell ref="AK13:AL13"/>
    <mergeCell ref="AK4:AL4"/>
    <mergeCell ref="AK5:AL5"/>
    <mergeCell ref="AK6:AL6"/>
    <mergeCell ref="AK7:AL7"/>
    <mergeCell ref="AK8:AL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DESCUENTOS</vt:lpstr>
      <vt:lpstr>RESUMEN ANTICIPOS</vt:lpstr>
      <vt:lpstr>MEXLAM</vt:lpstr>
      <vt:lpstr>DAC</vt:lpstr>
      <vt:lpstr>IBM</vt:lpstr>
      <vt:lpstr>PREPA (BLOCK)</vt:lpstr>
      <vt:lpstr>COMARCA</vt:lpstr>
      <vt:lpstr>VALMAR</vt:lpstr>
      <vt:lpstr>COMBAG</vt:lpstr>
      <vt:lpstr>PREPA (V Y B)</vt:lpstr>
      <vt:lpstr>GRAFFITI</vt:lpstr>
      <vt:lpstr>MUESTRA</vt:lpstr>
      <vt:lpstr>'RESUMEN ANTICIPOS'!Área_de_impresión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PRESUPUESTO</dc:creator>
  <cp:lastModifiedBy>Mauricio</cp:lastModifiedBy>
  <dcterms:created xsi:type="dcterms:W3CDTF">2021-12-16T19:02:29Z</dcterms:created>
  <dcterms:modified xsi:type="dcterms:W3CDTF">2022-07-12T21:48:37Z</dcterms:modified>
</cp:coreProperties>
</file>