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uor-my.sharepoint.com/personal/mason_green_fluor_com/Documents/Documents/MAG/calcs/"/>
    </mc:Choice>
  </mc:AlternateContent>
  <xr:revisionPtr revIDLastSave="1135" documentId="8_{D296D528-10CB-4005-8954-052C169B9C4E}" xr6:coauthVersionLast="47" xr6:coauthVersionMax="47" xr10:uidLastSave="{42BC508D-6752-40AA-8ED7-D15D98D9BF86}"/>
  <bookViews>
    <workbookView xWindow="-120" yWindow="-120" windowWidth="29040" windowHeight="15840" activeTab="3" xr2:uid="{8BBB8023-DF60-45D9-807D-FE5D15155A54}"/>
  </bookViews>
  <sheets>
    <sheet name="growth" sheetId="1" r:id="rId1"/>
    <sheet name="budget" sheetId="3" r:id="rId2"/>
    <sheet name="tables" sheetId="2" r:id="rId3"/>
    <sheet name="R&amp;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4" l="1"/>
  <c r="AE7" i="4"/>
  <c r="AE5" i="4"/>
  <c r="AE4" i="4"/>
  <c r="H14" i="4"/>
  <c r="H13" i="4"/>
  <c r="H12" i="4"/>
  <c r="H11" i="4"/>
  <c r="H10" i="4"/>
  <c r="H9" i="4"/>
  <c r="H8" i="4"/>
  <c r="H53" i="4"/>
  <c r="H52" i="4"/>
  <c r="H51" i="4"/>
  <c r="H50" i="4"/>
  <c r="H49" i="4"/>
  <c r="I49" i="4" s="1"/>
  <c r="H48" i="4"/>
  <c r="H47" i="4"/>
  <c r="H27" i="4"/>
  <c r="H26" i="4"/>
  <c r="H25" i="4"/>
  <c r="I25" i="4" s="1"/>
  <c r="H24" i="4"/>
  <c r="H23" i="4"/>
  <c r="H22" i="4"/>
  <c r="K25" i="4" s="1"/>
  <c r="V25" i="4" s="1"/>
  <c r="H21" i="4"/>
  <c r="H60" i="4"/>
  <c r="H59" i="4"/>
  <c r="H58" i="4"/>
  <c r="H57" i="4"/>
  <c r="H56" i="4"/>
  <c r="H55" i="4"/>
  <c r="H54" i="4"/>
  <c r="H46" i="4"/>
  <c r="H45" i="4"/>
  <c r="I45" i="4" s="1"/>
  <c r="H44" i="4"/>
  <c r="H43" i="4"/>
  <c r="H42" i="4"/>
  <c r="H41" i="4"/>
  <c r="H40" i="4"/>
  <c r="H33" i="4"/>
  <c r="H32" i="4"/>
  <c r="H31" i="4"/>
  <c r="H30" i="4"/>
  <c r="H29" i="4"/>
  <c r="I29" i="4" s="1"/>
  <c r="H28" i="4"/>
  <c r="H39" i="4"/>
  <c r="I39" i="4" s="1"/>
  <c r="H38" i="4"/>
  <c r="H37" i="4"/>
  <c r="H36" i="4"/>
  <c r="H35" i="4"/>
  <c r="H34" i="4"/>
  <c r="H20" i="4"/>
  <c r="H19" i="4"/>
  <c r="I19" i="4" s="1"/>
  <c r="H18" i="4"/>
  <c r="H17" i="4"/>
  <c r="I17" i="4" s="1"/>
  <c r="H16" i="4"/>
  <c r="H15" i="4"/>
  <c r="H7" i="4"/>
  <c r="I7" i="4" s="1"/>
  <c r="H6" i="4"/>
  <c r="H5" i="4"/>
  <c r="I5" i="4" s="1"/>
  <c r="H4" i="4"/>
  <c r="I4" i="4" s="1"/>
  <c r="H3" i="4"/>
  <c r="H2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G3" i="4"/>
  <c r="G4" i="4"/>
  <c r="G5" i="4"/>
  <c r="G6" i="4"/>
  <c r="G7" i="4"/>
  <c r="G8" i="4"/>
  <c r="G9" i="4"/>
  <c r="G10" i="4"/>
  <c r="G11" i="4"/>
  <c r="I11" i="4" s="1"/>
  <c r="G12" i="4"/>
  <c r="I12" i="4" s="1"/>
  <c r="G13" i="4"/>
  <c r="G14" i="4"/>
  <c r="I14" i="4" s="1"/>
  <c r="G15" i="4"/>
  <c r="G16" i="4"/>
  <c r="G17" i="4"/>
  <c r="G18" i="4"/>
  <c r="G19" i="4"/>
  <c r="G20" i="4"/>
  <c r="I20" i="4" s="1"/>
  <c r="G21" i="4"/>
  <c r="G22" i="4"/>
  <c r="I22" i="4" s="1"/>
  <c r="G23" i="4"/>
  <c r="I23" i="4" s="1"/>
  <c r="G24" i="4"/>
  <c r="G25" i="4"/>
  <c r="G26" i="4"/>
  <c r="G27" i="4"/>
  <c r="G28" i="4"/>
  <c r="G29" i="4"/>
  <c r="G30" i="4"/>
  <c r="I30" i="4" s="1"/>
  <c r="G31" i="4"/>
  <c r="G32" i="4"/>
  <c r="G33" i="4"/>
  <c r="G34" i="4"/>
  <c r="G35" i="4"/>
  <c r="I35" i="4" s="1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I55" i="4" s="1"/>
  <c r="G56" i="4"/>
  <c r="G57" i="4"/>
  <c r="G58" i="4"/>
  <c r="G59" i="4"/>
  <c r="G60" i="4"/>
  <c r="G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2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K54" i="4"/>
  <c r="N54" i="4" s="1"/>
  <c r="K28" i="4"/>
  <c r="X28" i="4" s="1"/>
  <c r="K24" i="4"/>
  <c r="I9" i="4"/>
  <c r="I13" i="4"/>
  <c r="I27" i="4"/>
  <c r="I33" i="4"/>
  <c r="I37" i="4"/>
  <c r="I51" i="4"/>
  <c r="I52" i="4"/>
  <c r="I53" i="4"/>
  <c r="I57" i="4"/>
  <c r="K9" i="4" l="1"/>
  <c r="L9" i="4" s="1"/>
  <c r="K8" i="4"/>
  <c r="R8" i="4" s="1"/>
  <c r="K14" i="4"/>
  <c r="L14" i="4" s="1"/>
  <c r="K53" i="4"/>
  <c r="N53" i="4" s="1"/>
  <c r="I50" i="4"/>
  <c r="I48" i="4"/>
  <c r="K48" i="4"/>
  <c r="N48" i="4" s="1"/>
  <c r="K49" i="4"/>
  <c r="N49" i="4" s="1"/>
  <c r="K52" i="4"/>
  <c r="N52" i="4" s="1"/>
  <c r="K51" i="4"/>
  <c r="L51" i="4" s="1"/>
  <c r="K47" i="4"/>
  <c r="L47" i="4" s="1"/>
  <c r="K50" i="4"/>
  <c r="L50" i="4" s="1"/>
  <c r="I47" i="4"/>
  <c r="I26" i="4"/>
  <c r="I24" i="4"/>
  <c r="K23" i="4"/>
  <c r="T23" i="4" s="1"/>
  <c r="K27" i="4"/>
  <c r="X27" i="4" s="1"/>
  <c r="I21" i="4"/>
  <c r="K26" i="4"/>
  <c r="X26" i="4" s="1"/>
  <c r="K21" i="4"/>
  <c r="X21" i="4" s="1"/>
  <c r="K22" i="4"/>
  <c r="P22" i="4" s="1"/>
  <c r="I46" i="4"/>
  <c r="K46" i="4"/>
  <c r="I36" i="4"/>
  <c r="K10" i="4"/>
  <c r="L10" i="4" s="1"/>
  <c r="K11" i="4"/>
  <c r="L11" i="4" s="1"/>
  <c r="K12" i="4"/>
  <c r="T12" i="4" s="1"/>
  <c r="I54" i="4"/>
  <c r="K16" i="4"/>
  <c r="X16" i="4" s="1"/>
  <c r="K13" i="4"/>
  <c r="T13" i="4" s="1"/>
  <c r="I38" i="4"/>
  <c r="K7" i="4"/>
  <c r="P7" i="4" s="1"/>
  <c r="K35" i="4"/>
  <c r="V35" i="4" s="1"/>
  <c r="K42" i="4"/>
  <c r="N42" i="4" s="1"/>
  <c r="K45" i="4"/>
  <c r="N45" i="4" s="1"/>
  <c r="K60" i="4"/>
  <c r="N60" i="4" s="1"/>
  <c r="K56" i="4"/>
  <c r="L56" i="4" s="1"/>
  <c r="K55" i="4"/>
  <c r="L55" i="4" s="1"/>
  <c r="K57" i="4"/>
  <c r="L57" i="4" s="1"/>
  <c r="K58" i="4"/>
  <c r="L58" i="4" s="1"/>
  <c r="K59" i="4"/>
  <c r="N59" i="4" s="1"/>
  <c r="I60" i="4"/>
  <c r="I59" i="4"/>
  <c r="I58" i="4"/>
  <c r="I56" i="4"/>
  <c r="I44" i="4"/>
  <c r="I43" i="4"/>
  <c r="I41" i="4"/>
  <c r="I42" i="4"/>
  <c r="K43" i="4"/>
  <c r="N43" i="4" s="1"/>
  <c r="K44" i="4"/>
  <c r="L44" i="4" s="1"/>
  <c r="I40" i="4"/>
  <c r="K40" i="4"/>
  <c r="X40" i="4" s="1"/>
  <c r="K41" i="4"/>
  <c r="X41" i="4" s="1"/>
  <c r="I32" i="4"/>
  <c r="K31" i="4"/>
  <c r="T31" i="4" s="1"/>
  <c r="I31" i="4"/>
  <c r="K33" i="4"/>
  <c r="V33" i="4" s="1"/>
  <c r="K29" i="4"/>
  <c r="X29" i="4" s="1"/>
  <c r="K32" i="4"/>
  <c r="K30" i="4"/>
  <c r="N30" i="4" s="1"/>
  <c r="I28" i="4"/>
  <c r="K36" i="4"/>
  <c r="K34" i="4"/>
  <c r="V34" i="4" s="1"/>
  <c r="K37" i="4"/>
  <c r="N37" i="4" s="1"/>
  <c r="K38" i="4"/>
  <c r="L38" i="4" s="1"/>
  <c r="K39" i="4"/>
  <c r="X39" i="4" s="1"/>
  <c r="I34" i="4"/>
  <c r="K15" i="4"/>
  <c r="X15" i="4" s="1"/>
  <c r="I18" i="4"/>
  <c r="I16" i="4"/>
  <c r="I15" i="4"/>
  <c r="K17" i="4"/>
  <c r="X17" i="4" s="1"/>
  <c r="K18" i="4"/>
  <c r="N18" i="4" s="1"/>
  <c r="K19" i="4"/>
  <c r="P19" i="4" s="1"/>
  <c r="K20" i="4"/>
  <c r="V20" i="4" s="1"/>
  <c r="I8" i="4"/>
  <c r="I3" i="4"/>
  <c r="K3" i="4"/>
  <c r="T3" i="4" s="1"/>
  <c r="K5" i="4"/>
  <c r="T5" i="4" s="1"/>
  <c r="I6" i="4"/>
  <c r="K6" i="4"/>
  <c r="N6" i="4" s="1"/>
  <c r="I2" i="4"/>
  <c r="K2" i="4"/>
  <c r="L2" i="4" s="1"/>
  <c r="K4" i="4"/>
  <c r="T4" i="4" s="1"/>
  <c r="V26" i="4"/>
  <c r="L59" i="4"/>
  <c r="N46" i="4"/>
  <c r="L32" i="4"/>
  <c r="T22" i="4"/>
  <c r="N36" i="4"/>
  <c r="T11" i="4"/>
  <c r="I10" i="4"/>
  <c r="T24" i="4"/>
  <c r="L46" i="4"/>
  <c r="N58" i="4"/>
  <c r="N32" i="4"/>
  <c r="L36" i="4"/>
  <c r="L45" i="4"/>
  <c r="R9" i="4"/>
  <c r="V28" i="4"/>
  <c r="T36" i="4"/>
  <c r="N56" i="4"/>
  <c r="N28" i="4"/>
  <c r="P9" i="4"/>
  <c r="T32" i="4"/>
  <c r="L22" i="4"/>
  <c r="N16" i="4"/>
  <c r="P8" i="4"/>
  <c r="X32" i="4"/>
  <c r="N9" i="4"/>
  <c r="T9" i="4"/>
  <c r="N8" i="4"/>
  <c r="T8" i="4"/>
  <c r="V36" i="4"/>
  <c r="R6" i="4"/>
  <c r="L53" i="4"/>
  <c r="V23" i="4"/>
  <c r="X25" i="4"/>
  <c r="L12" i="4"/>
  <c r="L43" i="4"/>
  <c r="L52" i="4"/>
  <c r="L28" i="4"/>
  <c r="N26" i="4"/>
  <c r="N14" i="4"/>
  <c r="R16" i="4"/>
  <c r="X36" i="4"/>
  <c r="X24" i="4"/>
  <c r="L27" i="4"/>
  <c r="N25" i="4"/>
  <c r="P26" i="4"/>
  <c r="P14" i="4"/>
  <c r="R27" i="4"/>
  <c r="X23" i="4"/>
  <c r="L24" i="4"/>
  <c r="L54" i="4"/>
  <c r="L6" i="4"/>
  <c r="V24" i="4"/>
  <c r="N24" i="4"/>
  <c r="P25" i="4"/>
  <c r="P13" i="4"/>
  <c r="R26" i="4"/>
  <c r="R14" i="4"/>
  <c r="T28" i="4"/>
  <c r="V32" i="4"/>
  <c r="X34" i="4"/>
  <c r="L25" i="4"/>
  <c r="N23" i="4"/>
  <c r="P24" i="4"/>
  <c r="P12" i="4"/>
  <c r="R25" i="4"/>
  <c r="R13" i="4"/>
  <c r="T27" i="4"/>
  <c r="P23" i="4"/>
  <c r="P11" i="4"/>
  <c r="R24" i="4"/>
  <c r="T26" i="4"/>
  <c r="R23" i="4"/>
  <c r="T37" i="4"/>
  <c r="T25" i="4"/>
  <c r="V40" i="4"/>
  <c r="X18" i="4"/>
  <c r="V27" i="4"/>
  <c r="L23" i="4"/>
  <c r="L20" i="4"/>
  <c r="L8" i="4"/>
  <c r="G8" i="1"/>
  <c r="F2" i="4" s="1"/>
  <c r="F8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2" i="3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N12" i="4" l="1"/>
  <c r="T10" i="4"/>
  <c r="R12" i="4"/>
  <c r="N10" i="4"/>
  <c r="T14" i="4"/>
  <c r="R11" i="4"/>
  <c r="N11" i="4"/>
  <c r="N13" i="4"/>
  <c r="N50" i="4"/>
  <c r="L48" i="4"/>
  <c r="N47" i="4"/>
  <c r="L49" i="4"/>
  <c r="N51" i="4"/>
  <c r="P27" i="4"/>
  <c r="T21" i="4"/>
  <c r="X22" i="4"/>
  <c r="V22" i="4"/>
  <c r="N27" i="4"/>
  <c r="L21" i="4"/>
  <c r="N22" i="4"/>
  <c r="R22" i="4"/>
  <c r="R21" i="4"/>
  <c r="L26" i="4"/>
  <c r="V21" i="4"/>
  <c r="P21" i="4"/>
  <c r="N21" i="4"/>
  <c r="L5" i="4"/>
  <c r="P10" i="4"/>
  <c r="R20" i="4"/>
  <c r="N55" i="4"/>
  <c r="R10" i="4"/>
  <c r="R2" i="4"/>
  <c r="N20" i="4"/>
  <c r="L7" i="4"/>
  <c r="P17" i="4"/>
  <c r="P2" i="4"/>
  <c r="T35" i="4"/>
  <c r="T34" i="4"/>
  <c r="X30" i="4"/>
  <c r="N34" i="4"/>
  <c r="L34" i="4"/>
  <c r="T19" i="4"/>
  <c r="L42" i="4"/>
  <c r="T15" i="4"/>
  <c r="N31" i="4"/>
  <c r="T16" i="4"/>
  <c r="R18" i="4"/>
  <c r="N39" i="4"/>
  <c r="L60" i="4"/>
  <c r="V37" i="4"/>
  <c r="P3" i="4"/>
  <c r="V31" i="4"/>
  <c r="V39" i="4"/>
  <c r="T38" i="4"/>
  <c r="L39" i="4"/>
  <c r="T7" i="4"/>
  <c r="N35" i="4"/>
  <c r="L31" i="4"/>
  <c r="L13" i="4"/>
  <c r="T29" i="4"/>
  <c r="N7" i="4"/>
  <c r="L35" i="4"/>
  <c r="N5" i="4"/>
  <c r="R3" i="4"/>
  <c r="L16" i="4"/>
  <c r="P16" i="4"/>
  <c r="X31" i="4"/>
  <c r="V16" i="4"/>
  <c r="X35" i="4"/>
  <c r="V15" i="4"/>
  <c r="R15" i="4"/>
  <c r="P5" i="4"/>
  <c r="N3" i="4"/>
  <c r="L3" i="4"/>
  <c r="L15" i="4"/>
  <c r="R7" i="4"/>
  <c r="L40" i="4"/>
  <c r="N15" i="4"/>
  <c r="N57" i="4"/>
  <c r="T40" i="4"/>
  <c r="N40" i="4"/>
  <c r="N44" i="4"/>
  <c r="L41" i="4"/>
  <c r="N41" i="4"/>
  <c r="T33" i="4"/>
  <c r="X33" i="4"/>
  <c r="N33" i="4"/>
  <c r="T30" i="4"/>
  <c r="L30" i="4"/>
  <c r="V29" i="4"/>
  <c r="V30" i="4"/>
  <c r="N29" i="4"/>
  <c r="L33" i="4"/>
  <c r="L29" i="4"/>
  <c r="N38" i="4"/>
  <c r="V38" i="4"/>
  <c r="T39" i="4"/>
  <c r="X38" i="4"/>
  <c r="L37" i="4"/>
  <c r="X37" i="4"/>
  <c r="T17" i="4"/>
  <c r="R17" i="4"/>
  <c r="P15" i="4"/>
  <c r="R19" i="4"/>
  <c r="L18" i="4"/>
  <c r="X20" i="4"/>
  <c r="V17" i="4"/>
  <c r="T20" i="4"/>
  <c r="N17" i="4"/>
  <c r="P20" i="4"/>
  <c r="L19" i="4"/>
  <c r="L17" i="4"/>
  <c r="V18" i="4"/>
  <c r="T18" i="4"/>
  <c r="N19" i="4"/>
  <c r="P18" i="4"/>
  <c r="X19" i="4"/>
  <c r="V19" i="4"/>
  <c r="R4" i="4"/>
  <c r="R5" i="4"/>
  <c r="P6" i="4"/>
  <c r="T6" i="4"/>
  <c r="N4" i="4"/>
  <c r="N2" i="4"/>
  <c r="T2" i="4"/>
  <c r="L4" i="4"/>
  <c r="P4" i="4"/>
  <c r="H8" i="1"/>
  <c r="D108" i="1"/>
  <c r="E9" i="1" a="1"/>
  <c r="Y2" i="4" l="1"/>
  <c r="E9" i="1"/>
  <c r="D109" i="1"/>
  <c r="C2" i="4" l="1"/>
  <c r="F9" i="1"/>
  <c r="G9" i="1" s="1"/>
  <c r="D110" i="1"/>
  <c r="AA2" i="4" l="1"/>
  <c r="Z2" i="4"/>
  <c r="F3" i="4"/>
  <c r="Y3" i="4" s="1"/>
  <c r="H9" i="1"/>
  <c r="D111" i="1"/>
  <c r="E10" i="1" a="1"/>
  <c r="E10" i="1" l="1"/>
  <c r="D112" i="1"/>
  <c r="F10" i="1" l="1"/>
  <c r="G10" i="1" s="1"/>
  <c r="C3" i="4"/>
  <c r="D113" i="1"/>
  <c r="AA3" i="4" l="1"/>
  <c r="Z3" i="4"/>
  <c r="H10" i="1"/>
  <c r="F4" i="4"/>
  <c r="Y4" i="4" s="1"/>
  <c r="D114" i="1"/>
  <c r="E11" i="1" a="1"/>
  <c r="E11" i="1" l="1"/>
  <c r="C4" i="4"/>
  <c r="AA4" i="4" s="1"/>
  <c r="D115" i="1"/>
  <c r="Z4" i="4" l="1"/>
  <c r="F11" i="1"/>
  <c r="G11" i="1" s="1"/>
  <c r="D116" i="1"/>
  <c r="H11" i="1" l="1"/>
  <c r="F5" i="4"/>
  <c r="Y5" i="4" s="1"/>
  <c r="D117" i="1"/>
  <c r="E12" i="1" a="1"/>
  <c r="E12" i="1" l="1"/>
  <c r="D118" i="1"/>
  <c r="C5" i="4" l="1"/>
  <c r="Z5" i="4" s="1"/>
  <c r="F12" i="1"/>
  <c r="G12" i="1" s="1"/>
  <c r="D119" i="1"/>
  <c r="AA5" i="4" l="1"/>
  <c r="H12" i="1"/>
  <c r="F6" i="4"/>
  <c r="Y6" i="4" s="1"/>
  <c r="D120" i="1"/>
  <c r="E13" i="1" a="1"/>
  <c r="E13" i="1" l="1"/>
  <c r="C6" i="4"/>
  <c r="AA6" i="4" s="1"/>
  <c r="D121" i="1"/>
  <c r="Z6" i="4" l="1"/>
  <c r="F13" i="1"/>
  <c r="G13" i="1" s="1"/>
  <c r="D122" i="1"/>
  <c r="F7" i="4" l="1"/>
  <c r="Y7" i="4" s="1"/>
  <c r="H13" i="1"/>
  <c r="D123" i="1"/>
  <c r="E14" i="1" a="1"/>
  <c r="E14" i="1" l="1"/>
  <c r="C7" i="4"/>
  <c r="AA7" i="4" s="1"/>
  <c r="D124" i="1"/>
  <c r="Z7" i="4" l="1"/>
  <c r="F14" i="1"/>
  <c r="G14" i="1" s="1"/>
  <c r="D125" i="1"/>
  <c r="F8" i="4" l="1"/>
  <c r="Y8" i="4" s="1"/>
  <c r="H14" i="1"/>
  <c r="D126" i="1"/>
  <c r="E15" i="1" a="1"/>
  <c r="E15" i="1" l="1"/>
  <c r="C8" i="4"/>
  <c r="AA8" i="4" s="1"/>
  <c r="D127" i="1"/>
  <c r="Z8" i="4" l="1"/>
  <c r="F15" i="1"/>
  <c r="G15" i="1" s="1"/>
  <c r="D128" i="1"/>
  <c r="H15" i="1" l="1"/>
  <c r="F9" i="4"/>
  <c r="Y9" i="4" s="1"/>
  <c r="D129" i="1"/>
  <c r="E16" i="1" a="1"/>
  <c r="E16" i="1" l="1"/>
  <c r="D130" i="1"/>
  <c r="C9" i="4" l="1"/>
  <c r="Z9" i="4" s="1"/>
  <c r="F16" i="1"/>
  <c r="G16" i="1" s="1"/>
  <c r="D131" i="1"/>
  <c r="AA9" i="4" l="1"/>
  <c r="H16" i="1"/>
  <c r="F10" i="4"/>
  <c r="Y10" i="4" s="1"/>
  <c r="D132" i="1"/>
  <c r="E17" i="1" a="1"/>
  <c r="E17" i="1" l="1"/>
  <c r="D133" i="1"/>
  <c r="C10" i="4" l="1"/>
  <c r="Z10" i="4" s="1"/>
  <c r="F17" i="1"/>
  <c r="G17" i="1" s="1"/>
  <c r="H17" i="1" s="1"/>
  <c r="D134" i="1"/>
  <c r="E18" i="1" a="1"/>
  <c r="AA10" i="4" l="1"/>
  <c r="E18" i="1"/>
  <c r="C11" i="4"/>
  <c r="F18" i="1"/>
  <c r="G18" i="1" s="1"/>
  <c r="H18" i="1" s="1"/>
  <c r="D135" i="1"/>
  <c r="E19" i="1" a="1"/>
  <c r="E19" i="1" l="1"/>
  <c r="C12" i="4"/>
  <c r="D136" i="1"/>
  <c r="D137" i="1" l="1"/>
  <c r="F19" i="1" l="1"/>
  <c r="G19" i="1" s="1"/>
  <c r="H19" i="1" l="1"/>
  <c r="F13" i="4"/>
  <c r="Y13" i="4" s="1"/>
  <c r="E20" i="1" a="1"/>
  <c r="E20" i="1" l="1"/>
  <c r="C13" i="4" l="1"/>
  <c r="Z13" i="4" s="1"/>
  <c r="F20" i="1"/>
  <c r="G20" i="1" s="1"/>
  <c r="AA13" i="4" l="1"/>
  <c r="H20" i="1"/>
  <c r="F14" i="4"/>
  <c r="Y14" i="4" s="1"/>
  <c r="E21" i="1" a="1"/>
  <c r="E21" i="1" l="1"/>
  <c r="C14" i="4" l="1"/>
  <c r="F21" i="1"/>
  <c r="G21" i="1" s="1"/>
  <c r="AA14" i="4" l="1"/>
  <c r="Z14" i="4"/>
  <c r="H21" i="1"/>
  <c r="F15" i="4"/>
  <c r="Y15" i="4" s="1"/>
  <c r="E22" i="1" a="1"/>
  <c r="E22" i="1" l="1"/>
  <c r="C15" i="4" l="1"/>
  <c r="Z15" i="4" s="1"/>
  <c r="F22" i="1"/>
  <c r="G22" i="1" s="1"/>
  <c r="AA15" i="4" l="1"/>
  <c r="F16" i="4"/>
  <c r="Y16" i="4" s="1"/>
  <c r="H22" i="1"/>
  <c r="E23" i="1" a="1"/>
  <c r="E23" i="1" l="1"/>
  <c r="C16" i="4" l="1"/>
  <c r="F23" i="1"/>
  <c r="G23" i="1" s="1"/>
  <c r="AA16" i="4" l="1"/>
  <c r="Z16" i="4"/>
  <c r="H23" i="1"/>
  <c r="F17" i="4"/>
  <c r="Y17" i="4" s="1"/>
  <c r="E24" i="1" a="1"/>
  <c r="E24" i="1" l="1"/>
  <c r="C17" i="4" l="1"/>
  <c r="Z17" i="4" s="1"/>
  <c r="F24" i="1"/>
  <c r="G24" i="1" s="1"/>
  <c r="AA17" i="4" l="1"/>
  <c r="F18" i="4"/>
  <c r="Y18" i="4" s="1"/>
  <c r="H24" i="1"/>
  <c r="E25" i="1" a="1"/>
  <c r="E25" i="1" l="1"/>
  <c r="C18" i="4"/>
  <c r="AA18" i="4" s="1"/>
  <c r="Z18" i="4" l="1"/>
  <c r="F25" i="1"/>
  <c r="G25" i="1" s="1"/>
  <c r="F19" i="4" l="1"/>
  <c r="Y19" i="4" s="1"/>
  <c r="H25" i="1"/>
  <c r="E26" i="1" a="1"/>
  <c r="E26" i="1" l="1"/>
  <c r="C19" i="4"/>
  <c r="AA19" i="4" s="1"/>
  <c r="Z19" i="4" l="1"/>
  <c r="F26" i="1"/>
  <c r="G26" i="1" s="1"/>
  <c r="H26" i="1" l="1"/>
  <c r="F20" i="4"/>
  <c r="Y20" i="4" s="1"/>
  <c r="E27" i="1" a="1"/>
  <c r="E27" i="1" l="1"/>
  <c r="C20" i="4" l="1"/>
  <c r="Z20" i="4" s="1"/>
  <c r="F27" i="1"/>
  <c r="G27" i="1" s="1"/>
  <c r="AA20" i="4" l="1"/>
  <c r="F21" i="4"/>
  <c r="Y21" i="4" s="1"/>
  <c r="H27" i="1"/>
  <c r="E28" i="1" a="1"/>
  <c r="E28" i="1" l="1"/>
  <c r="C21" i="4"/>
  <c r="AA21" i="4" s="1"/>
  <c r="Z21" i="4" l="1"/>
  <c r="F28" i="1"/>
  <c r="G28" i="1" s="1"/>
  <c r="H28" i="1" s="1"/>
  <c r="E29" i="1" a="1"/>
  <c r="E29" i="1" l="1"/>
  <c r="C22" i="4"/>
  <c r="F29" i="1"/>
  <c r="G29" i="1" s="1"/>
  <c r="H29" i="1" s="1"/>
  <c r="E30" i="1" a="1"/>
  <c r="E30" i="1" l="1"/>
  <c r="F30" i="1"/>
  <c r="G30" i="1" s="1"/>
  <c r="H30" i="1" s="1"/>
  <c r="E31" i="1" a="1"/>
  <c r="E31" i="1" l="1"/>
  <c r="C24" i="4"/>
  <c r="C23" i="4"/>
  <c r="F31" i="1"/>
  <c r="G31" i="1" s="1"/>
  <c r="H31" i="1" s="1"/>
  <c r="E32" i="1" a="1"/>
  <c r="E32" i="1" l="1"/>
  <c r="F32" i="1"/>
  <c r="G32" i="1" s="1"/>
  <c r="H32" i="1" s="1"/>
  <c r="E33" i="1" a="1"/>
  <c r="E33" i="1" l="1"/>
  <c r="C25" i="4"/>
  <c r="F33" i="1"/>
  <c r="G33" i="1" s="1"/>
  <c r="H33" i="1" s="1"/>
  <c r="E34" i="1" a="1"/>
  <c r="E34" i="1" l="1"/>
  <c r="C26" i="4"/>
  <c r="F34" i="1"/>
  <c r="G34" i="1" s="1"/>
  <c r="H34" i="1" s="1"/>
  <c r="E35" i="1" a="1"/>
  <c r="E35" i="1" l="1"/>
  <c r="C28" i="4"/>
  <c r="C27" i="4"/>
  <c r="F35" i="1"/>
  <c r="G35" i="1" s="1"/>
  <c r="H35" i="1" s="1"/>
  <c r="E36" i="1" a="1"/>
  <c r="E36" i="1" l="1"/>
  <c r="C29" i="4"/>
  <c r="F36" i="1"/>
  <c r="G36" i="1" s="1"/>
  <c r="H36" i="1" s="1"/>
  <c r="E37" i="1" a="1"/>
  <c r="E37" i="1" l="1"/>
  <c r="F37" i="1"/>
  <c r="G37" i="1" s="1"/>
  <c r="H37" i="1" s="1"/>
  <c r="E38" i="1" a="1"/>
  <c r="E38" i="1" l="1"/>
  <c r="C31" i="4"/>
  <c r="C30" i="4"/>
  <c r="F38" i="1"/>
  <c r="G38" i="1" s="1"/>
  <c r="H38" i="1" s="1"/>
  <c r="E39" i="1" a="1"/>
  <c r="E39" i="1" l="1"/>
  <c r="F39" i="1"/>
  <c r="G39" i="1" s="1"/>
  <c r="H39" i="1" s="1"/>
  <c r="E40" i="1" a="1"/>
  <c r="E40" i="1" l="1"/>
  <c r="C33" i="4"/>
  <c r="C32" i="4"/>
  <c r="F40" i="1"/>
  <c r="G40" i="1" s="1"/>
  <c r="H40" i="1" s="1"/>
  <c r="E41" i="1" a="1"/>
  <c r="E41" i="1" l="1"/>
  <c r="C34" i="4"/>
  <c r="F41" i="1"/>
  <c r="G41" i="1" s="1"/>
  <c r="H41" i="1" s="1"/>
  <c r="E42" i="1" a="1"/>
  <c r="E42" i="1" l="1"/>
  <c r="C35" i="4"/>
  <c r="F42" i="1"/>
  <c r="G42" i="1" s="1"/>
  <c r="H42" i="1" s="1"/>
  <c r="E43" i="1" a="1"/>
  <c r="E43" i="1" l="1"/>
  <c r="F43" i="1"/>
  <c r="G43" i="1" s="1"/>
  <c r="C36" i="4" l="1"/>
  <c r="H43" i="1"/>
  <c r="F37" i="4"/>
  <c r="Y37" i="4" s="1"/>
  <c r="E44" i="1" a="1"/>
  <c r="E44" i="1" l="1"/>
  <c r="C37" i="4" l="1"/>
  <c r="Z37" i="4" s="1"/>
  <c r="F44" i="1"/>
  <c r="G44" i="1" s="1"/>
  <c r="H44" i="1" s="1"/>
  <c r="E45" i="1" a="1"/>
  <c r="AA37" i="4" l="1"/>
  <c r="E45" i="1"/>
  <c r="C38" i="4"/>
  <c r="F45" i="1"/>
  <c r="G45" i="1" s="1"/>
  <c r="H45" i="1" s="1"/>
  <c r="E46" i="1" a="1"/>
  <c r="E46" i="1" l="1"/>
  <c r="C39" i="4"/>
  <c r="F46" i="1"/>
  <c r="G46" i="1" s="1"/>
  <c r="H46" i="1" s="1"/>
  <c r="E47" i="1" a="1"/>
  <c r="E47" i="1" l="1"/>
  <c r="F47" i="1"/>
  <c r="G47" i="1" s="1"/>
  <c r="H47" i="1" s="1"/>
  <c r="E48" i="1" a="1"/>
  <c r="E48" i="1" l="1"/>
  <c r="C41" i="4"/>
  <c r="C40" i="4"/>
  <c r="F48" i="1"/>
  <c r="G48" i="1" s="1"/>
  <c r="H48" i="1" s="1"/>
  <c r="E49" i="1" a="1"/>
  <c r="E49" i="1" l="1"/>
  <c r="F49" i="1"/>
  <c r="G49" i="1" s="1"/>
  <c r="C42" i="4" l="1"/>
  <c r="F43" i="4"/>
  <c r="Y43" i="4" s="1"/>
  <c r="H49" i="1"/>
  <c r="E50" i="1" a="1"/>
  <c r="E50" i="1" l="1"/>
  <c r="C43" i="4"/>
  <c r="AA43" i="4" s="1"/>
  <c r="Z43" i="4" l="1"/>
  <c r="F50" i="1"/>
  <c r="G50" i="1" s="1"/>
  <c r="H50" i="1" s="1"/>
  <c r="E51" i="1" a="1"/>
  <c r="E51" i="1" l="1"/>
  <c r="C44" i="4"/>
  <c r="F51" i="1"/>
  <c r="G51" i="1" s="1"/>
  <c r="H51" i="1" s="1"/>
  <c r="E52" i="1" a="1"/>
  <c r="E52" i="1" l="1"/>
  <c r="C45" i="4"/>
  <c r="F52" i="1"/>
  <c r="G52" i="1" s="1"/>
  <c r="H52" i="1" s="1"/>
  <c r="E53" i="1" a="1"/>
  <c r="E53" i="1" l="1"/>
  <c r="C46" i="4"/>
  <c r="F53" i="1"/>
  <c r="G53" i="1" s="1"/>
  <c r="H53" i="1" s="1"/>
  <c r="E54" i="1" a="1"/>
  <c r="E54" i="1" l="1"/>
  <c r="F54" i="1"/>
  <c r="G54" i="1" s="1"/>
  <c r="H54" i="1" s="1"/>
  <c r="E55" i="1" a="1"/>
  <c r="E55" i="1" l="1"/>
  <c r="C48" i="4"/>
  <c r="C47" i="4"/>
  <c r="F55" i="1"/>
  <c r="G55" i="1" s="1"/>
  <c r="H55" i="1" s="1"/>
  <c r="E56" i="1" a="1"/>
  <c r="E56" i="1" l="1"/>
  <c r="F56" i="1"/>
  <c r="G56" i="1" s="1"/>
  <c r="H56" i="1" s="1"/>
  <c r="E57" i="1" a="1"/>
  <c r="E57" i="1" l="1"/>
  <c r="C50" i="4"/>
  <c r="C49" i="4"/>
  <c r="F57" i="1"/>
  <c r="G57" i="1" s="1"/>
  <c r="H57" i="1" s="1"/>
  <c r="E58" i="1" a="1"/>
  <c r="E58" i="1" l="1"/>
  <c r="F58" i="1"/>
  <c r="G58" i="1" s="1"/>
  <c r="H58" i="1" s="1"/>
  <c r="E59" i="1" a="1"/>
  <c r="E59" i="1" l="1"/>
  <c r="C52" i="4"/>
  <c r="C51" i="4"/>
  <c r="F59" i="1"/>
  <c r="G59" i="1" s="1"/>
  <c r="H59" i="1" s="1"/>
  <c r="E60" i="1" a="1"/>
  <c r="E60" i="1" l="1"/>
  <c r="F60" i="1"/>
  <c r="G60" i="1" s="1"/>
  <c r="H60" i="1" s="1"/>
  <c r="E61" i="1" a="1"/>
  <c r="E61" i="1" l="1"/>
  <c r="C54" i="4"/>
  <c r="C53" i="4"/>
  <c r="F61" i="1"/>
  <c r="G61" i="1" s="1"/>
  <c r="H61" i="1" s="1"/>
  <c r="E62" i="1" a="1"/>
  <c r="E62" i="1" l="1"/>
  <c r="C55" i="4"/>
  <c r="F62" i="1"/>
  <c r="G62" i="1" s="1"/>
  <c r="H62" i="1" s="1"/>
  <c r="E63" i="1" a="1"/>
  <c r="E63" i="1" l="1"/>
  <c r="C56" i="4"/>
  <c r="F63" i="1"/>
  <c r="G63" i="1" s="1"/>
  <c r="H63" i="1" s="1"/>
  <c r="E64" i="1" a="1"/>
  <c r="E64" i="1" l="1"/>
  <c r="C57" i="4"/>
  <c r="F64" i="1"/>
  <c r="G64" i="1" s="1"/>
  <c r="H64" i="1" s="1"/>
  <c r="E65" i="1" a="1"/>
  <c r="E65" i="1" l="1"/>
  <c r="C58" i="4"/>
  <c r="F65" i="1"/>
  <c r="G65" i="1" s="1"/>
  <c r="H65" i="1" s="1"/>
  <c r="E66" i="1" a="1"/>
  <c r="E66" i="1" l="1"/>
  <c r="F66" i="1"/>
  <c r="G66" i="1" s="1"/>
  <c r="H66" i="1" s="1"/>
  <c r="E67" i="1" a="1"/>
  <c r="E67" i="1" l="1"/>
  <c r="C60" i="4"/>
  <c r="C59" i="4"/>
  <c r="F67" i="1"/>
  <c r="G67" i="1" s="1"/>
  <c r="H67" i="1" s="1"/>
  <c r="E68" i="1" a="1"/>
  <c r="E68" i="1" l="1"/>
  <c r="F68" i="1"/>
  <c r="G68" i="1" s="1"/>
  <c r="H68" i="1" s="1"/>
  <c r="E69" i="1" a="1"/>
  <c r="E69" i="1" l="1"/>
  <c r="C62" i="4"/>
  <c r="C61" i="4"/>
  <c r="F69" i="1"/>
  <c r="G69" i="1" s="1"/>
  <c r="H69" i="1" s="1"/>
  <c r="E70" i="1" a="1"/>
  <c r="E70" i="1" l="1"/>
  <c r="C63" i="4"/>
  <c r="F70" i="1"/>
  <c r="G70" i="1" s="1"/>
  <c r="H70" i="1" s="1"/>
  <c r="E71" i="1" a="1"/>
  <c r="E71" i="1" l="1"/>
  <c r="C64" i="4"/>
  <c r="F71" i="1"/>
  <c r="G71" i="1" s="1"/>
  <c r="H71" i="1" s="1"/>
  <c r="E72" i="1" a="1"/>
  <c r="E72" i="1" l="1"/>
  <c r="F72" i="1"/>
  <c r="G72" i="1" s="1"/>
  <c r="H72" i="1" s="1"/>
  <c r="E73" i="1" a="1"/>
  <c r="E73" i="1" l="1"/>
  <c r="C65" i="4"/>
  <c r="F73" i="1"/>
  <c r="G73" i="1" s="1"/>
  <c r="H73" i="1" s="1"/>
  <c r="E74" i="1" a="1"/>
  <c r="C66" i="4" l="1"/>
  <c r="E74" i="1"/>
  <c r="F74" i="1"/>
  <c r="G74" i="1" s="1"/>
  <c r="H74" i="1" s="1"/>
  <c r="E75" i="1" a="1"/>
  <c r="E75" i="1" l="1"/>
  <c r="C68" i="4"/>
  <c r="C67" i="4"/>
  <c r="F75" i="1"/>
  <c r="G75" i="1" s="1"/>
  <c r="H75" i="1" s="1"/>
  <c r="E76" i="1" a="1"/>
  <c r="E76" i="1" l="1"/>
  <c r="C69" i="4"/>
  <c r="F76" i="1"/>
  <c r="G76" i="1" s="1"/>
  <c r="H76" i="1" s="1"/>
  <c r="E77" i="1" a="1"/>
  <c r="E77" i="1" l="1"/>
  <c r="C70" i="4"/>
  <c r="F77" i="1"/>
  <c r="G77" i="1" s="1"/>
  <c r="H77" i="1" s="1"/>
  <c r="E78" i="1" a="1"/>
  <c r="E78" i="1" l="1"/>
  <c r="F78" i="1"/>
  <c r="G78" i="1" s="1"/>
  <c r="H78" i="1" s="1"/>
  <c r="E79" i="1" a="1"/>
  <c r="E79" i="1" l="1"/>
  <c r="C72" i="4"/>
  <c r="C71" i="4"/>
  <c r="F79" i="1"/>
  <c r="G79" i="1" s="1"/>
  <c r="H79" i="1" s="1"/>
  <c r="E80" i="1" a="1"/>
  <c r="E80" i="1" l="1"/>
  <c r="C73" i="4"/>
  <c r="F80" i="1"/>
  <c r="G80" i="1" s="1"/>
  <c r="H80" i="1" s="1"/>
  <c r="E81" i="1" a="1"/>
  <c r="E81" i="1" l="1"/>
  <c r="C74" i="4"/>
  <c r="F81" i="1"/>
  <c r="G81" i="1" s="1"/>
  <c r="H81" i="1" s="1"/>
  <c r="E82" i="1" a="1"/>
  <c r="E82" i="1" l="1"/>
  <c r="F82" i="1"/>
  <c r="G82" i="1" s="1"/>
  <c r="H82" i="1" s="1"/>
  <c r="E83" i="1" a="1"/>
  <c r="E83" i="1" l="1"/>
  <c r="C76" i="4"/>
  <c r="C75" i="4"/>
  <c r="F83" i="1"/>
  <c r="G83" i="1" s="1"/>
  <c r="H83" i="1" s="1"/>
  <c r="E84" i="1" a="1"/>
  <c r="E84" i="1" l="1"/>
  <c r="F84" i="1"/>
  <c r="G84" i="1" s="1"/>
  <c r="H84" i="1" s="1"/>
  <c r="E85" i="1" a="1"/>
  <c r="E85" i="1" l="1"/>
  <c r="C77" i="4"/>
  <c r="F85" i="1"/>
  <c r="G85" i="1" s="1"/>
  <c r="H85" i="1" s="1"/>
  <c r="E86" i="1" a="1"/>
  <c r="E86" i="1" l="1"/>
  <c r="C79" i="4"/>
  <c r="C78" i="4"/>
  <c r="F86" i="1"/>
  <c r="G86" i="1" s="1"/>
  <c r="H86" i="1" s="1"/>
  <c r="E87" i="1" a="1"/>
  <c r="E87" i="1" l="1"/>
  <c r="C80" i="4"/>
  <c r="F87" i="1"/>
  <c r="G87" i="1" s="1"/>
  <c r="H87" i="1" s="1"/>
  <c r="E88" i="1" a="1"/>
  <c r="E88" i="1" l="1"/>
  <c r="F88" i="1"/>
  <c r="G88" i="1" s="1"/>
  <c r="H88" i="1" s="1"/>
  <c r="E89" i="1" a="1"/>
  <c r="E89" i="1" l="1"/>
  <c r="C81" i="4"/>
  <c r="F89" i="1"/>
  <c r="G89" i="1" s="1"/>
  <c r="H89" i="1" s="1"/>
  <c r="E90" i="1" a="1"/>
  <c r="E90" i="1" l="1"/>
  <c r="C83" i="4"/>
  <c r="C82" i="4"/>
  <c r="F90" i="1"/>
  <c r="G90" i="1" s="1"/>
  <c r="H90" i="1" s="1"/>
  <c r="E91" i="1" a="1"/>
  <c r="E91" i="1" l="1"/>
  <c r="F91" i="1"/>
  <c r="G91" i="1" s="1"/>
  <c r="H91" i="1" s="1"/>
  <c r="E92" i="1" a="1"/>
  <c r="E92" i="1" l="1"/>
  <c r="C84" i="4"/>
  <c r="F92" i="1"/>
  <c r="G92" i="1" s="1"/>
  <c r="H92" i="1" s="1"/>
  <c r="E93" i="1" a="1"/>
  <c r="E93" i="1" l="1"/>
  <c r="C85" i="4"/>
  <c r="F93" i="1"/>
  <c r="G93" i="1" s="1"/>
  <c r="H93" i="1" s="1"/>
  <c r="E94" i="1" a="1"/>
  <c r="E94" i="1" l="1"/>
  <c r="C87" i="4"/>
  <c r="C86" i="4"/>
  <c r="F94" i="1"/>
  <c r="G94" i="1" s="1"/>
  <c r="H94" i="1" s="1"/>
  <c r="E95" i="1" a="1"/>
  <c r="E95" i="1" l="1"/>
  <c r="C88" i="4"/>
  <c r="F95" i="1"/>
  <c r="G95" i="1" s="1"/>
  <c r="H95" i="1" s="1"/>
  <c r="E96" i="1" a="1"/>
  <c r="E96" i="1" l="1"/>
  <c r="F96" i="1"/>
  <c r="G96" i="1" s="1"/>
  <c r="H96" i="1" s="1"/>
  <c r="E97" i="1" a="1"/>
  <c r="E97" i="1" l="1"/>
  <c r="C89" i="4"/>
  <c r="F97" i="1"/>
  <c r="G97" i="1" s="1"/>
  <c r="H97" i="1" s="1"/>
  <c r="E98" i="1" a="1"/>
  <c r="E98" i="1" l="1"/>
  <c r="C90" i="4"/>
  <c r="F98" i="1"/>
  <c r="G98" i="1" s="1"/>
  <c r="H98" i="1" s="1"/>
  <c r="E99" i="1" a="1"/>
  <c r="E99" i="1" l="1"/>
  <c r="C91" i="4"/>
  <c r="F99" i="1"/>
  <c r="G99" i="1" s="1"/>
  <c r="H99" i="1" s="1"/>
  <c r="E100" i="1" a="1"/>
  <c r="E100" i="1" l="1"/>
  <c r="C92" i="4"/>
  <c r="F100" i="1"/>
  <c r="G100" i="1" s="1"/>
  <c r="H100" i="1" s="1"/>
  <c r="E101" i="1" a="1"/>
  <c r="E101" i="1" l="1"/>
  <c r="C93" i="4"/>
  <c r="F101" i="1"/>
  <c r="G101" i="1" s="1"/>
  <c r="H101" i="1" s="1"/>
  <c r="E102" i="1" a="1"/>
  <c r="E102" i="1" l="1"/>
  <c r="C95" i="4"/>
  <c r="C94" i="4"/>
  <c r="F102" i="1"/>
  <c r="G102" i="1" s="1"/>
  <c r="H102" i="1" s="1"/>
  <c r="E103" i="1" a="1"/>
  <c r="E103" i="1" l="1"/>
  <c r="F103" i="1"/>
  <c r="G103" i="1" s="1"/>
  <c r="H103" i="1" s="1"/>
  <c r="E104" i="1" a="1"/>
  <c r="E104" i="1" l="1"/>
  <c r="C97" i="4"/>
  <c r="C96" i="4"/>
  <c r="F104" i="1"/>
  <c r="G104" i="1" s="1"/>
  <c r="H104" i="1" s="1"/>
  <c r="E105" i="1" a="1"/>
  <c r="E105" i="1" l="1"/>
  <c r="C98" i="4"/>
  <c r="F105" i="1"/>
  <c r="G105" i="1" s="1"/>
  <c r="H105" i="1" s="1"/>
  <c r="E106" i="1" a="1"/>
  <c r="E106" i="1" l="1"/>
  <c r="F106" i="1"/>
  <c r="G106" i="1" s="1"/>
  <c r="H106" i="1" s="1"/>
  <c r="E107" i="1" a="1"/>
  <c r="E107" i="1" l="1"/>
  <c r="C99" i="4"/>
  <c r="F107" i="1"/>
  <c r="G107" i="1" s="1"/>
  <c r="H107" i="1" s="1"/>
  <c r="E108" i="1" a="1"/>
  <c r="E108" i="1" l="1"/>
  <c r="C100" i="4"/>
  <c r="F108" i="1"/>
  <c r="G108" i="1" s="1"/>
  <c r="H108" i="1" s="1"/>
  <c r="E109" i="1" a="1"/>
  <c r="E109" i="1" l="1"/>
  <c r="C102" i="4"/>
  <c r="C101" i="4"/>
  <c r="F109" i="1"/>
  <c r="G109" i="1" s="1"/>
  <c r="H109" i="1" s="1"/>
  <c r="E110" i="1" a="1"/>
  <c r="E110" i="1" l="1"/>
  <c r="C103" i="4"/>
  <c r="F110" i="1"/>
  <c r="G110" i="1" s="1"/>
  <c r="H110" i="1" s="1"/>
  <c r="E111" i="1" a="1"/>
  <c r="E111" i="1" l="1"/>
  <c r="F111" i="1"/>
  <c r="G111" i="1" s="1"/>
  <c r="H111" i="1" s="1"/>
  <c r="E112" i="1" a="1"/>
  <c r="E112" i="1" l="1"/>
  <c r="C105" i="4"/>
  <c r="C104" i="4"/>
  <c r="F112" i="1"/>
  <c r="G112" i="1" s="1"/>
  <c r="H112" i="1" s="1"/>
  <c r="E113" i="1" a="1"/>
  <c r="E113" i="1" l="1"/>
  <c r="F113" i="1"/>
  <c r="G113" i="1" s="1"/>
  <c r="H113" i="1" s="1"/>
  <c r="E114" i="1" a="1"/>
  <c r="E114" i="1" l="1"/>
  <c r="C107" i="4"/>
  <c r="C106" i="4"/>
  <c r="F114" i="1"/>
  <c r="G114" i="1" s="1"/>
  <c r="H114" i="1" s="1"/>
  <c r="E115" i="1" a="1"/>
  <c r="E115" i="1" l="1"/>
  <c r="F115" i="1"/>
  <c r="G115" i="1" s="1"/>
  <c r="H115" i="1" s="1"/>
  <c r="E116" i="1" a="1"/>
  <c r="E116" i="1" l="1"/>
  <c r="C109" i="4"/>
  <c r="C108" i="4"/>
  <c r="F116" i="1"/>
  <c r="G116" i="1" s="1"/>
  <c r="H116" i="1" s="1"/>
  <c r="E117" i="1" a="1"/>
  <c r="E117" i="1" l="1"/>
  <c r="C110" i="4"/>
  <c r="F117" i="1"/>
  <c r="G117" i="1" s="1"/>
  <c r="H117" i="1" s="1"/>
  <c r="E118" i="1" a="1"/>
  <c r="E118" i="1" l="1"/>
  <c r="C111" i="4"/>
  <c r="F118" i="1"/>
  <c r="G118" i="1" s="1"/>
  <c r="H118" i="1" s="1"/>
  <c r="E119" i="1" a="1"/>
  <c r="E119" i="1" l="1"/>
  <c r="C112" i="4"/>
  <c r="F119" i="1"/>
  <c r="G119" i="1" s="1"/>
  <c r="H119" i="1" s="1"/>
  <c r="E120" i="1" a="1"/>
  <c r="E120" i="1" l="1"/>
  <c r="C113" i="4"/>
  <c r="F120" i="1"/>
  <c r="G120" i="1" s="1"/>
  <c r="H120" i="1" s="1"/>
  <c r="E121" i="1" a="1"/>
  <c r="E121" i="1" l="1"/>
  <c r="F121" i="1"/>
  <c r="G121" i="1" s="1"/>
  <c r="H121" i="1" s="1"/>
  <c r="E122" i="1" a="1"/>
  <c r="E122" i="1" l="1"/>
  <c r="C114" i="4"/>
  <c r="F122" i="1"/>
  <c r="G122" i="1" s="1"/>
  <c r="H122" i="1" s="1"/>
  <c r="E123" i="1" a="1"/>
  <c r="E123" i="1" l="1"/>
  <c r="C115" i="4"/>
  <c r="F123" i="1"/>
  <c r="G123" i="1" s="1"/>
  <c r="H123" i="1" s="1"/>
  <c r="E124" i="1" a="1"/>
  <c r="E124" i="1" l="1"/>
  <c r="C117" i="4"/>
  <c r="C116" i="4"/>
  <c r="F124" i="1"/>
  <c r="G124" i="1" s="1"/>
  <c r="H124" i="1" s="1"/>
  <c r="F11" i="4"/>
  <c r="Y11" i="4" s="1"/>
  <c r="F12" i="4"/>
  <c r="Y12" i="4" s="1"/>
  <c r="E125" i="1" a="1"/>
  <c r="AA11" i="4" l="1"/>
  <c r="Z11" i="4"/>
  <c r="AA12" i="4"/>
  <c r="Z12" i="4"/>
  <c r="E125" i="1"/>
  <c r="C118" i="4"/>
  <c r="F125" i="1"/>
  <c r="G125" i="1" s="1"/>
  <c r="H125" i="1" s="1"/>
  <c r="E126" i="1" a="1"/>
  <c r="E126" i="1" l="1"/>
  <c r="C119" i="4"/>
  <c r="F126" i="1"/>
  <c r="G126" i="1" s="1"/>
  <c r="H126" i="1" s="1"/>
  <c r="E127" i="1" a="1"/>
  <c r="E127" i="1" l="1"/>
  <c r="F127" i="1"/>
  <c r="G127" i="1" s="1"/>
  <c r="H127" i="1" s="1"/>
  <c r="E128" i="1" a="1"/>
  <c r="E128" i="1" l="1"/>
  <c r="C120" i="4"/>
  <c r="F128" i="1"/>
  <c r="G128" i="1" s="1"/>
  <c r="H128" i="1" s="1"/>
  <c r="E129" i="1" a="1"/>
  <c r="E129" i="1" l="1"/>
  <c r="C121" i="4"/>
  <c r="F129" i="1"/>
  <c r="G129" i="1" s="1"/>
  <c r="H129" i="1" s="1"/>
  <c r="E130" i="1" a="1"/>
  <c r="E130" i="1" l="1"/>
  <c r="C123" i="4"/>
  <c r="C122" i="4"/>
  <c r="F130" i="1"/>
  <c r="G130" i="1" s="1"/>
  <c r="H130" i="1" s="1"/>
  <c r="E131" i="1" a="1"/>
  <c r="E131" i="1" l="1"/>
  <c r="C124" i="4"/>
  <c r="F131" i="1"/>
  <c r="G131" i="1" s="1"/>
  <c r="H131" i="1" s="1"/>
  <c r="E132" i="1" a="1"/>
  <c r="E132" i="1" l="1"/>
  <c r="F132" i="1"/>
  <c r="G132" i="1" s="1"/>
  <c r="H132" i="1" s="1"/>
  <c r="E133" i="1" a="1"/>
  <c r="E133" i="1" l="1"/>
  <c r="C126" i="4"/>
  <c r="C125" i="4"/>
  <c r="F133" i="1"/>
  <c r="G133" i="1" s="1"/>
  <c r="H133" i="1" s="1"/>
  <c r="E134" i="1" a="1"/>
  <c r="E134" i="1" l="1"/>
  <c r="C127" i="4"/>
  <c r="F134" i="1"/>
  <c r="G134" i="1" s="1"/>
  <c r="H134" i="1" s="1"/>
  <c r="F22" i="4"/>
  <c r="Y22" i="4" s="1"/>
  <c r="F23" i="4"/>
  <c r="Y23" i="4" s="1"/>
  <c r="F24" i="4"/>
  <c r="Y24" i="4" s="1"/>
  <c r="F25" i="4"/>
  <c r="Y25" i="4" s="1"/>
  <c r="F26" i="4"/>
  <c r="Y26" i="4" s="1"/>
  <c r="F27" i="4"/>
  <c r="Y27" i="4" s="1"/>
  <c r="F28" i="4"/>
  <c r="Y28" i="4" s="1"/>
  <c r="F29" i="4"/>
  <c r="Y29" i="4" s="1"/>
  <c r="F30" i="4"/>
  <c r="Y30" i="4" s="1"/>
  <c r="F31" i="4"/>
  <c r="Y31" i="4" s="1"/>
  <c r="F32" i="4"/>
  <c r="Y32" i="4" s="1"/>
  <c r="F33" i="4"/>
  <c r="Y33" i="4" s="1"/>
  <c r="F34" i="4"/>
  <c r="Y34" i="4" s="1"/>
  <c r="F35" i="4"/>
  <c r="Y35" i="4" s="1"/>
  <c r="F36" i="4"/>
  <c r="Y36" i="4" s="1"/>
  <c r="E135" i="1" a="1"/>
  <c r="AA27" i="4" l="1"/>
  <c r="Z27" i="4"/>
  <c r="AA26" i="4"/>
  <c r="Z26" i="4"/>
  <c r="AA24" i="4"/>
  <c r="Z24" i="4"/>
  <c r="AA34" i="4"/>
  <c r="Z34" i="4"/>
  <c r="AA32" i="4"/>
  <c r="Z32" i="4"/>
  <c r="AA36" i="4"/>
  <c r="Z36" i="4"/>
  <c r="AA22" i="4"/>
  <c r="Z22" i="4"/>
  <c r="AA31" i="4"/>
  <c r="Z31" i="4"/>
  <c r="AA25" i="4"/>
  <c r="Z25" i="4"/>
  <c r="AA23" i="4"/>
  <c r="Z23" i="4"/>
  <c r="AA30" i="4"/>
  <c r="Z30" i="4"/>
  <c r="AA28" i="4"/>
  <c r="Z28" i="4"/>
  <c r="AA35" i="4"/>
  <c r="Z35" i="4"/>
  <c r="AA33" i="4"/>
  <c r="Z33" i="4"/>
  <c r="AA29" i="4"/>
  <c r="Z29" i="4"/>
  <c r="E135" i="1"/>
  <c r="C128" i="4"/>
  <c r="F135" i="1"/>
  <c r="G135" i="1" s="1"/>
  <c r="H135" i="1" s="1"/>
  <c r="E136" i="1" a="1"/>
  <c r="E136" i="1" l="1"/>
  <c r="C129" i="4"/>
  <c r="F136" i="1"/>
  <c r="G136" i="1" s="1"/>
  <c r="H136" i="1" s="1"/>
  <c r="F38" i="4"/>
  <c r="Y38" i="4" s="1"/>
  <c r="F39" i="4"/>
  <c r="Y39" i="4" s="1"/>
  <c r="F40" i="4"/>
  <c r="Y40" i="4" s="1"/>
  <c r="F41" i="4"/>
  <c r="Y41" i="4" s="1"/>
  <c r="F42" i="4"/>
  <c r="Y42" i="4" s="1"/>
  <c r="E137" i="1" a="1"/>
  <c r="AA42" i="4" l="1"/>
  <c r="Z42" i="4"/>
  <c r="AA39" i="4"/>
  <c r="Z39" i="4"/>
  <c r="AA40" i="4"/>
  <c r="Z40" i="4"/>
  <c r="AA41" i="4"/>
  <c r="Z41" i="4"/>
  <c r="AA38" i="4"/>
  <c r="Z38" i="4"/>
  <c r="E137" i="1"/>
  <c r="F137" i="1"/>
  <c r="G137" i="1" s="1"/>
  <c r="C130" i="4" l="1"/>
  <c r="F44" i="4"/>
  <c r="Y44" i="4" s="1"/>
  <c r="F45" i="4"/>
  <c r="Y45" i="4" s="1"/>
  <c r="F46" i="4"/>
  <c r="Y46" i="4" s="1"/>
  <c r="F47" i="4"/>
  <c r="Y47" i="4" s="1"/>
  <c r="F48" i="4"/>
  <c r="Y48" i="4" s="1"/>
  <c r="F49" i="4"/>
  <c r="Y49" i="4" s="1"/>
  <c r="F50" i="4"/>
  <c r="Y50" i="4" s="1"/>
  <c r="F51" i="4"/>
  <c r="Y51" i="4" s="1"/>
  <c r="F52" i="4"/>
  <c r="Y52" i="4" s="1"/>
  <c r="F53" i="4"/>
  <c r="Y53" i="4" s="1"/>
  <c r="F54" i="4"/>
  <c r="Y54" i="4" s="1"/>
  <c r="F55" i="4"/>
  <c r="Y55" i="4" s="1"/>
  <c r="F56" i="4"/>
  <c r="Y56" i="4" s="1"/>
  <c r="F57" i="4"/>
  <c r="Y57" i="4" s="1"/>
  <c r="F58" i="4"/>
  <c r="Y58" i="4" s="1"/>
  <c r="F59" i="4"/>
  <c r="Y59" i="4" s="1"/>
  <c r="F60" i="4"/>
  <c r="Y60" i="4" s="1"/>
  <c r="H137" i="1"/>
  <c r="AA47" i="4" l="1"/>
  <c r="Z47" i="4"/>
  <c r="AA53" i="4"/>
  <c r="Z53" i="4"/>
  <c r="AA49" i="4"/>
  <c r="Z49" i="4"/>
  <c r="AA46" i="4"/>
  <c r="Z46" i="4"/>
  <c r="AA50" i="4"/>
  <c r="Z50" i="4"/>
  <c r="AA59" i="4"/>
  <c r="Z59" i="4"/>
  <c r="AA57" i="4"/>
  <c r="Z57" i="4"/>
  <c r="AA45" i="4"/>
  <c r="Z45" i="4"/>
  <c r="AA54" i="4"/>
  <c r="Z54" i="4"/>
  <c r="AA51" i="4"/>
  <c r="Z51" i="4"/>
  <c r="AA48" i="4"/>
  <c r="Z48" i="4"/>
  <c r="AA56" i="4"/>
  <c r="Z56" i="4"/>
  <c r="AA44" i="4"/>
  <c r="Z44" i="4"/>
  <c r="AA52" i="4"/>
  <c r="Z52" i="4"/>
  <c r="AA60" i="4"/>
  <c r="Z60" i="4"/>
  <c r="AA58" i="4"/>
  <c r="Z58" i="4"/>
  <c r="AA55" i="4"/>
  <c r="Z55" i="4"/>
  <c r="C13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Mason Green</author>
  </authors>
  <commentList>
    <comment ref="C1" authorId="0" shapeId="0" xr:uid="{42287D5F-9D59-4F42-98EF-7A836CBCC013}">
      <text>
        <r>
          <rPr>
            <b/>
            <sz val="9"/>
            <color indexed="81"/>
            <rFont val="Tahoma"/>
            <charset val="1"/>
          </rPr>
          <t>Mason Green:</t>
        </r>
        <r>
          <rPr>
            <sz val="9"/>
            <color indexed="81"/>
            <rFont val="Tahoma"/>
            <charset val="1"/>
          </rPr>
          <t xml:space="preserve">
Subtract EL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</futureMetadata>
  <cellMetadata count="1">
    <bk>
      <rc t="1" v="0"/>
    </bk>
  </cellMetadata>
  <valueMetadata count="12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max_pu = xl(%P2%)/2
budget = 0.1*xl(%P3%)
delta = max_pu - xl(%P4%)
buy = 0
if budget &lt; delta:
    buy = budget
else:
    buy = max(0,delta)
buy</code>
    </pythonScript>
  </pythonScripts>
</python>
</file>

<file path=xl/sharedStrings.xml><?xml version="1.0" encoding="utf-8"?>
<sst xmlns="http://schemas.openxmlformats.org/spreadsheetml/2006/main" count="56" uniqueCount="48">
  <si>
    <t>PU</t>
  </si>
  <si>
    <t>NHV</t>
  </si>
  <si>
    <t>RAW</t>
  </si>
  <si>
    <t>IU</t>
  </si>
  <si>
    <t>tax</t>
  </si>
  <si>
    <t>Turn</t>
  </si>
  <si>
    <t>EL</t>
  </si>
  <si>
    <t>SL</t>
  </si>
  <si>
    <t>TRP</t>
  </si>
  <si>
    <t>GHP</t>
  </si>
  <si>
    <t>R&amp;D</t>
  </si>
  <si>
    <t>Growth</t>
  </si>
  <si>
    <t>EL Level</t>
  </si>
  <si>
    <t>ERP Cost</t>
  </si>
  <si>
    <t>EL_MOD</t>
  </si>
  <si>
    <t>Year</t>
  </si>
  <si>
    <t>Month</t>
  </si>
  <si>
    <t>Military</t>
  </si>
  <si>
    <t>Terraforming</t>
  </si>
  <si>
    <t>Espionage</t>
  </si>
  <si>
    <t>Total</t>
  </si>
  <si>
    <t>IU Total</t>
  </si>
  <si>
    <t>Start IU</t>
  </si>
  <si>
    <t>IU Buy</t>
  </si>
  <si>
    <t>ERP</t>
  </si>
  <si>
    <t>SRP</t>
  </si>
  <si>
    <t>ERP-PP</t>
  </si>
  <si>
    <t>SRP-PP</t>
  </si>
  <si>
    <t>WEP</t>
  </si>
  <si>
    <t>ELI</t>
  </si>
  <si>
    <t>CIC</t>
  </si>
  <si>
    <t>TER</t>
  </si>
  <si>
    <t>SLD</t>
  </si>
  <si>
    <t>CLK</t>
  </si>
  <si>
    <t>Total R&amp;D</t>
  </si>
  <si>
    <t>CNST-PP</t>
  </si>
  <si>
    <t>WEP-PP</t>
  </si>
  <si>
    <t>ELI-PP</t>
  </si>
  <si>
    <t>CIC-PP</t>
  </si>
  <si>
    <t>TER-PP</t>
  </si>
  <si>
    <t>SLD-PP</t>
  </si>
  <si>
    <t>CLK-PP</t>
  </si>
  <si>
    <t>SRP Cost</t>
  </si>
  <si>
    <t>TRP Cost</t>
  </si>
  <si>
    <t>Tech Level</t>
  </si>
  <si>
    <t>Tech Lvl</t>
  </si>
  <si>
    <t>In Budget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</si>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</sst>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9" formatCode="_(* #,##0_);_(* \(#,##0\);_(* &quot;-&quot;??_);_(@_)"/>
    <numFmt numFmtId="173" formatCode="_(* #,##0_);_(* \(#,##0\);_(* &quot;-&quot;?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name val="Segoe UI"/>
      <family val="2"/>
    </font>
    <font>
      <sz val="12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9" fontId="0" fillId="0" borderId="0" xfId="2" applyFont="1"/>
    <xf numFmtId="2" fontId="0" fillId="0" borderId="0" xfId="2" applyNumberFormat="1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69" fontId="0" fillId="0" borderId="0" xfId="1" applyNumberFormat="1" applyFont="1" applyFill="1"/>
    <xf numFmtId="169" fontId="0" fillId="0" borderId="0" xfId="1" applyNumberFormat="1" applyFont="1" applyAlignment="1">
      <alignment horizontal="right"/>
    </xf>
    <xf numFmtId="169" fontId="0" fillId="0" borderId="0" xfId="1" applyNumberFormat="1" applyFont="1"/>
    <xf numFmtId="9" fontId="0" fillId="0" borderId="0" xfId="0" applyNumberFormat="1"/>
    <xf numFmtId="1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 vertical="center"/>
    </xf>
    <xf numFmtId="1" fontId="1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/>
    <xf numFmtId="173" fontId="0" fillId="0" borderId="0" xfId="0" applyNumberFormat="1"/>
    <xf numFmtId="173" fontId="0" fillId="4" borderId="0" xfId="0" applyNumberFormat="1" applyFill="1"/>
    <xf numFmtId="173" fontId="0" fillId="5" borderId="0" xfId="0" applyNumberFormat="1" applyFill="1"/>
    <xf numFmtId="1" fontId="0" fillId="5" borderId="0" xfId="0" applyNumberFormat="1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 indent="1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4" borderId="0" xfId="0" applyNumberFormat="1" applyFill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9" formatCode="_(* #,##0_);_(* \(#,##0\);_(* &quot;-&quot;??_);_(@_)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9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9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9" formatCode="_(* #,##0_);_(* \(#,##0\);_(* &quot;-&quot;??_);_(@_)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9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9" formatCode="_(* #,##0_);_(* \(#,##0\);_(* &quot;-&quot;??_);_(@_)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theme" Target="theme/theme1.xml"/><Relationship Id="rId15" Type="http://schemas.microsoft.com/office/2023/09/relationships/Python" Target="pytho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9">
  <rv s="0">
    <fb>44.625</fb>
    <v>&lt;class 'float'&gt;</v>
    <v>float</v>
    <v>44.625</v>
    <v>44.625</v>
    <v>0</v>
  </rv>
  <rv s="0">
    <fb>47.849812500000013</fb>
    <v>&lt;class 'float'&gt;</v>
    <v>float</v>
    <v>47.84981250000001</v>
    <v>47.849812500000013</v>
    <v>0</v>
  </rv>
  <rv s="0">
    <fb>51.261567656250008</fb>
    <v>&lt;class 'float'&gt;</v>
    <v>float</v>
    <v>51.26156765625001</v>
    <v>51.261567656250008</v>
    <v>0</v>
  </rv>
  <rv s="0">
    <fb>54.87043275820313</fb>
    <v>&lt;class 'float'&gt;</v>
    <v>float</v>
    <v>54.87043275820313</v>
    <v>54.87043275820313</v>
    <v>0</v>
  </rv>
  <rv s="0">
    <fb>58.687115934008801</fb>
    <v>&lt;class 'float'&gt;</v>
    <v>float</v>
    <v>58.6871159340088</v>
    <v>58.687115934008801</v>
    <v>0</v>
  </rv>
  <rv s="0">
    <fb>62.722894685664272</fb>
    <v>&lt;class 'float'&gt;</v>
    <v>float</v>
    <v>62.72289468566427</v>
    <v>62.722894685664272</v>
    <v>0</v>
  </rv>
  <rv s="0">
    <fb>70.179629064373756</fb>
    <v>&lt;class 'float'&gt;</v>
    <v>float</v>
    <v>70.17962906437376</v>
    <v>70.179629064373756</v>
    <v>0</v>
  </rv>
  <rv s="0">
    <fb>75.08008273831426</fb>
    <v>&lt;class 'float'&gt;</v>
    <v>float</v>
    <v>75.08008273831426</v>
    <v>75.08008273831426</v>
    <v>0</v>
  </rv>
  <rv s="0">
    <fb>26.662343484556288</fb>
    <v>&lt;class 'float'&gt;</v>
    <v>float</v>
    <v>26.66234348455629</v>
    <v>26.662343484556288</v>
    <v>0</v>
  </rv>
  <rv s="0">
    <fb>10.038777576427435</fb>
    <v>&lt;class 'float'&gt;</v>
    <v>float</v>
    <v>10.038777576427435</v>
    <v>10.038777576427435</v>
    <v>0</v>
  </rv>
  <rv s="0">
    <fb>10.239553127955958</fb>
    <v>&lt;class 'float'&gt;</v>
    <v>float</v>
    <v>10.239553127955958</v>
    <v>10.239553127955958</v>
    <v>0</v>
  </rv>
  <rv s="0">
    <fb>10.444344190515039</fb>
    <v>&lt;class 'float'&gt;</v>
    <v>float</v>
    <v>10.44434419051504</v>
    <v>10.444344190515039</v>
    <v>0</v>
  </rv>
  <rv s="0">
    <fb>10.65323107432539</fb>
    <v>&lt;class 'float'&gt;</v>
    <v>float</v>
    <v>10.65323107432539</v>
    <v>10.65323107432539</v>
    <v>0</v>
  </rv>
  <rv s="0">
    <fb>10.866295695811914</fb>
    <v>&lt;class 'float'&gt;</v>
    <v>float</v>
    <v>10.866295695811914</v>
    <v>10.866295695811914</v>
    <v>0</v>
  </rv>
  <rv s="0">
    <fb>11.083621609728084</fb>
    <v>&lt;class 'float'&gt;</v>
    <v>float</v>
    <v>11.083621609728084</v>
    <v>11.083621609728084</v>
    <v>0</v>
  </rv>
  <rv s="0">
    <fb>11.305294041922707</fb>
    <v>&lt;class 'float'&gt;</v>
    <v>float</v>
    <v>11.305294041922707</v>
    <v>11.305294041922707</v>
    <v>0</v>
  </rv>
  <rv s="0">
    <fb>11.531399922761125</fb>
    <v>&lt;class 'float'&gt;</v>
    <v>float</v>
    <v>11.531399922761125</v>
    <v>11.531399922761125</v>
    <v>0</v>
  </rv>
  <rv s="0">
    <fb>11.762027921216372</fb>
    <v>&lt;class 'float'&gt;</v>
    <v>float</v>
    <v>11.762027921216372</v>
    <v>11.762027921216372</v>
    <v>0</v>
  </rv>
  <rv s="0">
    <fb>11.997268479640752</fb>
    <v>&lt;class 'float'&gt;</v>
    <v>float</v>
    <v>11.997268479640752</v>
    <v>11.997268479640752</v>
    <v>0</v>
  </rv>
  <rv s="0">
    <fb>12.237213849233513</fb>
    <v>&lt;class 'float'&gt;</v>
    <v>float</v>
    <v>12.237213849233513</v>
    <v>12.237213849233513</v>
    <v>0</v>
  </rv>
  <rv s="0">
    <fb>12.48195812621816</fb>
    <v>&lt;class 'float'&gt;</v>
    <v>float</v>
    <v>12.48195812621816</v>
    <v>12.48195812621816</v>
    <v>0</v>
  </rv>
  <rv s="0">
    <fb>12.731597288742591</fb>
    <v>&lt;class 'float'&gt;</v>
    <v>float</v>
    <v>12.731597288742591</v>
    <v>12.731597288742591</v>
    <v>0</v>
  </rv>
  <rv s="0">
    <fb>12.986229234517396</fb>
    <v>&lt;class 'float'&gt;</v>
    <v>float</v>
    <v>12.986229234517396</v>
    <v>12.986229234517396</v>
    <v>0</v>
  </rv>
  <rv s="0">
    <fb>13.245953819207784</fb>
    <v>&lt;class 'float'&gt;</v>
    <v>float</v>
    <v>13.245953819207784</v>
    <v>13.245953819207784</v>
    <v>0</v>
  </rv>
  <rv s="0">
    <fb>13.510872895591888</fb>
    <v>&lt;class 'float'&gt;</v>
    <v>float</v>
    <v>13.510872895591888</v>
    <v>13.510872895591888</v>
    <v>0</v>
  </rv>
  <rv s="0">
    <fb>13.781090353503714</fb>
    <v>&lt;class 'float'&gt;</v>
    <v>float</v>
    <v>13.781090353503714</v>
    <v>13.781090353503714</v>
    <v>0</v>
  </rv>
  <rv s="0">
    <fb>14.056712160573852</fb>
    <v>&lt;class 'float'&gt;</v>
    <v>float</v>
    <v>14.056712160573852</v>
    <v>14.056712160573852</v>
    <v>0</v>
  </rv>
  <rv s="0">
    <fb>14.337846403785306</fb>
    <v>&lt;class 'float'&gt;</v>
    <v>float</v>
    <v>14.337846403785306</v>
    <v>14.337846403785306</v>
    <v>0</v>
  </rv>
  <rv s="0">
    <fb>14.624603331860953</fb>
    <v>&lt;class 'float'&gt;</v>
    <v>float</v>
    <v>14.624603331860953</v>
    <v>14.624603331860953</v>
    <v>0</v>
  </rv>
  <rv s="0">
    <fb>14.917095398498191</fb>
    <v>&lt;class 'float'&gt;</v>
    <v>float</v>
    <v>14.91709539849819</v>
    <v>14.917095398498191</v>
    <v>0</v>
  </rv>
  <rv s="0">
    <fb>15.215437306468175</fb>
    <v>&lt;class 'float'&gt;</v>
    <v>float</v>
    <v>15.215437306468175</v>
    <v>15.215437306468175</v>
    <v>0</v>
  </rv>
  <rv s="0">
    <fb>15.519746052597498</fb>
    <v>&lt;class 'float'&gt;</v>
    <v>float</v>
    <v>15.519746052597498</v>
    <v>15.519746052597498</v>
    <v>0</v>
  </rv>
  <rv s="0">
    <fb>15.830140973649463</fb>
    <v>&lt;class 'float'&gt;</v>
    <v>float</v>
    <v>15.830140973649463</v>
    <v>15.830140973649463</v>
    <v>0</v>
  </rv>
  <rv s="0">
    <fb>16.146743793122482</fb>
    <v>&lt;class 'float'&gt;</v>
    <v>float</v>
    <v>16.146743793122482</v>
    <v>16.146743793122482</v>
    <v>0</v>
  </rv>
  <rv s="0">
    <fb>16.469678668984898</fb>
    <v>&lt;class 'float'&gt;</v>
    <v>float</v>
    <v>16.469678668984898</v>
    <v>16.469678668984898</v>
    <v>0</v>
  </rv>
  <rv s="0">
    <fb>16.799072242364673</fb>
    <v>&lt;class 'float'&gt;</v>
    <v>float</v>
    <v>16.799072242364673</v>
    <v>16.799072242364673</v>
    <v>0</v>
  </rv>
  <rv s="0">
    <fb>17.135053687211894</fb>
    <v>&lt;class 'float'&gt;</v>
    <v>float</v>
    <v>17.135053687211894</v>
    <v>17.135053687211894</v>
    <v>0</v>
  </rv>
  <rv s="0">
    <fb>17.477754760956145</fb>
    <v>&lt;class 'float'&gt;</v>
    <v>float</v>
    <v>17.477754760956145</v>
    <v>17.477754760956145</v>
    <v>0</v>
  </rv>
  <rv s="0">
    <fb>17.827309856175248</fb>
    <v>&lt;class 'float'&gt;</v>
    <v>float</v>
    <v>17.827309856175248</v>
    <v>17.827309856175248</v>
    <v>0</v>
  </rv>
  <rv s="0">
    <fb>18.183856053298769</fb>
    <v>&lt;class 'float'&gt;</v>
    <v>float</v>
    <v>18.18385605329877</v>
    <v>18.183856053298769</v>
    <v>0</v>
  </rv>
  <rv s="0">
    <fb>18.54753317436473</fb>
    <v>&lt;class 'float'&gt;</v>
    <v>float</v>
    <v>18.54753317436473</v>
    <v>18.54753317436473</v>
    <v>0</v>
  </rv>
  <rv s="0">
    <fb>18.918483837852023</fb>
    <v>&lt;class 'float'&gt;</v>
    <v>float</v>
    <v>18.918483837852023</v>
    <v>18.918483837852023</v>
    <v>0</v>
  </rv>
  <rv s="0">
    <fb>19.296853514609097</fb>
    <v>&lt;class 'float'&gt;</v>
    <v>float</v>
    <v>19.296853514609097</v>
    <v>19.296853514609097</v>
    <v>0</v>
  </rv>
  <rv s="0">
    <fb>19.68279058490134</fb>
    <v>&lt;class 'float'&gt;</v>
    <v>float</v>
    <v>19.68279058490134</v>
    <v>19.68279058490134</v>
    <v>0</v>
  </rv>
  <rv s="0">
    <fb>20.076446396599295</fb>
    <v>&lt;class 'float'&gt;</v>
    <v>float</v>
    <v>20.076446396599295</v>
    <v>20.076446396599295</v>
    <v>0</v>
  </rv>
  <rv s="0">
    <fb>20.477975324531371</fb>
    <v>&lt;class 'float'&gt;</v>
    <v>float</v>
    <v>20.47797532453137</v>
    <v>20.477975324531371</v>
    <v>0</v>
  </rv>
  <rv s="0">
    <fb>20.887534831021867</fb>
    <v>&lt;class 'float'&gt;</v>
    <v>float</v>
    <v>20.887534831021867</v>
    <v>20.887534831021867</v>
    <v>0</v>
  </rv>
  <rv s="0">
    <fb>21.305285527642354</fb>
    <v>&lt;class 'float'&gt;</v>
    <v>float</v>
    <v>21.305285527642354</v>
    <v>21.305285527642354</v>
    <v>0</v>
  </rv>
  <rv s="0">
    <fb>21.731391238195329</fb>
    <v>&lt;class 'float'&gt;</v>
    <v>float</v>
    <v>21.73139123819533</v>
    <v>21.731391238195329</v>
    <v>0</v>
  </rv>
  <rv s="0">
    <fb>22.166019062959094</fb>
    <v>&lt;class 'float'&gt;</v>
    <v>float</v>
    <v>22.166019062959094</v>
    <v>22.166019062959094</v>
    <v>0</v>
  </rv>
  <rv s="0">
    <fb>22.609339444218222</fb>
    <v>&lt;class 'float'&gt;</v>
    <v>float</v>
    <v>22.60933944421822</v>
    <v>22.609339444218222</v>
    <v>0</v>
  </rv>
  <rv s="0">
    <fb>23.061526233102768</fb>
    <v>&lt;class 'float'&gt;</v>
    <v>float</v>
    <v>23.061526233102768</v>
    <v>23.061526233102768</v>
    <v>0</v>
  </rv>
  <rv s="0">
    <fb>23.522756757764682</fb>
    <v>&lt;class 'float'&gt;</v>
    <v>float</v>
    <v>23.522756757764682</v>
    <v>23.522756757764682</v>
    <v>0</v>
  </rv>
  <rv s="0">
    <fb>23.993211892920044</fb>
    <v>&lt;class 'float'&gt;</v>
    <v>float</v>
    <v>23.993211892920044</v>
    <v>23.993211892920044</v>
    <v>0</v>
  </rv>
  <rv s="0">
    <fb>24.473076130778509</fb>
    <v>&lt;class 'float'&gt;</v>
    <v>float</v>
    <v>24.47307613077851</v>
    <v>24.473076130778509</v>
    <v>0</v>
  </rv>
  <rv s="0">
    <fb>24.962537653394065</fb>
    <v>&lt;class 'float'&gt;</v>
    <v>float</v>
    <v>24.962537653394065</v>
    <v>24.962537653394065</v>
    <v>0</v>
  </rv>
  <rv s="0">
    <fb>25.461788406461892</fb>
    <v>&lt;class 'float'&gt;</v>
    <v>float</v>
    <v>25.461788406461892</v>
    <v>25.461788406461892</v>
    <v>0</v>
  </rv>
  <rv s="0">
    <fb>25.971024174591093</fb>
    <v>&lt;class 'float'&gt;</v>
    <v>float</v>
    <v>25.971024174591093</v>
    <v>25.971024174591093</v>
    <v>0</v>
  </rv>
  <rv s="0">
    <fb>26.490444658082879</fb>
    <v>&lt;class 'float'&gt;</v>
    <v>float</v>
    <v>26.49044465808288</v>
    <v>26.490444658082879</v>
    <v>0</v>
  </rv>
  <rv s="0">
    <fb>27.02025355124465</fb>
    <v>&lt;class 'float'&gt;</v>
    <v>float</v>
    <v>27.02025355124465</v>
    <v>27.02025355124465</v>
    <v>0</v>
  </rv>
  <rv s="0">
    <fb>27.560658622269557</fb>
    <v>&lt;class 'float'&gt;</v>
    <v>float</v>
    <v>27.560658622269557</v>
    <v>27.560658622269557</v>
    <v>0</v>
  </rv>
  <rv s="0">
    <fb>28.111871794714943</fb>
    <v>&lt;class 'float'&gt;</v>
    <v>float</v>
    <v>28.111871794714943</v>
    <v>28.111871794714943</v>
    <v>0</v>
  </rv>
  <rv s="0">
    <fb>28.674109230609247</fb>
    <v>&lt;class 'float'&gt;</v>
    <v>float</v>
    <v>28.674109230609247</v>
    <v>28.674109230609247</v>
    <v>0</v>
  </rv>
  <rv s="0">
    <fb>29.24759141522145</fb>
    <v>&lt;class 'float'&gt;</v>
    <v>float</v>
    <v>29.24759141522145</v>
    <v>29.24759141522145</v>
    <v>0</v>
  </rv>
  <rv s="0">
    <fb>29.832543243525834</fb>
    <v>&lt;class 'float'&gt;</v>
    <v>float</v>
    <v>29.832543243525834</v>
    <v>29.832543243525834</v>
    <v>0</v>
  </rv>
  <rv s="0">
    <fb>30.429194108396359</fb>
    <v>&lt;class 'float'&gt;</v>
    <v>float</v>
    <v>30.42919410839636</v>
    <v>30.429194108396359</v>
    <v>0</v>
  </rv>
  <rv s="0">
    <fb>31.037777990564337</fb>
    <v>&lt;class 'float'&gt;</v>
    <v>float</v>
    <v>31.037777990564337</v>
    <v>31.037777990564337</v>
    <v>0</v>
  </rv>
  <rv s="0">
    <fb>31.658533550375523</fb>
    <v>&lt;class 'float'&gt;</v>
    <v>float</v>
    <v>31.658533550375523</v>
    <v>31.658533550375523</v>
    <v>0</v>
  </rv>
  <rv s="0">
    <fb>32.291704221383043</fb>
    <v>&lt;class 'float'&gt;</v>
    <v>float</v>
    <v>32.29170422138304</v>
    <v>32.291704221383043</v>
    <v>0</v>
  </rv>
  <rv s="0">
    <fb>32.937538305810676</fb>
    <v>&lt;class 'float'&gt;</v>
    <v>float</v>
    <v>32.937538305810676</v>
    <v>32.937538305810676</v>
    <v>0</v>
  </rv>
  <rv s="0">
    <fb>33.596289071927004</fb>
    <v>&lt;class 'float'&gt;</v>
    <v>float</v>
    <v>33.596289071927</v>
    <v>33.596289071927004</v>
    <v>0</v>
  </rv>
  <rv s="0">
    <fb>34.268214853365407</fb>
    <v>&lt;class 'float'&gt;</v>
    <v>float</v>
    <v>34.26821485336541</v>
    <v>34.268214853365407</v>
    <v>0</v>
  </rv>
  <rv s="0">
    <fb>34.953579150432688</fb>
    <v>&lt;class 'float'&gt;</v>
    <v>float</v>
    <v>34.95357915043269</v>
    <v>34.953579150432688</v>
    <v>0</v>
  </rv>
  <rv s="0">
    <fb>35.652650733441305</fb>
    <v>&lt;class 'float'&gt;</v>
    <v>float</v>
    <v>35.652650733441305</v>
    <v>35.652650733441305</v>
    <v>0</v>
  </rv>
  <rv s="0">
    <fb>36.365703748110263</fb>
    <v>&lt;class 'float'&gt;</v>
    <v>float</v>
    <v>36.36570374811026</v>
    <v>36.365703748110263</v>
    <v>0</v>
  </rv>
  <rv s="0">
    <fb>37.093017823072387</fb>
    <v>&lt;class 'float'&gt;</v>
    <v>float</v>
    <v>37.09301782307239</v>
    <v>37.093017823072387</v>
    <v>0</v>
  </rv>
  <rv s="0">
    <fb>37.834878179533916</fb>
    <v>&lt;class 'float'&gt;</v>
    <v>float</v>
    <v>37.834878179533916</v>
    <v>37.834878179533916</v>
    <v>0</v>
  </rv>
  <rv s="0">
    <fb>38.591575743124622</fb>
    <v>&lt;class 'float'&gt;</v>
    <v>float</v>
    <v>38.59157574312462</v>
    <v>38.591575743124622</v>
    <v>0</v>
  </rv>
  <rv s="0">
    <fb>39.363407257987092</fb>
    <v>&lt;class 'float'&gt;</v>
    <v>float</v>
    <v>39.36340725798709</v>
    <v>39.363407257987092</v>
    <v>0</v>
  </rv>
  <rv s="0">
    <fb>40.150675403146806</fb>
    <v>&lt;class 'float'&gt;</v>
    <v>float</v>
    <v>40.150675403146806</v>
    <v>40.150675403146806</v>
    <v>0</v>
  </rv>
  <rv s="0">
    <fb>40.953688911209838</fb>
    <v>&lt;class 'float'&gt;</v>
    <v>float</v>
    <v>40.95368891120984</v>
    <v>40.953688911209838</v>
    <v>0</v>
  </rv>
  <rv s="0">
    <fb>41.772762689433875</fb>
    <v>&lt;class 'float'&gt;</v>
    <v>float</v>
    <v>41.772762689433875</v>
    <v>41.772762689433875</v>
    <v>0</v>
  </rv>
  <rv s="0">
    <fb>42.608217943222826</fb>
    <v>&lt;class 'float'&gt;</v>
    <v>float</v>
    <v>42.608217943222826</v>
    <v>42.608217943222826</v>
    <v>0</v>
  </rv>
  <rv s="0">
    <fb>43.460382302087055</fb>
    <v>&lt;class 'float'&gt;</v>
    <v>float</v>
    <v>43.460382302087055</v>
    <v>43.460382302087055</v>
    <v>0</v>
  </rv>
  <rv s="0">
    <fb>44.329589948128614</fb>
    <v>&lt;class 'float'&gt;</v>
    <v>float</v>
    <v>44.329589948128614</v>
    <v>44.329589948128614</v>
    <v>0</v>
  </rv>
  <rv s="0">
    <fb>45.216181747091468</fb>
    <v>&lt;class 'float'&gt;</v>
    <v>float</v>
    <v>45.21618174709147</v>
    <v>45.216181747091468</v>
    <v>0</v>
  </rv>
  <rv s="0">
    <fb>46.120505382033116</fb>
    <v>&lt;class 'float'&gt;</v>
    <v>float</v>
    <v>46.120505382033116</v>
    <v>46.120505382033116</v>
    <v>0</v>
  </rv>
  <rv s="0">
    <fb>47.04291548967376</fb>
    <v>&lt;class 'float'&gt;</v>
    <v>float</v>
    <v>47.04291548967376</v>
    <v>47.04291548967376</v>
    <v>0</v>
  </rv>
  <rv s="0">
    <fb>47.983773799467144</fb>
    <v>&lt;class 'float'&gt;</v>
    <v>float</v>
    <v>47.983773799467144</v>
    <v>47.983773799467144</v>
    <v>0</v>
  </rv>
  <rv s="0">
    <fb>48.943449275456715</fb>
    <v>&lt;class 'float'&gt;</v>
    <v>float</v>
    <v>48.943449275456715</v>
    <v>48.943449275456715</v>
    <v>0</v>
  </rv>
  <rv s="0">
    <fb>49.922318260965767</fb>
    <v>&lt;class 'float'&gt;</v>
    <v>float</v>
    <v>49.92231826096577</v>
    <v>49.922318260965767</v>
    <v>0</v>
  </rv>
  <rv s="0">
    <fb>50.920764626185246</fb>
    <v>&lt;class 'float'&gt;</v>
    <v>float</v>
    <v>50.920764626185246</v>
    <v>50.920764626185246</v>
    <v>0</v>
  </rv>
  <rv s="0">
    <fb>51.93917991870876</fb>
    <v>&lt;class 'float'&gt;</v>
    <v>float</v>
    <v>51.93917991870876</v>
    <v>51.93917991870876</v>
    <v>0</v>
  </rv>
  <rv s="0">
    <fb>52.977963517083026</fb>
    <v>&lt;class 'float'&gt;</v>
    <v>float</v>
    <v>52.977963517083026</v>
    <v>52.977963517083026</v>
    <v>0</v>
  </rv>
  <rv s="0">
    <fb>54.037522787424678</fb>
    <v>&lt;class 'float'&gt;</v>
    <v>float</v>
    <v>54.03752278742468</v>
    <v>54.037522787424678</v>
    <v>0</v>
  </rv>
  <rv s="0">
    <fb>55.118273243173007</fb>
    <v>&lt;class 'float'&gt;</v>
    <v>float</v>
    <v>55.11827324317301</v>
    <v>55.118273243173007</v>
    <v>0</v>
  </rv>
  <rv s="0">
    <fb>56.220638708036859</fb>
    <v>&lt;class 'float'&gt;</v>
    <v>float</v>
    <v>56.22063870803686</v>
    <v>56.220638708036859</v>
    <v>0</v>
  </rv>
  <rv s="0">
    <fb>57.345051482197505</fb>
    <v>&lt;class 'float'&gt;</v>
    <v>float</v>
    <v>57.345051482197505</v>
    <v>57.345051482197505</v>
    <v>0</v>
  </rv>
  <rv s="0">
    <fb>58.491952511841191</fb>
    <v>&lt;class 'float'&gt;</v>
    <v>float</v>
    <v>58.49195251184119</v>
    <v>58.491952511841191</v>
    <v>0</v>
  </rv>
  <rv s="0">
    <fb>59.661791562078179</fb>
    <v>&lt;class 'float'&gt;</v>
    <v>float</v>
    <v>59.66179156207818</v>
    <v>59.661791562078179</v>
    <v>0</v>
  </rv>
  <rv s="0">
    <fb>60.855027393319688</fb>
    <v>&lt;class 'float'&gt;</v>
    <v>float</v>
    <v>60.85502739331969</v>
    <v>60.855027393319688</v>
    <v>0</v>
  </rv>
  <rv s="0">
    <fb>62.072127941185954</fb>
    <v>&lt;class 'float'&gt;</v>
    <v>float</v>
    <v>62.072127941185954</v>
    <v>62.072127941185954</v>
    <v>0</v>
  </rv>
  <rv s="0">
    <fb>63.313570500009973</fb>
    <v>&lt;class 'float'&gt;</v>
    <v>float</v>
    <v>63.31357050000997</v>
    <v>63.313570500009973</v>
    <v>0</v>
  </rv>
  <rv s="0">
    <fb>64.579841910010146</fb>
    <v>&lt;class 'float'&gt;</v>
    <v>float</v>
    <v>64.57984191001015</v>
    <v>64.579841910010146</v>
    <v>0</v>
  </rv>
  <rv s="0">
    <fb>65.871438748210039</fb>
    <v>&lt;class 'float'&gt;</v>
    <v>float</v>
    <v>65.87143874821004</v>
    <v>65.871438748210039</v>
    <v>0</v>
  </rv>
  <rv s="0">
    <fb>67.188867523174395</fb>
    <v>&lt;class 'float'&gt;</v>
    <v>float</v>
    <v>67.1888675231744</v>
    <v>67.188867523174395</v>
    <v>0</v>
  </rv>
  <rv s="0">
    <fb>68.532644873637764</fb>
    <v>&lt;class 'float'&gt;</v>
    <v>float</v>
    <v>68.53264487363776</v>
    <v>68.532644873637764</v>
    <v>0</v>
  </rv>
  <rv s="0">
    <fb>69.903297771110829</fb>
    <v>&lt;class 'float'&gt;</v>
    <v>float</v>
    <v>69.90329777111083</v>
    <v>69.903297771110829</v>
    <v>0</v>
  </rv>
  <rv s="0">
    <fb>71.301363726533054</fb>
    <v>&lt;class 'float'&gt;</v>
    <v>float</v>
    <v>71.30136372653305</v>
    <v>71.301363726533054</v>
    <v>0</v>
  </rv>
  <rv s="0">
    <fb>72.727391001063552</fb>
    <v>&lt;class 'float'&gt;</v>
    <v>float</v>
    <v>72.72739100106355</v>
    <v>72.727391001063552</v>
    <v>0</v>
  </rv>
  <rv s="0">
    <fb>74.181938821084714</fb>
    <v>&lt;class 'float'&gt;</v>
    <v>float</v>
    <v>74.18193882108471</v>
    <v>74.181938821084714</v>
    <v>0</v>
  </rv>
  <rv s="0">
    <fb>75.665577597506399</fb>
    <v>&lt;class 'float'&gt;</v>
    <v>float</v>
    <v>75.6655775975064</v>
    <v>75.665577597506399</v>
    <v>0</v>
  </rv>
  <rv s="0">
    <fb>77.178889149456609</fb>
    <v>&lt;class 'float'&gt;</v>
    <v>float</v>
    <v>77.17888914945661</v>
    <v>77.178889149456609</v>
    <v>0</v>
  </rv>
  <rv s="0">
    <fb>78.722466932445968</fb>
    <v>&lt;class 'float'&gt;</v>
    <v>float</v>
    <v>78.72246693244597</v>
    <v>78.722466932445968</v>
    <v>0</v>
  </rv>
  <rv s="0">
    <fb>80.296916271094688</fb>
    <v>&lt;class 'float'&gt;</v>
    <v>float</v>
    <v>80.29691627109469</v>
    <v>80.296916271094688</v>
    <v>0</v>
  </rv>
  <rv s="0">
    <fb>81.902854596517045</fb>
    <v>&lt;class 'float'&gt;</v>
    <v>float</v>
    <v>81.90285459651705</v>
    <v>81.902854596517045</v>
    <v>0</v>
  </rv>
  <rv s="0">
    <fb>83.540911688446613</fb>
    <v>&lt;class 'float'&gt;</v>
    <v>float</v>
    <v>83.54091168844661</v>
    <v>83.540911688446613</v>
    <v>0</v>
  </rv>
  <rv s="0">
    <fb>85.211729922216364</fb>
    <v>&lt;class 'float'&gt;</v>
    <v>float</v>
    <v>85.21172992221636</v>
    <v>85.211729922216364</v>
    <v>0</v>
  </rv>
  <rv s="0">
    <fb>86.915964520660054</fb>
    <v>&lt;class 'float'&gt;</v>
    <v>float</v>
    <v>86.91596452066005</v>
    <v>86.915964520660054</v>
    <v>0</v>
  </rv>
  <rv s="0">
    <fb>88.654283811073583</fb>
    <v>&lt;class 'float'&gt;</v>
    <v>float</v>
    <v>88.65428381107358</v>
    <v>88.654283811073583</v>
    <v>0</v>
  </rv>
  <rv s="0">
    <fb>90.427369487294527</fb>
    <v>&lt;class 'float'&gt;</v>
    <v>float</v>
    <v>90.42736948729453</v>
    <v>90.427369487294527</v>
    <v>0</v>
  </rv>
  <rv s="0">
    <fb>92.235916877040836</fb>
    <v>&lt;class 'float'&gt;</v>
    <v>float</v>
    <v>92.23591687704084</v>
    <v>92.235916877040836</v>
    <v>0</v>
  </rv>
  <rv s="0">
    <fb>94.080635214581889</fb>
    <v>&lt;class 'float'&gt;</v>
    <v>float</v>
    <v>94.08063521458189</v>
    <v>94.080635214581889</v>
    <v>0</v>
  </rv>
  <rv s="0">
    <fb>95.96224791887289</fb>
    <v>&lt;class 'float'&gt;</v>
    <v>float</v>
    <v>95.96224791887289</v>
    <v>95.96224791887289</v>
    <v>0</v>
  </rv>
  <rv s="0">
    <fb>97.881492877250821</fb>
    <v>&lt;class 'float'&gt;</v>
    <v>float</v>
    <v>97.88149287725082</v>
    <v>97.881492877250821</v>
    <v>0</v>
  </rv>
  <rv s="0">
    <fb>99.839122734795637</fb>
    <v>&lt;class 'float'&gt;</v>
    <v>float</v>
    <v>99.83912273479564</v>
    <v>99.839122734795637</v>
    <v>0</v>
  </rv>
  <rv s="0">
    <fb>101.83590518949131</fb>
    <v>&lt;class 'float'&gt;</v>
    <v>float</v>
    <v>101.83590518949131</v>
    <v>101.83590518949131</v>
    <v>0</v>
  </rv>
  <rv s="0">
    <fb>103.87262329328132</fb>
    <v>&lt;class 'float'&gt;</v>
    <v>float</v>
    <v>103.87262329328132</v>
    <v>103.87262329328132</v>
    <v>0</v>
  </rv>
  <rv s="0">
    <fb>105.95007575914678</fb>
    <v>&lt;class 'float'&gt;</v>
    <v>float</v>
    <v>105.95007575914678</v>
    <v>105.95007575914678</v>
    <v>0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9D5FE5-0FD1-4D55-B811-16BC549EA58D}" name="growth" displayName="growth" ref="A7:J137" totalsRowShown="0" headerRowDxfId="11" dataDxfId="12" dataCellStyle="Comma">
  <autoFilter ref="A7:J137" xr:uid="{7E9D5FE5-0FD1-4D55-B811-16BC549EA58D}"/>
  <tableColumns count="10">
    <tableColumn id="1" xr3:uid="{FFC5EF07-1C82-487C-9DB4-82EAE2C9EA9E}" name="Turn" dataDxfId="6">
      <calculatedColumnFormula>A7+1</calculatedColumnFormula>
    </tableColumn>
    <tableColumn id="2" xr3:uid="{ABC623E7-6FCB-4A6D-AA76-FDD7081D35B2}" name="Year" dataDxfId="7"/>
    <tableColumn id="3" xr3:uid="{5F00997B-688F-4C34-AD8F-F044AF9F9D5F}" name="Month" dataDxfId="16" dataCellStyle="Comma"/>
    <tableColumn id="4" xr3:uid="{E6430837-B590-4D95-9AF6-FEBAB0294B9A}" name="PU" dataDxfId="15" dataCellStyle="Comma">
      <calculatedColumnFormula>D7*(1+$B$4)</calculatedColumnFormula>
    </tableColumn>
    <tableColumn id="9" xr3:uid="{1308039E-08E8-4ECC-895D-229696202883}" name="IU Buy" dataDxfId="10" dataCellStyle="Comma"/>
    <tableColumn id="10" xr3:uid="{167C46B8-D51F-4669-9B61-8F039D76D141}" name="IU Total" dataDxfId="9" dataCellStyle="Comma">
      <calculatedColumnFormula>$B2</calculatedColumnFormula>
    </tableColumn>
    <tableColumn id="5" xr3:uid="{AADCA4D8-21B0-44E8-8F08-8FBC0C681979}" name="GHP" dataDxfId="8" dataCellStyle="Comma">
      <calculatedColumnFormula>(($D8*$B$1+$F8)*(_xlfn.XLOOKUP($I8,el[EL Level],el[EL_MOD])+1))</calculatedColumnFormula>
    </tableColumn>
    <tableColumn id="6" xr3:uid="{C6951CAA-B198-4A98-B7E9-E5E4B58A0B89}" name="NHV" dataDxfId="14" dataCellStyle="Comma">
      <calculatedColumnFormula>$G8*$B$3</calculatedColumnFormula>
    </tableColumn>
    <tableColumn id="7" xr3:uid="{1229C9ED-F40D-4DC0-B1D3-2C0D6FC4283D}" name="EL" dataDxfId="13" dataCellStyle="Comma"/>
    <tableColumn id="8" xr3:uid="{25AE3DDD-B0AF-4575-B79B-841439597E5E}" name="SL" dataDxfId="5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0B63AC-7949-4425-9D8A-165FD436E90C}" name="budget" displayName="budget" ref="A1:G131" totalsRowShown="0" headerRowDxfId="17" dataDxfId="18" dataCellStyle="Percent">
  <autoFilter ref="A1:G131" xr:uid="{C20B63AC-7949-4425-9D8A-165FD436E90C}"/>
  <tableColumns count="7">
    <tableColumn id="1" xr3:uid="{27A3A2EB-E802-4D6C-8580-CA99EE95A747}" name="Turn" dataDxfId="25" dataCellStyle="Comma"/>
    <tableColumn id="2" xr3:uid="{B05F5AE9-3E58-4BEF-9170-C829E8EC2337}" name="Military" dataDxfId="24" dataCellStyle="Percent"/>
    <tableColumn id="3" xr3:uid="{F77131FE-AD8A-4146-A3D5-44D684EBACD4}" name="R&amp;D" dataDxfId="23" dataCellStyle="Percent"/>
    <tableColumn id="4" xr3:uid="{CA364C9E-EE50-41AF-B3BF-28AD60CA0CBB}" name="IU" dataDxfId="22" dataCellStyle="Percent"/>
    <tableColumn id="5" xr3:uid="{81216748-7F1A-4982-988F-3A47149CB99F}" name="Terraforming" dataDxfId="21" dataCellStyle="Percent"/>
    <tableColumn id="6" xr3:uid="{8E21C624-60C2-42BA-B380-55A6FBBE324B}" name="Espionage" dataDxfId="20" dataCellStyle="Percent"/>
    <tableColumn id="7" xr3:uid="{605B6DAE-4685-420E-AB1C-063B0FDD2B47}" name="Total" dataDxfId="19">
      <calculatedColumnFormula>SUM(B2:F2)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CE9F1-B324-41D8-9701-4FAFEDFB7B78}" name="el" displayName="el" ref="A1:C12" totalsRowShown="0">
  <autoFilter ref="A1:C12" xr:uid="{9DFCE9F1-B324-41D8-9701-4FAFEDFB7B78}"/>
  <tableColumns count="3">
    <tableColumn id="1" xr3:uid="{9E5A3E05-9B67-47E0-9A32-2647BA052D7D}" name="EL Level" dataDxfId="27"/>
    <tableColumn id="2" xr3:uid="{AB99E49E-459E-4498-AE59-9D57352848AC}" name="ERP Cost"/>
    <tableColumn id="3" xr3:uid="{5474B611-B128-491A-A773-B1E2C03DC7FD}" name="EL_MOD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2F0A6E-1431-47D6-98AA-6DCAF47B808A}" name="sl" displayName="sl" ref="E1:F12" totalsRowShown="0" headerRowDxfId="4">
  <autoFilter ref="E1:F12" xr:uid="{4E2F0A6E-1431-47D6-98AA-6DCAF47B808A}"/>
  <tableColumns count="2">
    <tableColumn id="1" xr3:uid="{76A9244E-436F-42A3-85FF-78A39399C2EE}" name="SL"/>
    <tableColumn id="2" xr3:uid="{F5C90069-31F1-4DFE-9E4C-0DC1FB014F6A}" name="SRP Cos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4D331A-9526-4D47-A597-0AA994643CBA}" name="tech" displayName="tech" ref="A15:C25" totalsRowShown="0" headerRowDxfId="0">
  <autoFilter ref="A15:C25" xr:uid="{604D331A-9526-4D47-A597-0AA994643CBA}"/>
  <tableColumns count="3">
    <tableColumn id="1" xr3:uid="{0AE81814-9139-499B-B976-2AE8076BD022}" name="Tech Level" dataDxfId="3"/>
    <tableColumn id="2" xr3:uid="{A2A1C936-9AFE-447A-8BF4-632C1477BE8F}" name="SL" dataDxfId="2"/>
    <tableColumn id="3" xr3:uid="{78B1805A-FD2E-45A5-B62C-D7262A5B1197}" name="TRP Cos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66C9-7853-4FBF-B197-E1F3F3D58406}">
  <dimension ref="A1:L137"/>
  <sheetViews>
    <sheetView workbookViewId="0">
      <selection activeCell="D3" sqref="D3"/>
    </sheetView>
  </sheetViews>
  <sheetFormatPr defaultRowHeight="15" x14ac:dyDescent="0.25"/>
  <cols>
    <col min="1" max="1" width="10.28515625" customWidth="1"/>
    <col min="2" max="2" width="9.5703125" bestFit="1" customWidth="1"/>
    <col min="3" max="3" width="11.28515625" bestFit="1" customWidth="1"/>
    <col min="4" max="4" width="8" style="1" bestFit="1" customWidth="1"/>
    <col min="5" max="5" width="15.28515625" style="1" bestFit="1" customWidth="1"/>
    <col min="6" max="6" width="15.28515625" style="1" customWidth="1"/>
    <col min="7" max="7" width="15.28515625" style="1" bestFit="1" customWidth="1"/>
    <col min="8" max="8" width="15.28515625" bestFit="1" customWidth="1"/>
    <col min="9" max="9" width="8.85546875" customWidth="1"/>
    <col min="10" max="10" width="8.7109375" customWidth="1"/>
    <col min="12" max="12" width="10" bestFit="1" customWidth="1"/>
  </cols>
  <sheetData>
    <row r="1" spans="1:12" x14ac:dyDescent="0.25">
      <c r="A1" s="1" t="s">
        <v>2</v>
      </c>
      <c r="B1" s="3">
        <v>1</v>
      </c>
    </row>
    <row r="2" spans="1:12" x14ac:dyDescent="0.25">
      <c r="A2" s="1" t="s">
        <v>22</v>
      </c>
      <c r="B2" s="3">
        <v>10</v>
      </c>
    </row>
    <row r="3" spans="1:12" x14ac:dyDescent="0.25">
      <c r="A3" s="1" t="s">
        <v>4</v>
      </c>
      <c r="B3" s="3">
        <v>0.5</v>
      </c>
    </row>
    <row r="4" spans="1:12" x14ac:dyDescent="0.25">
      <c r="A4" s="1" t="s">
        <v>11</v>
      </c>
      <c r="B4" s="3">
        <v>0.02</v>
      </c>
    </row>
    <row r="5" spans="1:12" x14ac:dyDescent="0.25">
      <c r="A5" s="21"/>
      <c r="B5" s="3"/>
    </row>
    <row r="6" spans="1:12" x14ac:dyDescent="0.25">
      <c r="H6" s="2"/>
    </row>
    <row r="7" spans="1:12" x14ac:dyDescent="0.25">
      <c r="A7" s="8" t="s">
        <v>5</v>
      </c>
      <c r="B7" s="8" t="s">
        <v>15</v>
      </c>
      <c r="C7" s="8" t="s">
        <v>16</v>
      </c>
      <c r="D7" s="8" t="s">
        <v>0</v>
      </c>
      <c r="E7" s="8" t="s">
        <v>23</v>
      </c>
      <c r="F7" s="8" t="s">
        <v>21</v>
      </c>
      <c r="G7" s="8" t="s">
        <v>9</v>
      </c>
      <c r="H7" s="8" t="s">
        <v>1</v>
      </c>
      <c r="I7" s="8" t="s">
        <v>6</v>
      </c>
      <c r="J7" s="9" t="s">
        <v>7</v>
      </c>
      <c r="K7" s="9"/>
    </row>
    <row r="8" spans="1:12" x14ac:dyDescent="0.25">
      <c r="A8" s="13">
        <v>1</v>
      </c>
      <c r="B8" s="13">
        <v>2001</v>
      </c>
      <c r="C8" s="14">
        <v>1</v>
      </c>
      <c r="D8" s="15">
        <v>840</v>
      </c>
      <c r="E8" s="15">
        <v>10</v>
      </c>
      <c r="F8" s="15">
        <f t="shared" ref="F8" si="0">$B2</f>
        <v>10</v>
      </c>
      <c r="G8" s="15">
        <f>(($D8*$B$1+$F8)*(_xlfn.XLOOKUP($I8,el[EL Level],el[EL_MOD])+1))</f>
        <v>892.5</v>
      </c>
      <c r="H8" s="16">
        <f>$G8*$B$3</f>
        <v>446.25</v>
      </c>
      <c r="I8" s="16">
        <v>1</v>
      </c>
      <c r="J8" s="16">
        <v>1</v>
      </c>
      <c r="L8" s="2"/>
    </row>
    <row r="9" spans="1:12" x14ac:dyDescent="0.25">
      <c r="A9" s="13">
        <f>A8+1</f>
        <v>2</v>
      </c>
      <c r="B9" s="13">
        <v>2001</v>
      </c>
      <c r="C9" s="14">
        <v>2</v>
      </c>
      <c r="D9" s="15">
        <f>D8*(1+$B$4)</f>
        <v>856.80000000000007</v>
      </c>
      <c r="E9" s="15" cm="1" vm="1">
        <f t="array" ref="E9">_xlfn._xlws.PY(0,1,growth[[#This Row],[PU]],H8,F8)</f>
        <v>44.625</v>
      </c>
      <c r="F9" s="15">
        <f>growth[[#This Row],[IU Buy]]+F8</f>
        <v>54.625</v>
      </c>
      <c r="G9" s="15">
        <f>(($D9*$B$1+$F9)*(_xlfn.XLOOKUP($I9,el[EL Level],el[EL_MOD])+1))</f>
        <v>956.99625000000015</v>
      </c>
      <c r="H9" s="16">
        <f>$G9*$B$3</f>
        <v>478.49812500000007</v>
      </c>
      <c r="I9" s="16">
        <v>1</v>
      </c>
      <c r="J9" s="16">
        <v>1</v>
      </c>
      <c r="L9" s="2"/>
    </row>
    <row r="10" spans="1:12" x14ac:dyDescent="0.25">
      <c r="A10" s="13">
        <f>A9+1</f>
        <v>3</v>
      </c>
      <c r="B10" s="13">
        <v>2001</v>
      </c>
      <c r="C10" s="14">
        <v>3</v>
      </c>
      <c r="D10" s="15">
        <f>D9*(1+$B$4)</f>
        <v>873.93600000000004</v>
      </c>
      <c r="E10" s="15" cm="1" vm="2">
        <f t="array" ref="E10">_xlfn._xlws.PY(0,1,growth[[#This Row],[PU]],H9,F9)</f>
        <v>47.849812500000013</v>
      </c>
      <c r="F10" s="15">
        <f>growth[[#This Row],[IU Buy]]+F9</f>
        <v>102.47481250000001</v>
      </c>
      <c r="G10" s="15">
        <f>(($D10*$B$1+$F10)*(_xlfn.XLOOKUP($I10,el[EL Level],el[EL_MOD])+1))</f>
        <v>1025.2313531250002</v>
      </c>
      <c r="H10" s="16">
        <f>$G10*$B$3</f>
        <v>512.61567656250008</v>
      </c>
      <c r="I10" s="16">
        <v>1</v>
      </c>
      <c r="J10" s="16">
        <v>1</v>
      </c>
      <c r="L10" s="2"/>
    </row>
    <row r="11" spans="1:12" x14ac:dyDescent="0.25">
      <c r="A11" s="13">
        <f>A10+1</f>
        <v>4</v>
      </c>
      <c r="B11" s="13">
        <v>2001</v>
      </c>
      <c r="C11" s="14">
        <v>4</v>
      </c>
      <c r="D11" s="15">
        <f>D10*(1+$B$4)</f>
        <v>891.4147200000001</v>
      </c>
      <c r="E11" s="15" cm="1" vm="3">
        <f t="array" ref="E11">_xlfn._xlws.PY(0,1,growth[[#This Row],[PU]],H10,F10)</f>
        <v>51.261567656250008</v>
      </c>
      <c r="F11" s="15">
        <f>growth[[#This Row],[IU Buy]]+F10</f>
        <v>153.73638015625002</v>
      </c>
      <c r="G11" s="15">
        <f>(($D11*$B$1+$F11)*(_xlfn.XLOOKUP($I11,el[EL Level],el[EL_MOD])+1))</f>
        <v>1097.4086551640626</v>
      </c>
      <c r="H11" s="16">
        <f>$G11*$B$3</f>
        <v>548.70432758203128</v>
      </c>
      <c r="I11" s="16">
        <v>1</v>
      </c>
      <c r="J11" s="16">
        <v>1</v>
      </c>
      <c r="L11" s="2"/>
    </row>
    <row r="12" spans="1:12" x14ac:dyDescent="0.25">
      <c r="A12" s="13">
        <f>A11+1</f>
        <v>5</v>
      </c>
      <c r="B12" s="13">
        <v>2001</v>
      </c>
      <c r="C12" s="14">
        <v>5</v>
      </c>
      <c r="D12" s="15">
        <f>D11*(1+$B$4)</f>
        <v>909.24301440000011</v>
      </c>
      <c r="E12" s="15" cm="1" vm="4">
        <f t="array" ref="E12">_xlfn._xlws.PY(0,1,growth[[#This Row],[PU]],H11,F11)</f>
        <v>54.87043275820313</v>
      </c>
      <c r="F12" s="15">
        <f>growth[[#This Row],[IU Buy]]+F11</f>
        <v>208.60681291445314</v>
      </c>
      <c r="G12" s="15">
        <f>(($D12*$B$1+$F12)*(_xlfn.XLOOKUP($I12,el[EL Level],el[EL_MOD])+1))</f>
        <v>1173.7423186801759</v>
      </c>
      <c r="H12" s="16">
        <f>$G12*$B$3</f>
        <v>586.87115934008796</v>
      </c>
      <c r="I12" s="16">
        <v>1</v>
      </c>
      <c r="J12" s="16">
        <v>1</v>
      </c>
      <c r="L12" s="2"/>
    </row>
    <row r="13" spans="1:12" x14ac:dyDescent="0.25">
      <c r="A13" s="13">
        <f>A12+1</f>
        <v>6</v>
      </c>
      <c r="B13" s="13">
        <v>2001</v>
      </c>
      <c r="C13" s="14">
        <v>6</v>
      </c>
      <c r="D13" s="15">
        <f>D12*(1+$B$4)</f>
        <v>927.42787468800009</v>
      </c>
      <c r="E13" s="15" cm="1" vm="5">
        <f t="array" ref="E13">_xlfn._xlws.PY(0,1,growth[[#This Row],[PU]],H12,F12)</f>
        <v>58.687115934008801</v>
      </c>
      <c r="F13" s="15">
        <f>growth[[#This Row],[IU Buy]]+F12</f>
        <v>267.29392884846197</v>
      </c>
      <c r="G13" s="15">
        <f>(($D13*$B$1+$F13)*(_xlfn.XLOOKUP($I13,el[EL Level],el[EL_MOD])+1))</f>
        <v>1254.4578937132853</v>
      </c>
      <c r="H13" s="16">
        <f>$G13*$B$3</f>
        <v>627.22894685664266</v>
      </c>
      <c r="I13" s="16">
        <v>1</v>
      </c>
      <c r="J13" s="16">
        <v>1</v>
      </c>
      <c r="L13" s="2"/>
    </row>
    <row r="14" spans="1:12" x14ac:dyDescent="0.25">
      <c r="A14" s="12">
        <f>A13+1</f>
        <v>7</v>
      </c>
      <c r="B14" s="13">
        <v>2001</v>
      </c>
      <c r="C14" s="14">
        <v>7</v>
      </c>
      <c r="D14" s="15">
        <f>D13*(1+$B$4)</f>
        <v>945.97643218176006</v>
      </c>
      <c r="E14" s="15" cm="1" vm="6">
        <f t="array" ref="E14">_xlfn._xlws.PY(0,1,growth[[#This Row],[PU]],H13,F13)</f>
        <v>62.722894685664272</v>
      </c>
      <c r="F14" s="15">
        <f>growth[[#This Row],[IU Buy]]+F13</f>
        <v>330.01682353412627</v>
      </c>
      <c r="G14" s="15">
        <f>(($D14*$B$1+$F14)*(_xlfn.XLOOKUP($I14,el[EL Level],el[EL_MOD])+1))</f>
        <v>1403.592581287475</v>
      </c>
      <c r="H14" s="16">
        <f>$G14*$B$3</f>
        <v>701.79629064373751</v>
      </c>
      <c r="I14" s="16">
        <v>2</v>
      </c>
      <c r="J14" s="16">
        <v>2</v>
      </c>
      <c r="L14" s="2"/>
    </row>
    <row r="15" spans="1:12" x14ac:dyDescent="0.25">
      <c r="A15" s="13">
        <f>A14+1</f>
        <v>8</v>
      </c>
      <c r="B15" s="13">
        <v>2001</v>
      </c>
      <c r="C15" s="14">
        <v>8</v>
      </c>
      <c r="D15" s="15">
        <f>D14*(1+$B$4)</f>
        <v>964.89596082539526</v>
      </c>
      <c r="E15" s="15" cm="1" vm="7">
        <f t="array" ref="E15">_xlfn._xlws.PY(0,1,growth[[#This Row],[PU]],H14,F14)</f>
        <v>70.179629064373756</v>
      </c>
      <c r="F15" s="15">
        <f>growth[[#This Row],[IU Buy]]+F14</f>
        <v>400.19645259850006</v>
      </c>
      <c r="G15" s="15">
        <f>(($D15*$B$1+$F15)*(_xlfn.XLOOKUP($I15,el[EL Level],el[EL_MOD])+1))</f>
        <v>1501.601654766285</v>
      </c>
      <c r="H15" s="16">
        <f>$G15*$B$3</f>
        <v>750.80082738314252</v>
      </c>
      <c r="I15" s="16">
        <v>2</v>
      </c>
      <c r="J15" s="16">
        <v>2</v>
      </c>
      <c r="L15" s="2"/>
    </row>
    <row r="16" spans="1:12" x14ac:dyDescent="0.25">
      <c r="A16" s="13">
        <f>A15+1</f>
        <v>9</v>
      </c>
      <c r="B16" s="13">
        <v>2001</v>
      </c>
      <c r="C16" s="14">
        <v>9</v>
      </c>
      <c r="D16" s="15">
        <f>D15*(1+$B$4)</f>
        <v>984.19388004190318</v>
      </c>
      <c r="E16" s="15" cm="1" vm="8">
        <f t="array" ref="E16">_xlfn._xlws.PY(0,1,growth[[#This Row],[PU]],H15,F15)</f>
        <v>75.08008273831426</v>
      </c>
      <c r="F16" s="15">
        <f>growth[[#This Row],[IU Buy]]+F15</f>
        <v>475.27653533681433</v>
      </c>
      <c r="G16" s="15">
        <f>(($D16*$B$1+$F16)*(_xlfn.XLOOKUP($I16,el[EL Level],el[EL_MOD])+1))</f>
        <v>1605.4174569165893</v>
      </c>
      <c r="H16" s="16">
        <f>$G16*$B$3</f>
        <v>802.70872845829467</v>
      </c>
      <c r="I16" s="16">
        <v>2</v>
      </c>
      <c r="J16" s="16">
        <v>2</v>
      </c>
      <c r="L16" s="2"/>
    </row>
    <row r="17" spans="1:12" x14ac:dyDescent="0.25">
      <c r="A17" s="13">
        <f>A16+1</f>
        <v>10</v>
      </c>
      <c r="B17" s="13">
        <v>2001</v>
      </c>
      <c r="C17" s="14">
        <v>10</v>
      </c>
      <c r="D17" s="15">
        <f>D16*(1+$B$4)</f>
        <v>1003.8777576427412</v>
      </c>
      <c r="E17" s="15" cm="1" vm="9">
        <f t="array" ref="E17">_xlfn._xlws.PY(0,1,growth[[#This Row],[PU]],H16,F16)</f>
        <v>26.662343484556288</v>
      </c>
      <c r="F17" s="15">
        <f>growth[[#This Row],[IU Buy]]+F16</f>
        <v>501.93887882137062</v>
      </c>
      <c r="G17" s="15">
        <f>(($D17*$B$1+$F17)*(_xlfn.XLOOKUP($I17,el[EL Level],el[EL_MOD])+1))</f>
        <v>1656.3983001105232</v>
      </c>
      <c r="H17" s="16">
        <f>$G17*$B$3</f>
        <v>828.19915005526161</v>
      </c>
      <c r="I17" s="16">
        <v>2</v>
      </c>
      <c r="J17" s="16">
        <v>2</v>
      </c>
      <c r="L17" s="2"/>
    </row>
    <row r="18" spans="1:12" x14ac:dyDescent="0.25">
      <c r="A18" s="13">
        <f>A17+1</f>
        <v>11</v>
      </c>
      <c r="B18" s="13">
        <v>2001</v>
      </c>
      <c r="C18" s="14">
        <v>11</v>
      </c>
      <c r="D18" s="15">
        <f>D17*(1+$B$4)</f>
        <v>1023.9553127955961</v>
      </c>
      <c r="E18" s="15" cm="1" vm="10">
        <f t="array" ref="E18">_xlfn._xlws.PY(0,1,growth[[#This Row],[PU]],H17,F17)</f>
        <v>10.038777576427435</v>
      </c>
      <c r="F18" s="15">
        <f>growth[[#This Row],[IU Buy]]+F17</f>
        <v>511.97765639779806</v>
      </c>
      <c r="G18" s="15">
        <f>(($D18*$B$1+$F18)*(_xlfn.XLOOKUP($I18,el[EL Level],el[EL_MOD])+1))</f>
        <v>1689.5262661127338</v>
      </c>
      <c r="H18" s="16">
        <f>$G18*$B$3</f>
        <v>844.76313305636688</v>
      </c>
      <c r="I18" s="16">
        <v>2</v>
      </c>
      <c r="J18" s="16">
        <v>2</v>
      </c>
      <c r="L18" s="2"/>
    </row>
    <row r="19" spans="1:12" x14ac:dyDescent="0.25">
      <c r="A19" s="13">
        <f>A18+1</f>
        <v>12</v>
      </c>
      <c r="B19" s="13">
        <v>2001</v>
      </c>
      <c r="C19" s="14">
        <v>12</v>
      </c>
      <c r="D19" s="15">
        <f>D18*(1+$B$4)</f>
        <v>1044.434419051508</v>
      </c>
      <c r="E19" s="15" cm="1" vm="11">
        <f t="array" ref="E19">_xlfn._xlws.PY(0,1,growth[[#This Row],[PU]],H18,F18)</f>
        <v>10.239553127955958</v>
      </c>
      <c r="F19" s="15">
        <f>growth[[#This Row],[IU Buy]]+F18</f>
        <v>522.21720952575401</v>
      </c>
      <c r="G19" s="15">
        <f>(($D19*$B$1+$F19)*(_xlfn.XLOOKUP($I19,el[EL Level],el[EL_MOD])+1))</f>
        <v>1723.3167914349883</v>
      </c>
      <c r="H19" s="16">
        <f>$G19*$B$3</f>
        <v>861.65839571749416</v>
      </c>
      <c r="I19" s="16">
        <v>2</v>
      </c>
      <c r="J19" s="16">
        <v>2</v>
      </c>
      <c r="L19" s="2"/>
    </row>
    <row r="20" spans="1:12" x14ac:dyDescent="0.25">
      <c r="A20" s="13">
        <f>A19+1</f>
        <v>13</v>
      </c>
      <c r="B20" s="13">
        <v>2001</v>
      </c>
      <c r="C20" s="14">
        <v>13</v>
      </c>
      <c r="D20" s="15">
        <f>D19*(1+$B$4)</f>
        <v>1065.3231074325381</v>
      </c>
      <c r="E20" s="15" cm="1" vm="12">
        <f t="array" ref="E20">_xlfn._xlws.PY(0,1,growth[[#This Row],[PU]],H19,F19)</f>
        <v>10.444344190515039</v>
      </c>
      <c r="F20" s="15">
        <f>growth[[#This Row],[IU Buy]]+F19</f>
        <v>532.66155371626905</v>
      </c>
      <c r="G20" s="15">
        <f>(($D20*$B$1+$F20)*(_xlfn.XLOOKUP($I20,el[EL Level],el[EL_MOD])+1))</f>
        <v>1757.7831272636881</v>
      </c>
      <c r="H20" s="16">
        <f>$G20*$B$3</f>
        <v>878.89156363184406</v>
      </c>
      <c r="I20" s="16">
        <v>2</v>
      </c>
      <c r="J20" s="16">
        <v>2</v>
      </c>
      <c r="L20" s="2"/>
    </row>
    <row r="21" spans="1:12" x14ac:dyDescent="0.25">
      <c r="A21" s="12">
        <f>A20+1</f>
        <v>14</v>
      </c>
      <c r="B21" s="13">
        <v>2002</v>
      </c>
      <c r="C21" s="14">
        <v>1</v>
      </c>
      <c r="D21" s="15">
        <f>D20*(1+$B$4)</f>
        <v>1086.6295695811889</v>
      </c>
      <c r="E21" s="15" cm="1" vm="13">
        <f t="array" ref="E21">_xlfn._xlws.PY(0,1,growth[[#This Row],[PU]],H20,F20)</f>
        <v>10.65323107432539</v>
      </c>
      <c r="F21" s="15">
        <f>growth[[#This Row],[IU Buy]]+F20</f>
        <v>543.31478479059444</v>
      </c>
      <c r="G21" s="15">
        <f>(($D21*$B$1+$F21)*(_xlfn.XLOOKUP($I21,el[EL Level],el[EL_MOD])+1))</f>
        <v>1874.4360075275508</v>
      </c>
      <c r="H21" s="16">
        <f>$G21*$B$3</f>
        <v>937.21800376377541</v>
      </c>
      <c r="I21" s="16">
        <v>3</v>
      </c>
      <c r="J21" s="16">
        <v>3</v>
      </c>
      <c r="L21" s="2"/>
    </row>
    <row r="22" spans="1:12" x14ac:dyDescent="0.25">
      <c r="A22" s="13">
        <f>A21+1</f>
        <v>15</v>
      </c>
      <c r="B22" s="13">
        <v>2002</v>
      </c>
      <c r="C22" s="14">
        <v>2</v>
      </c>
      <c r="D22" s="15">
        <f>D21*(1+$B$4)</f>
        <v>1108.3621609728127</v>
      </c>
      <c r="E22" s="15" cm="1" vm="14">
        <f t="array" ref="E22">_xlfn._xlws.PY(0,1,growth[[#This Row],[PU]],H21,F21)</f>
        <v>10.866295695811914</v>
      </c>
      <c r="F22" s="15">
        <f>growth[[#This Row],[IU Buy]]+F21</f>
        <v>554.18108048640636</v>
      </c>
      <c r="G22" s="15">
        <f>(($D22*$B$1+$F22)*(_xlfn.XLOOKUP($I22,el[EL Level],el[EL_MOD])+1))</f>
        <v>1911.9247276781018</v>
      </c>
      <c r="H22" s="16">
        <f>$G22*$B$3</f>
        <v>955.96236383905091</v>
      </c>
      <c r="I22" s="16">
        <v>3</v>
      </c>
      <c r="J22" s="16">
        <v>3</v>
      </c>
      <c r="L22" s="2"/>
    </row>
    <row r="23" spans="1:12" x14ac:dyDescent="0.25">
      <c r="A23" s="13">
        <f>A22+1</f>
        <v>16</v>
      </c>
      <c r="B23" s="13">
        <v>2002</v>
      </c>
      <c r="C23" s="14">
        <v>3</v>
      </c>
      <c r="D23" s="15">
        <f>D22*(1+$B$4)</f>
        <v>1130.5294041922689</v>
      </c>
      <c r="E23" s="15" cm="1" vm="15">
        <f t="array" ref="E23">_xlfn._xlws.PY(0,1,growth[[#This Row],[PU]],H22,F22)</f>
        <v>11.083621609728084</v>
      </c>
      <c r="F23" s="15">
        <f>growth[[#This Row],[IU Buy]]+F22</f>
        <v>565.26470209613444</v>
      </c>
      <c r="G23" s="15">
        <f>(($D23*$B$1+$F23)*(_xlfn.XLOOKUP($I23,el[EL Level],el[EL_MOD])+1))</f>
        <v>1950.1632222316637</v>
      </c>
      <c r="H23" s="16">
        <f>$G23*$B$3</f>
        <v>975.08161111583183</v>
      </c>
      <c r="I23" s="16">
        <v>3</v>
      </c>
      <c r="J23" s="16">
        <v>3</v>
      </c>
      <c r="L23" s="2"/>
    </row>
    <row r="24" spans="1:12" x14ac:dyDescent="0.25">
      <c r="A24" s="13">
        <f>A23+1</f>
        <v>17</v>
      </c>
      <c r="B24" s="13">
        <v>2002</v>
      </c>
      <c r="C24" s="14">
        <v>4</v>
      </c>
      <c r="D24" s="15">
        <f>D23*(1+$B$4)</f>
        <v>1153.1399922761143</v>
      </c>
      <c r="E24" s="15" cm="1" vm="16">
        <f t="array" ref="E24">_xlfn._xlws.PY(0,1,growth[[#This Row],[PU]],H23,F23)</f>
        <v>11.305294041922707</v>
      </c>
      <c r="F24" s="15">
        <f>growth[[#This Row],[IU Buy]]+F23</f>
        <v>576.56999613805715</v>
      </c>
      <c r="G24" s="15">
        <f>(($D24*$B$1+$F24)*(_xlfn.XLOOKUP($I24,el[EL Level],el[EL_MOD])+1))</f>
        <v>1989.1664866762969</v>
      </c>
      <c r="H24" s="16">
        <f>$G24*$B$3</f>
        <v>994.58324333814846</v>
      </c>
      <c r="I24" s="16">
        <v>3</v>
      </c>
      <c r="J24" s="16">
        <v>3</v>
      </c>
      <c r="L24" s="2"/>
    </row>
    <row r="25" spans="1:12" x14ac:dyDescent="0.25">
      <c r="A25" s="13">
        <f>A24+1</f>
        <v>18</v>
      </c>
      <c r="B25" s="13">
        <v>2002</v>
      </c>
      <c r="C25" s="14">
        <v>5</v>
      </c>
      <c r="D25" s="15">
        <f>D24*(1+$B$4)</f>
        <v>1176.2027921216365</v>
      </c>
      <c r="E25" s="15" cm="1" vm="17">
        <f t="array" ref="E25">_xlfn._xlws.PY(0,1,growth[[#This Row],[PU]],H24,F24)</f>
        <v>11.531399922761125</v>
      </c>
      <c r="F25" s="15">
        <f>growth[[#This Row],[IU Buy]]+F24</f>
        <v>588.10139606081827</v>
      </c>
      <c r="G25" s="15">
        <f>(($D25*$B$1+$F25)*(_xlfn.XLOOKUP($I25,el[EL Level],el[EL_MOD])+1))</f>
        <v>2028.9498164098227</v>
      </c>
      <c r="H25" s="16">
        <f>$G25*$B$3</f>
        <v>1014.4749082049113</v>
      </c>
      <c r="I25" s="16">
        <v>3</v>
      </c>
      <c r="J25" s="16">
        <v>3</v>
      </c>
      <c r="L25" s="2"/>
    </row>
    <row r="26" spans="1:12" x14ac:dyDescent="0.25">
      <c r="A26" s="13">
        <f>A25+1</f>
        <v>19</v>
      </c>
      <c r="B26" s="13">
        <v>2002</v>
      </c>
      <c r="C26" s="14">
        <v>6</v>
      </c>
      <c r="D26" s="15">
        <f>D25*(1+$B$4)</f>
        <v>1199.7268479640693</v>
      </c>
      <c r="E26" s="15" cm="1" vm="18">
        <f t="array" ref="E26">_xlfn._xlws.PY(0,1,growth[[#This Row],[PU]],H25,F25)</f>
        <v>11.762027921216372</v>
      </c>
      <c r="F26" s="15">
        <f>growth[[#This Row],[IU Buy]]+F25</f>
        <v>599.86342398203465</v>
      </c>
      <c r="G26" s="15">
        <f>(($D26*$B$1+$F26)*(_xlfn.XLOOKUP($I26,el[EL Level],el[EL_MOD])+1))</f>
        <v>2069.5288127380195</v>
      </c>
      <c r="H26" s="16">
        <f>$G26*$B$3</f>
        <v>1034.7644063690097</v>
      </c>
      <c r="I26" s="16">
        <v>3</v>
      </c>
      <c r="J26" s="16">
        <v>3</v>
      </c>
      <c r="L26" s="2"/>
    </row>
    <row r="27" spans="1:12" x14ac:dyDescent="0.25">
      <c r="A27" s="12">
        <f>A26+1</f>
        <v>20</v>
      </c>
      <c r="B27" s="13">
        <v>2002</v>
      </c>
      <c r="C27" s="14">
        <v>7</v>
      </c>
      <c r="D27" s="15">
        <f>D26*(1+$B$4)</f>
        <v>1223.7213849233508</v>
      </c>
      <c r="E27" s="15" cm="1" vm="19">
        <f t="array" ref="E27">_xlfn._xlws.PY(0,1,growth[[#This Row],[PU]],H26,F26)</f>
        <v>11.997268479640752</v>
      </c>
      <c r="F27" s="15">
        <f>growth[[#This Row],[IU Buy]]+F26</f>
        <v>611.8606924616754</v>
      </c>
      <c r="G27" s="15">
        <f>(($D27*$B$1+$F27)*(_xlfn.XLOOKUP($I27,el[EL Level],el[EL_MOD])+1))</f>
        <v>2202.6984928620313</v>
      </c>
      <c r="H27" s="16">
        <f>$G27*$B$3</f>
        <v>1101.3492464310157</v>
      </c>
      <c r="I27" s="16">
        <v>4</v>
      </c>
      <c r="J27" s="16">
        <v>4</v>
      </c>
      <c r="L27" s="2"/>
    </row>
    <row r="28" spans="1:12" x14ac:dyDescent="0.25">
      <c r="A28" s="13">
        <f>A27+1</f>
        <v>21</v>
      </c>
      <c r="B28" s="13">
        <v>2002</v>
      </c>
      <c r="C28" s="14">
        <v>8</v>
      </c>
      <c r="D28" s="15">
        <f>D27*(1+$B$4)</f>
        <v>1248.1958126218178</v>
      </c>
      <c r="E28" s="15" cm="1" vm="20">
        <f t="array" ref="E28">_xlfn._xlws.PY(0,1,growth[[#This Row],[PU]],H27,F27)</f>
        <v>12.237213849233513</v>
      </c>
      <c r="F28" s="15">
        <f>growth[[#This Row],[IU Buy]]+F27</f>
        <v>624.09790631090891</v>
      </c>
      <c r="G28" s="15">
        <f>(($D28*$B$1+$F28)*(_xlfn.XLOOKUP($I28,el[EL Level],el[EL_MOD])+1))</f>
        <v>2246.752462719272</v>
      </c>
      <c r="H28" s="16">
        <f>$G28*$B$3</f>
        <v>1123.376231359636</v>
      </c>
      <c r="I28" s="16">
        <v>4</v>
      </c>
      <c r="J28" s="16">
        <v>4</v>
      </c>
      <c r="L28" s="2"/>
    </row>
    <row r="29" spans="1:12" x14ac:dyDescent="0.25">
      <c r="A29" s="13">
        <f>A28+1</f>
        <v>22</v>
      </c>
      <c r="B29" s="13">
        <v>2002</v>
      </c>
      <c r="C29" s="14">
        <v>9</v>
      </c>
      <c r="D29" s="15">
        <f>D28*(1+$B$4)</f>
        <v>1273.1597288742541</v>
      </c>
      <c r="E29" s="15" cm="1" vm="21">
        <f t="array" ref="E29">_xlfn._xlws.PY(0,1,growth[[#This Row],[PU]],H28,F28)</f>
        <v>12.48195812621816</v>
      </c>
      <c r="F29" s="15">
        <f>growth[[#This Row],[IU Buy]]+F28</f>
        <v>636.57986443712707</v>
      </c>
      <c r="G29" s="15">
        <f>(($D29*$B$1+$F29)*(_xlfn.XLOOKUP($I29,el[EL Level],el[EL_MOD])+1))</f>
        <v>2291.6875119736574</v>
      </c>
      <c r="H29" s="16">
        <f>$G29*$B$3</f>
        <v>1145.8437559868287</v>
      </c>
      <c r="I29" s="16">
        <v>4</v>
      </c>
      <c r="J29" s="16">
        <v>4</v>
      </c>
      <c r="L29" s="2"/>
    </row>
    <row r="30" spans="1:12" x14ac:dyDescent="0.25">
      <c r="A30" s="13">
        <f>A29+1</f>
        <v>23</v>
      </c>
      <c r="B30" s="13">
        <v>2002</v>
      </c>
      <c r="C30" s="14">
        <v>10</v>
      </c>
      <c r="D30" s="15">
        <f>D29*(1+$B$4)</f>
        <v>1298.6229234517393</v>
      </c>
      <c r="E30" s="15" cm="1" vm="22">
        <f t="array" ref="E30">_xlfn._xlws.PY(0,1,growth[[#This Row],[PU]],H29,F29)</f>
        <v>12.731597288742591</v>
      </c>
      <c r="F30" s="15">
        <f>growth[[#This Row],[IU Buy]]+F29</f>
        <v>649.31146172586966</v>
      </c>
      <c r="G30" s="15">
        <f>(($D30*$B$1+$F30)*(_xlfn.XLOOKUP($I30,el[EL Level],el[EL_MOD])+1))</f>
        <v>2337.5212622131307</v>
      </c>
      <c r="H30" s="16">
        <f>$G30*$B$3</f>
        <v>1168.7606311065654</v>
      </c>
      <c r="I30" s="16">
        <v>4</v>
      </c>
      <c r="J30" s="16">
        <v>4</v>
      </c>
      <c r="L30" s="2"/>
    </row>
    <row r="31" spans="1:12" x14ac:dyDescent="0.25">
      <c r="A31" s="13">
        <f>A30+1</f>
        <v>24</v>
      </c>
      <c r="B31" s="13">
        <v>2002</v>
      </c>
      <c r="C31" s="14">
        <v>11</v>
      </c>
      <c r="D31" s="15">
        <f>D30*(1+$B$4)</f>
        <v>1324.5953819207741</v>
      </c>
      <c r="E31" s="15" cm="1" vm="23">
        <f t="array" ref="E31">_xlfn._xlws.PY(0,1,growth[[#This Row],[PU]],H30,F30)</f>
        <v>12.986229234517396</v>
      </c>
      <c r="F31" s="15">
        <f>growth[[#This Row],[IU Buy]]+F30</f>
        <v>662.29769096038706</v>
      </c>
      <c r="G31" s="15">
        <f>(($D31*$B$1+$F31)*(_xlfn.XLOOKUP($I31,el[EL Level],el[EL_MOD])+1))</f>
        <v>2384.271687457393</v>
      </c>
      <c r="H31" s="16">
        <f>$G31*$B$3</f>
        <v>1192.1358437286965</v>
      </c>
      <c r="I31" s="16">
        <v>4</v>
      </c>
      <c r="J31" s="16">
        <v>4</v>
      </c>
      <c r="L31" s="2"/>
    </row>
    <row r="32" spans="1:12" x14ac:dyDescent="0.25">
      <c r="A32" s="13">
        <f>A31+1</f>
        <v>25</v>
      </c>
      <c r="B32" s="13">
        <v>2002</v>
      </c>
      <c r="C32" s="14">
        <v>12</v>
      </c>
      <c r="D32" s="15">
        <f>D31*(1+$B$4)</f>
        <v>1351.0872895591897</v>
      </c>
      <c r="E32" s="15" cm="1" vm="24">
        <f t="array" ref="E32">_xlfn._xlws.PY(0,1,growth[[#This Row],[PU]],H31,F31)</f>
        <v>13.245953819207784</v>
      </c>
      <c r="F32" s="15">
        <f>growth[[#This Row],[IU Buy]]+F31</f>
        <v>675.54364477959484</v>
      </c>
      <c r="G32" s="15">
        <f>(($D32*$B$1+$F32)*(_xlfn.XLOOKUP($I32,el[EL Level],el[EL_MOD])+1))</f>
        <v>2431.9571212065412</v>
      </c>
      <c r="H32" s="16">
        <f>$G32*$B$3</f>
        <v>1215.9785606032706</v>
      </c>
      <c r="I32" s="16">
        <v>4</v>
      </c>
      <c r="J32" s="16">
        <v>4</v>
      </c>
      <c r="L32" s="2"/>
    </row>
    <row r="33" spans="1:12" x14ac:dyDescent="0.25">
      <c r="A33" s="13">
        <f>A32+1</f>
        <v>26</v>
      </c>
      <c r="B33" s="13">
        <v>2002</v>
      </c>
      <c r="C33" s="14">
        <v>13</v>
      </c>
      <c r="D33" s="15">
        <f>D32*(1+$B$4)</f>
        <v>1378.1090353503735</v>
      </c>
      <c r="E33" s="15" cm="1" vm="25">
        <f t="array" ref="E33">_xlfn._xlws.PY(0,1,growth[[#This Row],[PU]],H32,F32)</f>
        <v>13.510872895591888</v>
      </c>
      <c r="F33" s="15">
        <f>growth[[#This Row],[IU Buy]]+F32</f>
        <v>689.05451767518673</v>
      </c>
      <c r="G33" s="15">
        <f>(($D33*$B$1+$F33)*(_xlfn.XLOOKUP($I33,el[EL Level],el[EL_MOD])+1))</f>
        <v>2480.5962636306722</v>
      </c>
      <c r="H33" s="16">
        <f>$G33*$B$3</f>
        <v>1240.2981318153361</v>
      </c>
      <c r="I33" s="16">
        <v>4</v>
      </c>
      <c r="J33" s="16">
        <v>4</v>
      </c>
      <c r="L33" s="2"/>
    </row>
    <row r="34" spans="1:12" x14ac:dyDescent="0.25">
      <c r="A34" s="12">
        <f>A33+1</f>
        <v>27</v>
      </c>
      <c r="B34" s="13">
        <v>2003</v>
      </c>
      <c r="C34" s="14">
        <v>1</v>
      </c>
      <c r="D34" s="15">
        <f>D33*(1+$B$4)</f>
        <v>1405.6712160573809</v>
      </c>
      <c r="E34" s="15" cm="1" vm="26">
        <f t="array" ref="E34">_xlfn._xlws.PY(0,1,growth[[#This Row],[PU]],H33,F33)</f>
        <v>13.781090353503714</v>
      </c>
      <c r="F34" s="15">
        <f>growth[[#This Row],[IU Buy]]+F33</f>
        <v>702.83560802869044</v>
      </c>
      <c r="G34" s="15">
        <f>(($D34*$B$1+$F34)*(_xlfn.XLOOKUP($I34,el[EL Level],el[EL_MOD])+1))</f>
        <v>2635.6335301075892</v>
      </c>
      <c r="H34" s="16">
        <f>$G34*$B$3</f>
        <v>1317.8167650537946</v>
      </c>
      <c r="I34" s="16">
        <v>5</v>
      </c>
      <c r="J34" s="16">
        <v>5</v>
      </c>
      <c r="L34" s="2"/>
    </row>
    <row r="35" spans="1:12" x14ac:dyDescent="0.25">
      <c r="A35" s="13">
        <f>A34+1</f>
        <v>28</v>
      </c>
      <c r="B35" s="13">
        <v>2003</v>
      </c>
      <c r="C35" s="14">
        <v>2</v>
      </c>
      <c r="D35" s="15">
        <f>D34*(1+$B$4)</f>
        <v>1433.7846403785286</v>
      </c>
      <c r="E35" s="15" cm="1" vm="27">
        <f t="array" ref="E35">_xlfn._xlws.PY(0,1,growth[[#This Row],[PU]],H34,F34)</f>
        <v>14.056712160573852</v>
      </c>
      <c r="F35" s="15">
        <f>growth[[#This Row],[IU Buy]]+F34</f>
        <v>716.8923201892643</v>
      </c>
      <c r="G35" s="15">
        <f>(($D35*$B$1+$F35)*(_xlfn.XLOOKUP($I35,el[EL Level],el[EL_MOD])+1))</f>
        <v>2688.346200709741</v>
      </c>
      <c r="H35" s="16">
        <f>$G35*$B$3</f>
        <v>1344.1731003548705</v>
      </c>
      <c r="I35" s="16">
        <v>5</v>
      </c>
      <c r="J35" s="16">
        <v>5</v>
      </c>
      <c r="L35" s="2"/>
    </row>
    <row r="36" spans="1:12" x14ac:dyDescent="0.25">
      <c r="A36" s="13">
        <f>A35+1</f>
        <v>29</v>
      </c>
      <c r="B36" s="13">
        <v>2003</v>
      </c>
      <c r="C36" s="14">
        <v>3</v>
      </c>
      <c r="D36" s="15">
        <f>D35*(1+$B$4)</f>
        <v>1462.4603331860992</v>
      </c>
      <c r="E36" s="15" cm="1" vm="28">
        <f t="array" ref="E36">_xlfn._xlws.PY(0,1,growth[[#This Row],[PU]],H35,F35)</f>
        <v>14.337846403785306</v>
      </c>
      <c r="F36" s="15">
        <f>growth[[#This Row],[IU Buy]]+F35</f>
        <v>731.2301665930496</v>
      </c>
      <c r="G36" s="15">
        <f>(($D36*$B$1+$F36)*(_xlfn.XLOOKUP($I36,el[EL Level],el[EL_MOD])+1))</f>
        <v>2742.1131247239364</v>
      </c>
      <c r="H36" s="16">
        <f>$G36*$B$3</f>
        <v>1371.0565623619682</v>
      </c>
      <c r="I36" s="16">
        <v>5</v>
      </c>
      <c r="J36" s="16">
        <v>5</v>
      </c>
      <c r="L36" s="2"/>
    </row>
    <row r="37" spans="1:12" x14ac:dyDescent="0.25">
      <c r="A37" s="13">
        <f>A36+1</f>
        <v>30</v>
      </c>
      <c r="B37" s="13">
        <v>2003</v>
      </c>
      <c r="C37" s="14">
        <v>4</v>
      </c>
      <c r="D37" s="15">
        <f>D36*(1+$B$4)</f>
        <v>1491.7095398498211</v>
      </c>
      <c r="E37" s="15" cm="1" vm="29">
        <f t="array" ref="E37">_xlfn._xlws.PY(0,1,growth[[#This Row],[PU]],H36,F36)</f>
        <v>14.624603331860953</v>
      </c>
      <c r="F37" s="15">
        <f>growth[[#This Row],[IU Buy]]+F36</f>
        <v>745.85476992491056</v>
      </c>
      <c r="G37" s="15">
        <f>(($D37*$B$1+$F37)*(_xlfn.XLOOKUP($I37,el[EL Level],el[EL_MOD])+1))</f>
        <v>2796.9553872184142</v>
      </c>
      <c r="H37" s="16">
        <f>$G37*$B$3</f>
        <v>1398.4776936092071</v>
      </c>
      <c r="I37" s="16">
        <v>5</v>
      </c>
      <c r="J37" s="16">
        <v>5</v>
      </c>
      <c r="L37" s="2"/>
    </row>
    <row r="38" spans="1:12" x14ac:dyDescent="0.25">
      <c r="A38" s="13">
        <f>A37+1</f>
        <v>31</v>
      </c>
      <c r="B38" s="13">
        <v>2003</v>
      </c>
      <c r="C38" s="14">
        <v>5</v>
      </c>
      <c r="D38" s="15">
        <f>D37*(1+$B$4)</f>
        <v>1521.5437306468175</v>
      </c>
      <c r="E38" s="15" cm="1" vm="30">
        <f t="array" ref="E38">_xlfn._xlws.PY(0,1,growth[[#This Row],[PU]],H37,F37)</f>
        <v>14.917095398498191</v>
      </c>
      <c r="F38" s="15">
        <f>growth[[#This Row],[IU Buy]]+F37</f>
        <v>760.77186532340875</v>
      </c>
      <c r="G38" s="15">
        <f>(($D38*$B$1+$F38)*(_xlfn.XLOOKUP($I38,el[EL Level],el[EL_MOD])+1))</f>
        <v>2852.894494962783</v>
      </c>
      <c r="H38" s="16">
        <f>$G38*$B$3</f>
        <v>1426.4472474813915</v>
      </c>
      <c r="I38" s="16">
        <v>5</v>
      </c>
      <c r="J38" s="16">
        <v>5</v>
      </c>
      <c r="L38" s="2"/>
    </row>
    <row r="39" spans="1:12" x14ac:dyDescent="0.25">
      <c r="A39" s="13">
        <f>A38+1</f>
        <v>32</v>
      </c>
      <c r="B39" s="13">
        <v>2003</v>
      </c>
      <c r="C39" s="14">
        <v>6</v>
      </c>
      <c r="D39" s="15">
        <f>D38*(1+$B$4)</f>
        <v>1551.9746052597538</v>
      </c>
      <c r="E39" s="15" cm="1" vm="31">
        <f t="array" ref="E39">_xlfn._xlws.PY(0,1,growth[[#This Row],[PU]],H38,F38)</f>
        <v>15.215437306468175</v>
      </c>
      <c r="F39" s="15">
        <f>growth[[#This Row],[IU Buy]]+F38</f>
        <v>775.98730262987692</v>
      </c>
      <c r="G39" s="15">
        <f>(($D39*$B$1+$F39)*(_xlfn.XLOOKUP($I39,el[EL Level],el[EL_MOD])+1))</f>
        <v>2909.9523848620383</v>
      </c>
      <c r="H39" s="16">
        <f>$G39*$B$3</f>
        <v>1454.9761924310192</v>
      </c>
      <c r="I39" s="16">
        <v>5</v>
      </c>
      <c r="J39" s="16">
        <v>5</v>
      </c>
      <c r="L39" s="2"/>
    </row>
    <row r="40" spans="1:12" x14ac:dyDescent="0.25">
      <c r="A40" s="12">
        <f>A39+1</f>
        <v>33</v>
      </c>
      <c r="B40" s="13">
        <v>2003</v>
      </c>
      <c r="C40" s="14">
        <v>7</v>
      </c>
      <c r="D40" s="15">
        <f>D39*(1+$B$4)</f>
        <v>1583.0140973649488</v>
      </c>
      <c r="E40" s="15" cm="1" vm="32">
        <f t="array" ref="E40">_xlfn._xlws.PY(0,1,growth[[#This Row],[PU]],H39,F39)</f>
        <v>15.519746052597498</v>
      </c>
      <c r="F40" s="15">
        <f>growth[[#This Row],[IU Buy]]+F39</f>
        <v>791.50704868247442</v>
      </c>
      <c r="G40" s="15">
        <f>(($D40*$B$1+$F40)*(_xlfn.XLOOKUP($I40,el[EL Level],el[EL_MOD])+1))</f>
        <v>3086.8774898616507</v>
      </c>
      <c r="H40" s="16">
        <f>$G40*$B$3</f>
        <v>1543.4387449308254</v>
      </c>
      <c r="I40" s="16">
        <v>6</v>
      </c>
      <c r="J40" s="16">
        <v>6</v>
      </c>
      <c r="L40" s="2"/>
    </row>
    <row r="41" spans="1:12" x14ac:dyDescent="0.25">
      <c r="A41" s="13">
        <f>A40+1</f>
        <v>34</v>
      </c>
      <c r="B41" s="13">
        <v>2003</v>
      </c>
      <c r="C41" s="14">
        <v>8</v>
      </c>
      <c r="D41" s="15">
        <f>D40*(1+$B$4)</f>
        <v>1614.6743793122478</v>
      </c>
      <c r="E41" s="15" cm="1" vm="33">
        <f t="array" ref="E41">_xlfn._xlws.PY(0,1,growth[[#This Row],[PU]],H40,F40)</f>
        <v>15.830140973649463</v>
      </c>
      <c r="F41" s="15">
        <f>growth[[#This Row],[IU Buy]]+F40</f>
        <v>807.33718965612388</v>
      </c>
      <c r="G41" s="15">
        <f>(($D41*$B$1+$F41)*(_xlfn.XLOOKUP($I41,el[EL Level],el[EL_MOD])+1))</f>
        <v>3148.6150396588832</v>
      </c>
      <c r="H41" s="16">
        <f>$G41*$B$3</f>
        <v>1574.3075198294416</v>
      </c>
      <c r="I41" s="16">
        <v>6</v>
      </c>
      <c r="J41" s="16">
        <v>6</v>
      </c>
      <c r="L41" s="2"/>
    </row>
    <row r="42" spans="1:12" x14ac:dyDescent="0.25">
      <c r="A42" s="13">
        <f>A41+1</f>
        <v>35</v>
      </c>
      <c r="B42" s="13">
        <v>2003</v>
      </c>
      <c r="C42" s="14">
        <v>9</v>
      </c>
      <c r="D42" s="15">
        <f>D41*(1+$B$4)</f>
        <v>1646.9678668984927</v>
      </c>
      <c r="E42" s="15" cm="1" vm="34">
        <f t="array" ref="E42">_xlfn._xlws.PY(0,1,growth[[#This Row],[PU]],H41,F41)</f>
        <v>16.146743793122482</v>
      </c>
      <c r="F42" s="15">
        <f>growth[[#This Row],[IU Buy]]+F41</f>
        <v>823.48393344924636</v>
      </c>
      <c r="G42" s="15">
        <f>(($D42*$B$1+$F42)*(_xlfn.XLOOKUP($I42,el[EL Level],el[EL_MOD])+1))</f>
        <v>3211.5873404520612</v>
      </c>
      <c r="H42" s="16">
        <f>$G42*$B$3</f>
        <v>1605.7936702260306</v>
      </c>
      <c r="I42" s="16">
        <v>6</v>
      </c>
      <c r="J42" s="16">
        <v>6</v>
      </c>
      <c r="L42" s="2"/>
    </row>
    <row r="43" spans="1:12" x14ac:dyDescent="0.25">
      <c r="A43" s="13">
        <f>A42+1</f>
        <v>36</v>
      </c>
      <c r="B43" s="13">
        <v>2003</v>
      </c>
      <c r="C43" s="14">
        <v>10</v>
      </c>
      <c r="D43" s="15">
        <f>D42*(1+$B$4)</f>
        <v>1679.9072242364625</v>
      </c>
      <c r="E43" s="15" cm="1" vm="35">
        <f t="array" ref="E43">_xlfn._xlws.PY(0,1,growth[[#This Row],[PU]],H42,F42)</f>
        <v>16.469678668984898</v>
      </c>
      <c r="F43" s="15">
        <f>growth[[#This Row],[IU Buy]]+F42</f>
        <v>839.95361211823126</v>
      </c>
      <c r="G43" s="15">
        <f>(($D43*$B$1+$F43)*(_xlfn.XLOOKUP($I43,el[EL Level],el[EL_MOD])+1))</f>
        <v>3275.8190872611017</v>
      </c>
      <c r="H43" s="16">
        <f>$G43*$B$3</f>
        <v>1637.9095436305508</v>
      </c>
      <c r="I43" s="16">
        <v>6</v>
      </c>
      <c r="J43" s="16">
        <v>6</v>
      </c>
      <c r="L43" s="2"/>
    </row>
    <row r="44" spans="1:12" x14ac:dyDescent="0.25">
      <c r="A44" s="13">
        <f>A43+1</f>
        <v>37</v>
      </c>
      <c r="B44" s="13">
        <v>2003</v>
      </c>
      <c r="C44" s="14">
        <v>11</v>
      </c>
      <c r="D44" s="15">
        <f>D43*(1+$B$4)</f>
        <v>1713.5053687211919</v>
      </c>
      <c r="E44" s="15" cm="1" vm="36">
        <f t="array" ref="E44">_xlfn._xlws.PY(0,1,growth[[#This Row],[PU]],H43,F43)</f>
        <v>16.799072242364673</v>
      </c>
      <c r="F44" s="15">
        <f>growth[[#This Row],[IU Buy]]+F43</f>
        <v>856.75268436059594</v>
      </c>
      <c r="G44" s="15">
        <f>(($D44*$B$1+$F44)*(_xlfn.XLOOKUP($I44,el[EL Level],el[EL_MOD])+1))</f>
        <v>3341.3354690063243</v>
      </c>
      <c r="H44" s="16">
        <f>$G44*$B$3</f>
        <v>1670.6677345031621</v>
      </c>
      <c r="I44" s="16">
        <v>6</v>
      </c>
      <c r="J44" s="16">
        <v>6</v>
      </c>
      <c r="L44" s="2"/>
    </row>
    <row r="45" spans="1:12" x14ac:dyDescent="0.25">
      <c r="A45" s="13">
        <f>A44+1</f>
        <v>38</v>
      </c>
      <c r="B45" s="13">
        <v>2003</v>
      </c>
      <c r="C45" s="14">
        <v>12</v>
      </c>
      <c r="D45" s="15">
        <f>D44*(1+$B$4)</f>
        <v>1747.7754760956157</v>
      </c>
      <c r="E45" s="15" cm="1" vm="37">
        <f t="array" ref="E45">_xlfn._xlws.PY(0,1,growth[[#This Row],[PU]],H44,F44)</f>
        <v>17.135053687211894</v>
      </c>
      <c r="F45" s="15">
        <f>growth[[#This Row],[IU Buy]]+F44</f>
        <v>873.88773804780783</v>
      </c>
      <c r="G45" s="15">
        <f>(($D45*$B$1+$F45)*(_xlfn.XLOOKUP($I45,el[EL Level],el[EL_MOD])+1))</f>
        <v>3408.1621783864507</v>
      </c>
      <c r="H45" s="16">
        <f>$G45*$B$3</f>
        <v>1704.0810891932254</v>
      </c>
      <c r="I45" s="16">
        <v>6</v>
      </c>
      <c r="J45" s="16">
        <v>6</v>
      </c>
      <c r="L45" s="2"/>
    </row>
    <row r="46" spans="1:12" x14ac:dyDescent="0.25">
      <c r="A46" s="13">
        <f>A45+1</f>
        <v>39</v>
      </c>
      <c r="B46" s="13">
        <v>2003</v>
      </c>
      <c r="C46" s="14">
        <v>13</v>
      </c>
      <c r="D46" s="15">
        <f>D45*(1+$B$4)</f>
        <v>1782.7309856175279</v>
      </c>
      <c r="E46" s="15" cm="1" vm="38">
        <f t="array" ref="E46">_xlfn._xlws.PY(0,1,growth[[#This Row],[PU]],H45,F45)</f>
        <v>17.477754760956145</v>
      </c>
      <c r="F46" s="15">
        <f>growth[[#This Row],[IU Buy]]+F45</f>
        <v>891.36549280876397</v>
      </c>
      <c r="G46" s="15">
        <f>(($D46*$B$1+$F46)*(_xlfn.XLOOKUP($I46,el[EL Level],el[EL_MOD])+1))</f>
        <v>3476.3254219541795</v>
      </c>
      <c r="H46" s="16">
        <f>$G46*$B$3</f>
        <v>1738.1627109770898</v>
      </c>
      <c r="I46" s="16">
        <v>6</v>
      </c>
      <c r="J46" s="16">
        <v>6</v>
      </c>
      <c r="L46" s="2"/>
    </row>
    <row r="47" spans="1:12" x14ac:dyDescent="0.25">
      <c r="A47" s="12">
        <f>A46+1</f>
        <v>40</v>
      </c>
      <c r="B47" s="13">
        <v>2004</v>
      </c>
      <c r="C47" s="14">
        <v>1</v>
      </c>
      <c r="D47" s="15">
        <f>D46*(1+$B$4)</f>
        <v>1818.3856053298784</v>
      </c>
      <c r="E47" s="15" cm="1" vm="39">
        <f t="array" ref="E47">_xlfn._xlws.PY(0,1,growth[[#This Row],[PU]],H46,F46)</f>
        <v>17.827309856175248</v>
      </c>
      <c r="F47" s="15">
        <f>growth[[#This Row],[IU Buy]]+F46</f>
        <v>909.19280266493922</v>
      </c>
      <c r="G47" s="15">
        <f>(($D47*$B$1+$F47)*(_xlfn.XLOOKUP($I47,el[EL Level],el[EL_MOD])+1))</f>
        <v>3682.2308507930038</v>
      </c>
      <c r="H47" s="16">
        <f>$G47*$B$3</f>
        <v>1841.1154253965019</v>
      </c>
      <c r="I47" s="16">
        <v>7</v>
      </c>
      <c r="J47" s="16">
        <v>7</v>
      </c>
      <c r="L47" s="2"/>
    </row>
    <row r="48" spans="1:12" x14ac:dyDescent="0.25">
      <c r="A48" s="13">
        <f>A47+1</f>
        <v>41</v>
      </c>
      <c r="B48" s="13">
        <v>2004</v>
      </c>
      <c r="C48" s="14">
        <v>2</v>
      </c>
      <c r="D48" s="15">
        <f>D47*(1+$B$4)</f>
        <v>1854.753317436476</v>
      </c>
      <c r="E48" s="15" cm="1" vm="40">
        <f t="array" ref="E48">_xlfn._xlws.PY(0,1,growth[[#This Row],[PU]],H47,F47)</f>
        <v>18.183856053298769</v>
      </c>
      <c r="F48" s="15">
        <f>growth[[#This Row],[IU Buy]]+F47</f>
        <v>927.37665871823799</v>
      </c>
      <c r="G48" s="15">
        <f>(($D48*$B$1+$F48)*(_xlfn.XLOOKUP($I48,el[EL Level],el[EL_MOD])+1))</f>
        <v>3755.875467808864</v>
      </c>
      <c r="H48" s="16">
        <f>$G48*$B$3</f>
        <v>1877.937733904432</v>
      </c>
      <c r="I48" s="16">
        <v>7</v>
      </c>
      <c r="J48" s="16">
        <v>7</v>
      </c>
      <c r="L48" s="2"/>
    </row>
    <row r="49" spans="1:12" x14ac:dyDescent="0.25">
      <c r="A49" s="13">
        <f>A48+1</f>
        <v>42</v>
      </c>
      <c r="B49" s="13">
        <v>2004</v>
      </c>
      <c r="C49" s="14">
        <v>3</v>
      </c>
      <c r="D49" s="15">
        <f>D48*(1+$B$4)</f>
        <v>1891.8483837852054</v>
      </c>
      <c r="E49" s="15" cm="1" vm="41">
        <f t="array" ref="E49">_xlfn._xlws.PY(0,1,growth[[#This Row],[PU]],H48,F48)</f>
        <v>18.54753317436473</v>
      </c>
      <c r="F49" s="15">
        <f>growth[[#This Row],[IU Buy]]+F48</f>
        <v>945.92419189260272</v>
      </c>
      <c r="G49" s="15">
        <f>(($D49*$B$1+$F49)*(_xlfn.XLOOKUP($I49,el[EL Level],el[EL_MOD])+1))</f>
        <v>3830.9929771650413</v>
      </c>
      <c r="H49" s="16">
        <f>$G49*$B$3</f>
        <v>1915.4964885825207</v>
      </c>
      <c r="I49" s="16">
        <v>7</v>
      </c>
      <c r="J49" s="16">
        <v>7</v>
      </c>
      <c r="L49" s="2"/>
    </row>
    <row r="50" spans="1:12" x14ac:dyDescent="0.25">
      <c r="A50" s="13">
        <f>A49+1</f>
        <v>43</v>
      </c>
      <c r="B50" s="13">
        <v>2004</v>
      </c>
      <c r="C50" s="14">
        <v>4</v>
      </c>
      <c r="D50" s="15">
        <f>D49*(1+$B$4)</f>
        <v>1929.6853514609095</v>
      </c>
      <c r="E50" s="15" cm="1" vm="42">
        <f t="array" ref="E50">_xlfn._xlws.PY(0,1,growth[[#This Row],[PU]],H49,F49)</f>
        <v>18.918483837852023</v>
      </c>
      <c r="F50" s="15">
        <f>growth[[#This Row],[IU Buy]]+F49</f>
        <v>964.84267573045474</v>
      </c>
      <c r="G50" s="15">
        <f>(($D50*$B$1+$F50)*(_xlfn.XLOOKUP($I50,el[EL Level],el[EL_MOD])+1))</f>
        <v>3907.612836708342</v>
      </c>
      <c r="H50" s="16">
        <f>$G50*$B$3</f>
        <v>1953.806418354171</v>
      </c>
      <c r="I50" s="16">
        <v>7</v>
      </c>
      <c r="J50" s="16">
        <v>7</v>
      </c>
      <c r="L50" s="2"/>
    </row>
    <row r="51" spans="1:12" x14ac:dyDescent="0.25">
      <c r="A51" s="13">
        <f>A50+1</f>
        <v>44</v>
      </c>
      <c r="B51" s="13">
        <v>2004</v>
      </c>
      <c r="C51" s="14">
        <v>5</v>
      </c>
      <c r="D51" s="15">
        <f>D50*(1+$B$4)</f>
        <v>1968.2790584901277</v>
      </c>
      <c r="E51" s="15" cm="1" vm="43">
        <f t="array" ref="E51">_xlfn._xlws.PY(0,1,growth[[#This Row],[PU]],H50,F50)</f>
        <v>19.296853514609097</v>
      </c>
      <c r="F51" s="15">
        <f>growth[[#This Row],[IU Buy]]+F50</f>
        <v>984.13952924506384</v>
      </c>
      <c r="G51" s="15">
        <f>(($D51*$B$1+$F51)*(_xlfn.XLOOKUP($I51,el[EL Level],el[EL_MOD])+1))</f>
        <v>3985.7650934425087</v>
      </c>
      <c r="H51" s="16">
        <f>$G51*$B$3</f>
        <v>1992.8825467212544</v>
      </c>
      <c r="I51" s="16">
        <v>7</v>
      </c>
      <c r="J51" s="16">
        <v>7</v>
      </c>
      <c r="L51" s="2"/>
    </row>
    <row r="52" spans="1:12" x14ac:dyDescent="0.25">
      <c r="A52" s="13">
        <f>A51+1</f>
        <v>45</v>
      </c>
      <c r="B52" s="13">
        <v>2004</v>
      </c>
      <c r="C52" s="14">
        <v>6</v>
      </c>
      <c r="D52" s="15">
        <f>D51*(1+$B$4)</f>
        <v>2007.6446396599304</v>
      </c>
      <c r="E52" s="15" cm="1" vm="44">
        <f t="array" ref="E52">_xlfn._xlws.PY(0,1,growth[[#This Row],[PU]],H51,F51)</f>
        <v>19.68279058490134</v>
      </c>
      <c r="F52" s="15">
        <f>growth[[#This Row],[IU Buy]]+F51</f>
        <v>1003.8223198299652</v>
      </c>
      <c r="G52" s="15">
        <f>(($D52*$B$1+$F52)*(_xlfn.XLOOKUP($I52,el[EL Level],el[EL_MOD])+1))</f>
        <v>4065.4803953113592</v>
      </c>
      <c r="H52" s="16">
        <f>$G52*$B$3</f>
        <v>2032.7401976556796</v>
      </c>
      <c r="I52" s="16">
        <v>7</v>
      </c>
      <c r="J52" s="16">
        <v>7</v>
      </c>
      <c r="L52" s="2"/>
    </row>
    <row r="53" spans="1:12" x14ac:dyDescent="0.25">
      <c r="A53" s="12">
        <f>A52+1</f>
        <v>46</v>
      </c>
      <c r="B53" s="13">
        <v>2004</v>
      </c>
      <c r="C53" s="14">
        <v>7</v>
      </c>
      <c r="D53" s="15">
        <f>D52*(1+$B$4)</f>
        <v>2047.797532453129</v>
      </c>
      <c r="E53" s="15" cm="1" vm="45">
        <f t="array" ref="E53">_xlfn._xlws.PY(0,1,growth[[#This Row],[PU]],H52,F52)</f>
        <v>20.076446396599295</v>
      </c>
      <c r="F53" s="15">
        <f>growth[[#This Row],[IU Buy]]+F52</f>
        <v>1023.8987662265645</v>
      </c>
      <c r="G53" s="15">
        <f>(($D53*$B$1+$F53)*(_xlfn.XLOOKUP($I53,el[EL Level],el[EL_MOD])+1))</f>
        <v>4300.3748181515703</v>
      </c>
      <c r="H53" s="16">
        <f>$G53*$B$3</f>
        <v>2150.1874090757851</v>
      </c>
      <c r="I53" s="16">
        <v>8</v>
      </c>
      <c r="J53" s="16">
        <v>8</v>
      </c>
      <c r="L53" s="2"/>
    </row>
    <row r="54" spans="1:12" x14ac:dyDescent="0.25">
      <c r="A54" s="13">
        <f>A53+1</f>
        <v>47</v>
      </c>
      <c r="B54" s="13">
        <v>2004</v>
      </c>
      <c r="C54" s="14">
        <v>8</v>
      </c>
      <c r="D54" s="15">
        <f>D53*(1+$B$4)</f>
        <v>2088.7534831021917</v>
      </c>
      <c r="E54" s="15" cm="1" vm="46">
        <f t="array" ref="E54">_xlfn._xlws.PY(0,1,growth[[#This Row],[PU]],H53,F53)</f>
        <v>20.477975324531371</v>
      </c>
      <c r="F54" s="15">
        <f>growth[[#This Row],[IU Buy]]+F53</f>
        <v>1044.3767415510958</v>
      </c>
      <c r="G54" s="15">
        <f>(($D54*$B$1+$F54)*(_xlfn.XLOOKUP($I54,el[EL Level],el[EL_MOD])+1))</f>
        <v>4386.3823145146025</v>
      </c>
      <c r="H54" s="16">
        <f>$G54*$B$3</f>
        <v>2193.1911572573013</v>
      </c>
      <c r="I54" s="16">
        <v>8</v>
      </c>
      <c r="J54" s="16">
        <v>8</v>
      </c>
      <c r="L54" s="2"/>
    </row>
    <row r="55" spans="1:12" x14ac:dyDescent="0.25">
      <c r="A55" s="13">
        <f>A54+1</f>
        <v>48</v>
      </c>
      <c r="B55" s="13">
        <v>2004</v>
      </c>
      <c r="C55" s="14">
        <v>9</v>
      </c>
      <c r="D55" s="15">
        <f>D54*(1+$B$4)</f>
        <v>2130.5285527642354</v>
      </c>
      <c r="E55" s="15" cm="1" vm="47">
        <f t="array" ref="E55">_xlfn._xlws.PY(0,1,growth[[#This Row],[PU]],H54,F54)</f>
        <v>20.887534831021867</v>
      </c>
      <c r="F55" s="15">
        <f>growth[[#This Row],[IU Buy]]+F54</f>
        <v>1065.2642763821177</v>
      </c>
      <c r="G55" s="15">
        <f>(($D55*$B$1+$F55)*(_xlfn.XLOOKUP($I55,el[EL Level],el[EL_MOD])+1))</f>
        <v>4474.1099608048944</v>
      </c>
      <c r="H55" s="16">
        <f>$G55*$B$3</f>
        <v>2237.0549804024472</v>
      </c>
      <c r="I55" s="16">
        <v>8</v>
      </c>
      <c r="J55" s="16">
        <v>8</v>
      </c>
      <c r="L55" s="2"/>
    </row>
    <row r="56" spans="1:12" x14ac:dyDescent="0.25">
      <c r="A56" s="13">
        <f>A55+1</f>
        <v>49</v>
      </c>
      <c r="B56" s="13">
        <v>2004</v>
      </c>
      <c r="C56" s="14">
        <v>10</v>
      </c>
      <c r="D56" s="15">
        <f>D55*(1+$B$4)</f>
        <v>2173.1391238195201</v>
      </c>
      <c r="E56" s="15" cm="1" vm="48">
        <f t="array" ref="E56">_xlfn._xlws.PY(0,1,growth[[#This Row],[PU]],H55,F55)</f>
        <v>21.305285527642354</v>
      </c>
      <c r="F56" s="15">
        <f>growth[[#This Row],[IU Buy]]+F55</f>
        <v>1086.5695619097601</v>
      </c>
      <c r="G56" s="15">
        <f>(($D56*$B$1+$F56)*(_xlfn.XLOOKUP($I56,el[EL Level],el[EL_MOD])+1))</f>
        <v>4563.5921600209922</v>
      </c>
      <c r="H56" s="16">
        <f>$G56*$B$3</f>
        <v>2281.7960800104961</v>
      </c>
      <c r="I56" s="16">
        <v>8</v>
      </c>
      <c r="J56" s="16">
        <v>8</v>
      </c>
      <c r="L56" s="2"/>
    </row>
    <row r="57" spans="1:12" x14ac:dyDescent="0.25">
      <c r="A57" s="13">
        <f>A56+1</f>
        <v>50</v>
      </c>
      <c r="B57" s="13">
        <v>2004</v>
      </c>
      <c r="C57" s="14">
        <v>11</v>
      </c>
      <c r="D57" s="15">
        <f>D56*(1+$B$4)</f>
        <v>2216.6019062959108</v>
      </c>
      <c r="E57" s="15" cm="1" vm="49">
        <f t="array" ref="E57">_xlfn._xlws.PY(0,1,growth[[#This Row],[PU]],H56,F56)</f>
        <v>21.731391238195329</v>
      </c>
      <c r="F57" s="15">
        <f>growth[[#This Row],[IU Buy]]+F56</f>
        <v>1108.3009531479554</v>
      </c>
      <c r="G57" s="15">
        <f>(($D57*$B$1+$F57)*(_xlfn.XLOOKUP($I57,el[EL Level],el[EL_MOD])+1))</f>
        <v>4654.8640032214116</v>
      </c>
      <c r="H57" s="16">
        <f>$G57*$B$3</f>
        <v>2327.4320016107058</v>
      </c>
      <c r="I57" s="16">
        <v>8</v>
      </c>
      <c r="J57" s="16">
        <v>8</v>
      </c>
      <c r="L57" s="2"/>
    </row>
    <row r="58" spans="1:12" x14ac:dyDescent="0.25">
      <c r="A58" s="13">
        <f>A57+1</f>
        <v>51</v>
      </c>
      <c r="B58" s="13">
        <v>2004</v>
      </c>
      <c r="C58" s="14">
        <v>12</v>
      </c>
      <c r="D58" s="15">
        <f>D57*(1+$B$4)</f>
        <v>2260.933944421829</v>
      </c>
      <c r="E58" s="15" cm="1" vm="50">
        <f t="array" ref="E58">_xlfn._xlws.PY(0,1,growth[[#This Row],[PU]],H57,F57)</f>
        <v>22.166019062959094</v>
      </c>
      <c r="F58" s="15">
        <f>growth[[#This Row],[IU Buy]]+F57</f>
        <v>1130.4669722109145</v>
      </c>
      <c r="G58" s="15">
        <f>(($D58*$B$1+$F58)*(_xlfn.XLOOKUP($I58,el[EL Level],el[EL_MOD])+1))</f>
        <v>4747.9612832858402</v>
      </c>
      <c r="H58" s="16">
        <f>$G58*$B$3</f>
        <v>2373.9806416429201</v>
      </c>
      <c r="I58" s="16">
        <v>8</v>
      </c>
      <c r="J58" s="16">
        <v>8</v>
      </c>
      <c r="L58" s="2"/>
    </row>
    <row r="59" spans="1:12" x14ac:dyDescent="0.25">
      <c r="A59" s="13">
        <f>A58+1</f>
        <v>52</v>
      </c>
      <c r="B59" s="13">
        <v>2004</v>
      </c>
      <c r="C59" s="14">
        <v>13</v>
      </c>
      <c r="D59" s="15">
        <f>D58*(1+$B$4)</f>
        <v>2306.1526233102654</v>
      </c>
      <c r="E59" s="15" cm="1" vm="51">
        <f t="array" ref="E59">_xlfn._xlws.PY(0,1,growth[[#This Row],[PU]],H58,F58)</f>
        <v>22.609339444218222</v>
      </c>
      <c r="F59" s="15">
        <f>growth[[#This Row],[IU Buy]]+F58</f>
        <v>1153.0763116551327</v>
      </c>
      <c r="G59" s="15">
        <f>(($D59*$B$1+$F59)*(_xlfn.XLOOKUP($I59,el[EL Level],el[EL_MOD])+1))</f>
        <v>4842.9205089515572</v>
      </c>
      <c r="H59" s="16">
        <f>$G59*$B$3</f>
        <v>2421.4602544757786</v>
      </c>
      <c r="I59" s="16">
        <v>8</v>
      </c>
      <c r="J59" s="16">
        <v>8</v>
      </c>
      <c r="L59" s="2"/>
    </row>
    <row r="60" spans="1:12" x14ac:dyDescent="0.25">
      <c r="A60" s="12">
        <f>A59+1</f>
        <v>53</v>
      </c>
      <c r="B60" s="13">
        <v>2005</v>
      </c>
      <c r="C60" s="14">
        <v>1</v>
      </c>
      <c r="D60" s="15">
        <f>D59*(1+$B$4)</f>
        <v>2352.275675776471</v>
      </c>
      <c r="E60" s="15" cm="1" vm="52">
        <f t="array" ref="E60">_xlfn._xlws.PY(0,1,growth[[#This Row],[PU]],H59,F59)</f>
        <v>23.061526233102768</v>
      </c>
      <c r="F60" s="15">
        <f>growth[[#This Row],[IU Buy]]+F59</f>
        <v>1176.1378378882355</v>
      </c>
      <c r="G60" s="15">
        <f>(($D60*$B$1+$F60)*(_xlfn.XLOOKUP($I60,el[EL Level],el[EL_MOD])+1))</f>
        <v>5116.1995948138238</v>
      </c>
      <c r="H60" s="16">
        <f>$G60*$B$3</f>
        <v>2558.0997974069119</v>
      </c>
      <c r="I60" s="16">
        <v>9</v>
      </c>
      <c r="J60" s="16">
        <v>9</v>
      </c>
      <c r="L60" s="2"/>
    </row>
    <row r="61" spans="1:12" x14ac:dyDescent="0.25">
      <c r="A61" s="13">
        <f>A60+1</f>
        <v>54</v>
      </c>
      <c r="B61" s="13">
        <v>2005</v>
      </c>
      <c r="C61" s="14">
        <v>2</v>
      </c>
      <c r="D61" s="15">
        <f>D60*(1+$B$4)</f>
        <v>2399.3211892920003</v>
      </c>
      <c r="E61" s="15" cm="1" vm="53">
        <f t="array" ref="E61">_xlfn._xlws.PY(0,1,growth[[#This Row],[PU]],H60,F60)</f>
        <v>23.522756757764682</v>
      </c>
      <c r="F61" s="15">
        <f>growth[[#This Row],[IU Buy]]+F60</f>
        <v>1199.6605946460002</v>
      </c>
      <c r="G61" s="15">
        <f>(($D61*$B$1+$F61)*(_xlfn.XLOOKUP($I61,el[EL Level],el[EL_MOD])+1))</f>
        <v>5218.5235867101001</v>
      </c>
      <c r="H61" s="16">
        <f>$G61*$B$3</f>
        <v>2609.26179335505</v>
      </c>
      <c r="I61" s="16">
        <v>9</v>
      </c>
      <c r="J61" s="16">
        <v>9</v>
      </c>
      <c r="L61" s="2"/>
    </row>
    <row r="62" spans="1:12" x14ac:dyDescent="0.25">
      <c r="A62" s="13">
        <f>A61+1</f>
        <v>55</v>
      </c>
      <c r="B62" s="13">
        <v>2005</v>
      </c>
      <c r="C62" s="14">
        <v>3</v>
      </c>
      <c r="D62" s="15">
        <f>D61*(1+$B$4)</f>
        <v>2447.3076130778404</v>
      </c>
      <c r="E62" s="15" cm="1" vm="54">
        <f t="array" ref="E62">_xlfn._xlws.PY(0,1,growth[[#This Row],[PU]],H61,F61)</f>
        <v>23.993211892920044</v>
      </c>
      <c r="F62" s="15">
        <f>growth[[#This Row],[IU Buy]]+F61</f>
        <v>1223.6538065389202</v>
      </c>
      <c r="G62" s="15">
        <f>(($D62*$B$1+$F62)*(_xlfn.XLOOKUP($I62,el[EL Level],el[EL_MOD])+1))</f>
        <v>5322.8940584443026</v>
      </c>
      <c r="H62" s="16">
        <f>$G62*$B$3</f>
        <v>2661.4470292221513</v>
      </c>
      <c r="I62" s="16">
        <v>9</v>
      </c>
      <c r="J62" s="16">
        <v>9</v>
      </c>
      <c r="L62" s="2"/>
    </row>
    <row r="63" spans="1:12" x14ac:dyDescent="0.25">
      <c r="A63" s="13">
        <f>A62+1</f>
        <v>56</v>
      </c>
      <c r="B63" s="13">
        <v>2005</v>
      </c>
      <c r="C63" s="14">
        <v>4</v>
      </c>
      <c r="D63" s="15">
        <f>D62*(1+$B$4)</f>
        <v>2496.2537653393974</v>
      </c>
      <c r="E63" s="15" cm="1" vm="55">
        <f t="array" ref="E63">_xlfn._xlws.PY(0,1,growth[[#This Row],[PU]],H62,F62)</f>
        <v>24.473076130778509</v>
      </c>
      <c r="F63" s="15">
        <f>growth[[#This Row],[IU Buy]]+F62</f>
        <v>1248.1268826696987</v>
      </c>
      <c r="G63" s="15">
        <f>(($D63*$B$1+$F63)*(_xlfn.XLOOKUP($I63,el[EL Level],el[EL_MOD])+1))</f>
        <v>5429.3519396131896</v>
      </c>
      <c r="H63" s="16">
        <f>$G63*$B$3</f>
        <v>2714.6759698065948</v>
      </c>
      <c r="I63" s="16">
        <v>9</v>
      </c>
      <c r="J63" s="16">
        <v>9</v>
      </c>
      <c r="L63" s="2"/>
    </row>
    <row r="64" spans="1:12" x14ac:dyDescent="0.25">
      <c r="A64" s="13">
        <f>A63+1</f>
        <v>57</v>
      </c>
      <c r="B64" s="13">
        <v>2005</v>
      </c>
      <c r="C64" s="14">
        <v>5</v>
      </c>
      <c r="D64" s="15">
        <f>D63*(1+$B$4)</f>
        <v>2546.1788406461856</v>
      </c>
      <c r="E64" s="15" cm="1" vm="56">
        <f t="array" ref="E64">_xlfn._xlws.PY(0,1,growth[[#This Row],[PU]],H63,F63)</f>
        <v>24.962537653394065</v>
      </c>
      <c r="F64" s="15">
        <f>growth[[#This Row],[IU Buy]]+F63</f>
        <v>1273.0894203230928</v>
      </c>
      <c r="G64" s="15">
        <f>(($D64*$B$1+$F64)*(_xlfn.XLOOKUP($I64,el[EL Level],el[EL_MOD])+1))</f>
        <v>5537.9389784054538</v>
      </c>
      <c r="H64" s="16">
        <f>$G64*$B$3</f>
        <v>2768.9694892027269</v>
      </c>
      <c r="I64" s="16">
        <v>9</v>
      </c>
      <c r="J64" s="16">
        <v>9</v>
      </c>
      <c r="L64" s="2"/>
    </row>
    <row r="65" spans="1:12" x14ac:dyDescent="0.25">
      <c r="A65" s="13">
        <f>A64+1</f>
        <v>58</v>
      </c>
      <c r="B65" s="13">
        <v>2005</v>
      </c>
      <c r="C65" s="14">
        <v>6</v>
      </c>
      <c r="D65" s="15">
        <f>D64*(1+$B$4)</f>
        <v>2597.1024174591093</v>
      </c>
      <c r="E65" s="15" cm="1" vm="57">
        <f t="array" ref="E65">_xlfn._xlws.PY(0,1,growth[[#This Row],[PU]],H64,F64)</f>
        <v>25.461788406461892</v>
      </c>
      <c r="F65" s="15">
        <f>growth[[#This Row],[IU Buy]]+F64</f>
        <v>1298.5512087295547</v>
      </c>
      <c r="G65" s="15">
        <f>(($D65*$B$1+$F65)*(_xlfn.XLOOKUP($I65,el[EL Level],el[EL_MOD])+1))</f>
        <v>5648.6977579735631</v>
      </c>
      <c r="H65" s="16">
        <f>$G65*$B$3</f>
        <v>2824.3488789867815</v>
      </c>
      <c r="I65" s="16">
        <v>9</v>
      </c>
      <c r="J65" s="16">
        <v>9</v>
      </c>
      <c r="L65" s="2"/>
    </row>
    <row r="66" spans="1:12" x14ac:dyDescent="0.25">
      <c r="A66" s="12">
        <f>A65+1</f>
        <v>59</v>
      </c>
      <c r="B66" s="13">
        <v>2005</v>
      </c>
      <c r="C66" s="14">
        <v>7</v>
      </c>
      <c r="D66" s="15">
        <f>D65*(1+$B$4)</f>
        <v>2649.0444658082915</v>
      </c>
      <c r="E66" s="15" cm="1" vm="58">
        <f t="array" ref="E66">_xlfn._xlws.PY(0,1,growth[[#This Row],[PU]],H65,F65)</f>
        <v>25.971024174591093</v>
      </c>
      <c r="F66" s="15">
        <f>growth[[#This Row],[IU Buy]]+F65</f>
        <v>1324.5222329041458</v>
      </c>
      <c r="G66" s="15">
        <f>(($D66*$B$1+$F66)*(_xlfn.XLOOKUP($I66,el[EL Level],el[EL_MOD])+1))</f>
        <v>5960.3500480686562</v>
      </c>
      <c r="H66" s="16">
        <f>$G66*$B$3</f>
        <v>2980.1750240343281</v>
      </c>
      <c r="I66" s="16">
        <v>10</v>
      </c>
      <c r="J66" s="16">
        <v>10</v>
      </c>
      <c r="L66" s="2"/>
    </row>
    <row r="67" spans="1:12" x14ac:dyDescent="0.25">
      <c r="A67" s="13">
        <f>A66+1</f>
        <v>60</v>
      </c>
      <c r="B67" s="13">
        <v>2005</v>
      </c>
      <c r="C67" s="14">
        <v>8</v>
      </c>
      <c r="D67" s="15">
        <f>D66*(1+$B$4)</f>
        <v>2702.0253551244573</v>
      </c>
      <c r="E67" s="15" cm="1" vm="59">
        <f t="array" ref="E67">_xlfn._xlws.PY(0,1,growth[[#This Row],[PU]],H66,F66)</f>
        <v>26.490444658082879</v>
      </c>
      <c r="F67" s="15">
        <f>growth[[#This Row],[IU Buy]]+F66</f>
        <v>1351.0126775622286</v>
      </c>
      <c r="G67" s="15">
        <f>(($D67*$B$1+$F67)*(_xlfn.XLOOKUP($I67,el[EL Level],el[EL_MOD])+1))</f>
        <v>6079.5570490300288</v>
      </c>
      <c r="H67" s="16">
        <f>$G67*$B$3</f>
        <v>3039.7785245150144</v>
      </c>
      <c r="I67" s="16">
        <v>10</v>
      </c>
      <c r="J67" s="16">
        <v>10</v>
      </c>
      <c r="L67" s="2"/>
    </row>
    <row r="68" spans="1:12" x14ac:dyDescent="0.25">
      <c r="A68" s="13">
        <f>A67+1</f>
        <v>61</v>
      </c>
      <c r="B68" s="13">
        <v>2005</v>
      </c>
      <c r="C68" s="14">
        <v>9</v>
      </c>
      <c r="D68" s="15">
        <f>D67*(1+$B$4)</f>
        <v>2756.0658622269466</v>
      </c>
      <c r="E68" s="15" cm="1" vm="60">
        <f t="array" ref="E68">_xlfn._xlws.PY(0,1,growth[[#This Row],[PU]],H67,F67)</f>
        <v>27.02025355124465</v>
      </c>
      <c r="F68" s="15">
        <f>growth[[#This Row],[IU Buy]]+F67</f>
        <v>1378.0329311134733</v>
      </c>
      <c r="G68" s="15">
        <f>(($D68*$B$1+$F68)*(_xlfn.XLOOKUP($I68,el[EL Level],el[EL_MOD])+1))</f>
        <v>6201.1481900106292</v>
      </c>
      <c r="H68" s="16">
        <f>$G68*$B$3</f>
        <v>3100.5740950053146</v>
      </c>
      <c r="I68" s="16">
        <v>10</v>
      </c>
      <c r="J68" s="16">
        <v>10</v>
      </c>
      <c r="L68" s="2"/>
    </row>
    <row r="69" spans="1:12" x14ac:dyDescent="0.25">
      <c r="A69" s="13">
        <f>A68+1</f>
        <v>62</v>
      </c>
      <c r="B69" s="13">
        <v>2005</v>
      </c>
      <c r="C69" s="14">
        <v>10</v>
      </c>
      <c r="D69" s="15">
        <f>D68*(1+$B$4)</f>
        <v>2811.1871794714857</v>
      </c>
      <c r="E69" s="15" cm="1" vm="61">
        <f t="array" ref="E69">_xlfn._xlws.PY(0,1,growth[[#This Row],[PU]],H68,F68)</f>
        <v>27.560658622269557</v>
      </c>
      <c r="F69" s="15">
        <f>growth[[#This Row],[IU Buy]]+F68</f>
        <v>1405.5935897357429</v>
      </c>
      <c r="G69" s="15">
        <f>(($D69*$B$1+$F69)*(_xlfn.XLOOKUP($I69,el[EL Level],el[EL_MOD])+1))</f>
        <v>6325.171153810843</v>
      </c>
      <c r="H69" s="16">
        <f>$G69*$B$3</f>
        <v>3162.5855769054215</v>
      </c>
      <c r="I69" s="16">
        <v>10</v>
      </c>
      <c r="J69" s="16">
        <v>10</v>
      </c>
      <c r="L69" s="2"/>
    </row>
    <row r="70" spans="1:12" x14ac:dyDescent="0.25">
      <c r="A70" s="13">
        <f>A69+1</f>
        <v>63</v>
      </c>
      <c r="B70" s="13">
        <v>2005</v>
      </c>
      <c r="C70" s="14">
        <v>11</v>
      </c>
      <c r="D70" s="15">
        <f>D69*(1+$B$4)</f>
        <v>2867.4109230609156</v>
      </c>
      <c r="E70" s="15" cm="1" vm="62">
        <f t="array" ref="E70">_xlfn._xlws.PY(0,1,growth[[#This Row],[PU]],H69,F69)</f>
        <v>28.111871794714943</v>
      </c>
      <c r="F70" s="15">
        <f>growth[[#This Row],[IU Buy]]+F69</f>
        <v>1433.7054615304578</v>
      </c>
      <c r="G70" s="15">
        <f>(($D70*$B$1+$F70)*(_xlfn.XLOOKUP($I70,el[EL Level],el[EL_MOD])+1))</f>
        <v>6451.6745768870605</v>
      </c>
      <c r="H70" s="16">
        <f>$G70*$B$3</f>
        <v>3225.8372884435303</v>
      </c>
      <c r="I70" s="16">
        <v>10</v>
      </c>
      <c r="J70" s="16">
        <v>10</v>
      </c>
      <c r="L70" s="2"/>
    </row>
    <row r="71" spans="1:12" x14ac:dyDescent="0.25">
      <c r="A71" s="13">
        <f>A70+1</f>
        <v>64</v>
      </c>
      <c r="B71" s="13">
        <v>2005</v>
      </c>
      <c r="C71" s="14">
        <v>12</v>
      </c>
      <c r="D71" s="15">
        <f>D70*(1+$B$4)</f>
        <v>2924.7591415221341</v>
      </c>
      <c r="E71" s="15" cm="1" vm="63">
        <f t="array" ref="E71">_xlfn._xlws.PY(0,1,growth[[#This Row],[PU]],H70,F70)</f>
        <v>28.674109230609247</v>
      </c>
      <c r="F71" s="15">
        <f>growth[[#This Row],[IU Buy]]+F70</f>
        <v>1462.379570761067</v>
      </c>
      <c r="G71" s="15">
        <f>(($D71*$B$1+$F71)*(_xlfn.XLOOKUP($I71,el[EL Level],el[EL_MOD])+1))</f>
        <v>6580.7080684248012</v>
      </c>
      <c r="H71" s="16">
        <f>$G71*$B$3</f>
        <v>3290.3540342124006</v>
      </c>
      <c r="I71" s="16">
        <v>10</v>
      </c>
      <c r="J71" s="16">
        <v>10</v>
      </c>
      <c r="L71" s="2"/>
    </row>
    <row r="72" spans="1:12" x14ac:dyDescent="0.25">
      <c r="A72" s="13">
        <f>A71+1</f>
        <v>65</v>
      </c>
      <c r="B72" s="13">
        <v>2005</v>
      </c>
      <c r="C72" s="14">
        <v>13</v>
      </c>
      <c r="D72" s="15">
        <f>D71*(1+$B$4)</f>
        <v>2983.254324352577</v>
      </c>
      <c r="E72" s="15" cm="1" vm="64">
        <f t="array" ref="E72">_xlfn._xlws.PY(0,1,growth[[#This Row],[PU]],H71,F71)</f>
        <v>29.24759141522145</v>
      </c>
      <c r="F72" s="15">
        <f>growth[[#This Row],[IU Buy]]+F71</f>
        <v>1491.6271621762885</v>
      </c>
      <c r="G72" s="15">
        <f>(($D72*$B$1+$F72)*(_xlfn.XLOOKUP($I72,el[EL Level],el[EL_MOD])+1))</f>
        <v>6712.3222297932989</v>
      </c>
      <c r="H72" s="16">
        <f>$G72*$B$3</f>
        <v>3356.1611148966495</v>
      </c>
      <c r="I72" s="16">
        <v>10</v>
      </c>
      <c r="J72" s="16">
        <v>10</v>
      </c>
      <c r="L72" s="2"/>
    </row>
    <row r="73" spans="1:12" x14ac:dyDescent="0.25">
      <c r="A73" s="12">
        <f>A72+1</f>
        <v>66</v>
      </c>
      <c r="B73" s="13">
        <v>2006</v>
      </c>
      <c r="C73" s="14">
        <v>1</v>
      </c>
      <c r="D73" s="15">
        <f>D72*(1+$B$4)</f>
        <v>3042.9194108396287</v>
      </c>
      <c r="E73" s="15" cm="1" vm="65">
        <f t="array" ref="E73">_xlfn._xlws.PY(0,1,growth[[#This Row],[PU]],H72,F72)</f>
        <v>29.832543243525834</v>
      </c>
      <c r="F73" s="15">
        <f>growth[[#This Row],[IU Buy]]+F72</f>
        <v>1521.4597054198143</v>
      </c>
      <c r="G73" s="15">
        <f>(($D73*$B$1+$F73)*(_xlfn.XLOOKUP($I73,el[EL Level],el[EL_MOD])+1))</f>
        <v>6846.5686743891638</v>
      </c>
      <c r="H73" s="16">
        <f>$G73*$B$3</f>
        <v>3423.2843371945819</v>
      </c>
      <c r="I73" s="16">
        <v>10</v>
      </c>
      <c r="J73" s="16">
        <v>10</v>
      </c>
      <c r="L73" s="2"/>
    </row>
    <row r="74" spans="1:12" x14ac:dyDescent="0.25">
      <c r="A74" s="13">
        <f>A73+1</f>
        <v>67</v>
      </c>
      <c r="B74" s="13">
        <v>2006</v>
      </c>
      <c r="C74" s="14">
        <v>2</v>
      </c>
      <c r="D74" s="15">
        <f>D73*(1+$B$4)</f>
        <v>3103.7777990564214</v>
      </c>
      <c r="E74" s="15" cm="1" vm="66">
        <f t="array" ref="E74">_xlfn._xlws.PY(0,1,growth[[#This Row],[PU]],H73,F73)</f>
        <v>30.429194108396359</v>
      </c>
      <c r="F74" s="15">
        <f>growth[[#This Row],[IU Buy]]+F73</f>
        <v>1551.8888995282107</v>
      </c>
      <c r="G74" s="15">
        <f>(($D74*$B$1+$F74)*(_xlfn.XLOOKUP($I74,el[EL Level],el[EL_MOD])+1))</f>
        <v>6983.5000478769489</v>
      </c>
      <c r="H74" s="16">
        <f>$G74*$B$3</f>
        <v>3491.7500239384744</v>
      </c>
      <c r="I74" s="16">
        <v>10</v>
      </c>
      <c r="J74" s="16">
        <v>10</v>
      </c>
      <c r="L74" s="2"/>
    </row>
    <row r="75" spans="1:12" x14ac:dyDescent="0.25">
      <c r="A75" s="13">
        <f>A74+1</f>
        <v>68</v>
      </c>
      <c r="B75" s="13">
        <v>2006</v>
      </c>
      <c r="C75" s="14">
        <v>3</v>
      </c>
      <c r="D75" s="15">
        <f>D74*(1+$B$4)</f>
        <v>3165.85335503755</v>
      </c>
      <c r="E75" s="15" cm="1" vm="67">
        <f t="array" ref="E75">_xlfn._xlws.PY(0,1,growth[[#This Row],[PU]],H74,F74)</f>
        <v>31.037777990564337</v>
      </c>
      <c r="F75" s="15">
        <f>growth[[#This Row],[IU Buy]]+F74</f>
        <v>1582.926677518775</v>
      </c>
      <c r="G75" s="15">
        <f>(($D75*$B$1+$F75)*(_xlfn.XLOOKUP($I75,el[EL Level],el[EL_MOD])+1))</f>
        <v>7123.1700488344868</v>
      </c>
      <c r="H75" s="16">
        <f>$G75*$B$3</f>
        <v>3561.5850244172434</v>
      </c>
      <c r="I75" s="16">
        <v>10</v>
      </c>
      <c r="J75" s="16">
        <v>10</v>
      </c>
      <c r="L75" s="2"/>
    </row>
    <row r="76" spans="1:12" x14ac:dyDescent="0.25">
      <c r="A76" s="13">
        <f>A75+1</f>
        <v>69</v>
      </c>
      <c r="B76" s="13">
        <v>2006</v>
      </c>
      <c r="C76" s="14">
        <v>4</v>
      </c>
      <c r="D76" s="15">
        <f>D75*(1+$B$4)</f>
        <v>3229.1704221383011</v>
      </c>
      <c r="E76" s="15" cm="1" vm="68">
        <f t="array" ref="E76">_xlfn._xlws.PY(0,1,growth[[#This Row],[PU]],H75,F75)</f>
        <v>31.658533550375523</v>
      </c>
      <c r="F76" s="15">
        <f>growth[[#This Row],[IU Buy]]+F75</f>
        <v>1614.5852110691505</v>
      </c>
      <c r="G76" s="15">
        <f>(($D76*$B$1+$F76)*(_xlfn.XLOOKUP($I76,el[EL Level],el[EL_MOD])+1))</f>
        <v>7265.6334498111773</v>
      </c>
      <c r="H76" s="16">
        <f>$G76*$B$3</f>
        <v>3632.8167249055887</v>
      </c>
      <c r="I76" s="16">
        <v>10</v>
      </c>
      <c r="J76" s="16">
        <v>10</v>
      </c>
      <c r="L76" s="2"/>
    </row>
    <row r="77" spans="1:12" x14ac:dyDescent="0.25">
      <c r="A77" s="13">
        <f>A76+1</f>
        <v>70</v>
      </c>
      <c r="B77" s="13">
        <v>2006</v>
      </c>
      <c r="C77" s="14">
        <v>5</v>
      </c>
      <c r="D77" s="15">
        <f>D76*(1+$B$4)</f>
        <v>3293.7538305810672</v>
      </c>
      <c r="E77" s="15" cm="1" vm="69">
        <f t="array" ref="E77">_xlfn._xlws.PY(0,1,growth[[#This Row],[PU]],H76,F76)</f>
        <v>32.291704221383043</v>
      </c>
      <c r="F77" s="15">
        <f>growth[[#This Row],[IU Buy]]+F76</f>
        <v>1646.8769152905336</v>
      </c>
      <c r="G77" s="15">
        <f>(($D77*$B$1+$F77)*(_xlfn.XLOOKUP($I77,el[EL Level],el[EL_MOD])+1))</f>
        <v>7410.9461188074019</v>
      </c>
      <c r="H77" s="16">
        <f>$G77*$B$3</f>
        <v>3705.473059403701</v>
      </c>
      <c r="I77" s="16">
        <v>10</v>
      </c>
      <c r="J77" s="16">
        <v>10</v>
      </c>
      <c r="L77" s="2"/>
    </row>
    <row r="78" spans="1:12" x14ac:dyDescent="0.25">
      <c r="A78" s="13">
        <f>A77+1</f>
        <v>71</v>
      </c>
      <c r="B78" s="13">
        <v>2006</v>
      </c>
      <c r="C78" s="14">
        <v>6</v>
      </c>
      <c r="D78" s="15">
        <f>D77*(1+$B$4)</f>
        <v>3359.6289071926885</v>
      </c>
      <c r="E78" s="15" cm="1" vm="70">
        <f t="array" ref="E78">_xlfn._xlws.PY(0,1,growth[[#This Row],[PU]],H77,F77)</f>
        <v>32.937538305810676</v>
      </c>
      <c r="F78" s="15">
        <f>growth[[#This Row],[IU Buy]]+F77</f>
        <v>1679.8144535963443</v>
      </c>
      <c r="G78" s="15">
        <f>(($D78*$B$1+$F78)*(_xlfn.XLOOKUP($I78,el[EL Level],el[EL_MOD])+1))</f>
        <v>7559.1650411835499</v>
      </c>
      <c r="H78" s="16">
        <f>$G78*$B$3</f>
        <v>3779.5825205917749</v>
      </c>
      <c r="I78" s="16">
        <v>10</v>
      </c>
      <c r="J78" s="16">
        <v>10</v>
      </c>
      <c r="L78" s="2"/>
    </row>
    <row r="79" spans="1:12" x14ac:dyDescent="0.25">
      <c r="A79" s="12">
        <f>A78+1</f>
        <v>72</v>
      </c>
      <c r="B79" s="13">
        <v>2006</v>
      </c>
      <c r="C79" s="14">
        <v>7</v>
      </c>
      <c r="D79" s="15">
        <f>D78*(1+$B$4)</f>
        <v>3426.8214853365425</v>
      </c>
      <c r="E79" s="15" cm="1" vm="71">
        <f t="array" ref="E79">_xlfn._xlws.PY(0,1,growth[[#This Row],[PU]],H78,F78)</f>
        <v>33.596289071927004</v>
      </c>
      <c r="F79" s="15">
        <f>growth[[#This Row],[IU Buy]]+F78</f>
        <v>1713.4107426682713</v>
      </c>
      <c r="G79" s="15">
        <f>(($D79*$B$1+$F79)*(_xlfn.XLOOKUP($I79,el[EL Level],el[EL_MOD])+1))</f>
        <v>7710.3483420072207</v>
      </c>
      <c r="H79" s="16">
        <f>$G79*$B$3</f>
        <v>3855.1741710036104</v>
      </c>
      <c r="I79" s="16">
        <v>10</v>
      </c>
      <c r="J79" s="16">
        <v>10</v>
      </c>
      <c r="L79" s="2"/>
    </row>
    <row r="80" spans="1:12" x14ac:dyDescent="0.25">
      <c r="A80" s="13">
        <f>A79+1</f>
        <v>73</v>
      </c>
      <c r="B80" s="13">
        <v>2006</v>
      </c>
      <c r="C80" s="14">
        <v>8</v>
      </c>
      <c r="D80" s="15">
        <f>D79*(1+$B$4)</f>
        <v>3495.3579150432734</v>
      </c>
      <c r="E80" s="15" cm="1" vm="72">
        <f t="array" ref="E80">_xlfn._xlws.PY(0,1,growth[[#This Row],[PU]],H79,F79)</f>
        <v>34.268214853365407</v>
      </c>
      <c r="F80" s="15">
        <f>growth[[#This Row],[IU Buy]]+F79</f>
        <v>1747.6789575216367</v>
      </c>
      <c r="G80" s="15">
        <f>(($D80*$B$1+$F80)*(_xlfn.XLOOKUP($I80,el[EL Level],el[EL_MOD])+1))</f>
        <v>7864.5553088473644</v>
      </c>
      <c r="H80" s="16">
        <f>$G80*$B$3</f>
        <v>3932.2776544236822</v>
      </c>
      <c r="I80" s="16">
        <v>10</v>
      </c>
      <c r="J80" s="16">
        <v>10</v>
      </c>
      <c r="L80" s="2"/>
    </row>
    <row r="81" spans="1:12" x14ac:dyDescent="0.25">
      <c r="A81" s="13">
        <f>A80+1</f>
        <v>74</v>
      </c>
      <c r="B81" s="13">
        <v>2006</v>
      </c>
      <c r="C81" s="14">
        <v>9</v>
      </c>
      <c r="D81" s="15">
        <f>D80*(1+$B$4)</f>
        <v>3565.2650733441387</v>
      </c>
      <c r="E81" s="15" cm="1" vm="73">
        <f t="array" ref="E81">_xlfn._xlws.PY(0,1,growth[[#This Row],[PU]],H80,F80)</f>
        <v>34.953579150432688</v>
      </c>
      <c r="F81" s="15">
        <f>growth[[#This Row],[IU Buy]]+F80</f>
        <v>1782.6325366720694</v>
      </c>
      <c r="G81" s="15">
        <f>(($D81*$B$1+$F81)*(_xlfn.XLOOKUP($I81,el[EL Level],el[EL_MOD])+1))</f>
        <v>8021.8464150243126</v>
      </c>
      <c r="H81" s="16">
        <f>$G81*$B$3</f>
        <v>4010.9232075121563</v>
      </c>
      <c r="I81" s="16">
        <v>10</v>
      </c>
      <c r="J81" s="16">
        <v>10</v>
      </c>
      <c r="L81" s="2"/>
    </row>
    <row r="82" spans="1:12" x14ac:dyDescent="0.25">
      <c r="A82" s="13">
        <f>A81+1</f>
        <v>75</v>
      </c>
      <c r="B82" s="13">
        <v>2006</v>
      </c>
      <c r="C82" s="14">
        <v>10</v>
      </c>
      <c r="D82" s="15">
        <f>D81*(1+$B$4)</f>
        <v>3636.5703748110213</v>
      </c>
      <c r="E82" s="15" cm="1" vm="74">
        <f t="array" ref="E82">_xlfn._xlws.PY(0,1,growth[[#This Row],[PU]],H81,F81)</f>
        <v>35.652650733441305</v>
      </c>
      <c r="F82" s="15">
        <f>growth[[#This Row],[IU Buy]]+F81</f>
        <v>1818.2851874055107</v>
      </c>
      <c r="G82" s="15">
        <f>(($D82*$B$1+$F82)*(_xlfn.XLOOKUP($I82,el[EL Level],el[EL_MOD])+1))</f>
        <v>8182.2833433247979</v>
      </c>
      <c r="H82" s="16">
        <f>$G82*$B$3</f>
        <v>4091.1416716623989</v>
      </c>
      <c r="I82" s="16">
        <v>10</v>
      </c>
      <c r="J82" s="16">
        <v>10</v>
      </c>
      <c r="L82" s="2"/>
    </row>
    <row r="83" spans="1:12" x14ac:dyDescent="0.25">
      <c r="A83" s="13">
        <f>A82+1</f>
        <v>76</v>
      </c>
      <c r="B83" s="13">
        <v>2006</v>
      </c>
      <c r="C83" s="14">
        <v>11</v>
      </c>
      <c r="D83" s="15">
        <f>D82*(1+$B$4)</f>
        <v>3709.3017823072419</v>
      </c>
      <c r="E83" s="15" cm="1" vm="75">
        <f t="array" ref="E83">_xlfn._xlws.PY(0,1,growth[[#This Row],[PU]],H82,F82)</f>
        <v>36.365703748110263</v>
      </c>
      <c r="F83" s="15">
        <f>growth[[#This Row],[IU Buy]]+F82</f>
        <v>1854.6508911536209</v>
      </c>
      <c r="G83" s="15">
        <f>(($D83*$B$1+$F83)*(_xlfn.XLOOKUP($I83,el[EL Level],el[EL_MOD])+1))</f>
        <v>8345.9290101912939</v>
      </c>
      <c r="H83" s="16">
        <f>$G83*$B$3</f>
        <v>4172.9645050956469</v>
      </c>
      <c r="I83" s="16">
        <v>10</v>
      </c>
      <c r="J83" s="16">
        <v>10</v>
      </c>
      <c r="L83" s="2"/>
    </row>
    <row r="84" spans="1:12" x14ac:dyDescent="0.25">
      <c r="A84" s="13">
        <f>A83+1</f>
        <v>77</v>
      </c>
      <c r="B84" s="13">
        <v>2006</v>
      </c>
      <c r="C84" s="14">
        <v>12</v>
      </c>
      <c r="D84" s="15">
        <f>D83*(1+$B$4)</f>
        <v>3783.4878179533866</v>
      </c>
      <c r="E84" s="15" cm="1" vm="76">
        <f t="array" ref="E84">_xlfn._xlws.PY(0,1,growth[[#This Row],[PU]],H83,F83)</f>
        <v>37.093017823072387</v>
      </c>
      <c r="F84" s="15">
        <f>growth[[#This Row],[IU Buy]]+F83</f>
        <v>1891.7439089766933</v>
      </c>
      <c r="G84" s="15">
        <f>(($D84*$B$1+$F84)*(_xlfn.XLOOKUP($I84,el[EL Level],el[EL_MOD])+1))</f>
        <v>8512.8475903951203</v>
      </c>
      <c r="H84" s="16">
        <f>$G84*$B$3</f>
        <v>4256.4237951975601</v>
      </c>
      <c r="I84" s="16">
        <v>10</v>
      </c>
      <c r="J84" s="16">
        <v>10</v>
      </c>
      <c r="L84" s="2"/>
    </row>
    <row r="85" spans="1:12" x14ac:dyDescent="0.25">
      <c r="A85" s="13">
        <f>A84+1</f>
        <v>78</v>
      </c>
      <c r="B85" s="13">
        <v>2006</v>
      </c>
      <c r="C85" s="14">
        <v>13</v>
      </c>
      <c r="D85" s="15">
        <f>D84*(1+$B$4)</f>
        <v>3859.1575743124545</v>
      </c>
      <c r="E85" s="15" cm="1" vm="77">
        <f t="array" ref="E85">_xlfn._xlws.PY(0,1,growth[[#This Row],[PU]],H84,F84)</f>
        <v>37.834878179533916</v>
      </c>
      <c r="F85" s="15">
        <f>growth[[#This Row],[IU Buy]]+F84</f>
        <v>1929.5787871562272</v>
      </c>
      <c r="G85" s="15">
        <f>(($D85*$B$1+$F85)*(_xlfn.XLOOKUP($I85,el[EL Level],el[EL_MOD])+1))</f>
        <v>8683.104542203022</v>
      </c>
      <c r="H85" s="16">
        <f>$G85*$B$3</f>
        <v>4341.552271101511</v>
      </c>
      <c r="I85" s="16">
        <v>10</v>
      </c>
      <c r="J85" s="16">
        <v>10</v>
      </c>
      <c r="L85" s="2"/>
    </row>
    <row r="86" spans="1:12" x14ac:dyDescent="0.25">
      <c r="A86" s="12">
        <f>A85+1</f>
        <v>79</v>
      </c>
      <c r="B86" s="13">
        <v>2007</v>
      </c>
      <c r="C86" s="14">
        <v>1</v>
      </c>
      <c r="D86" s="15">
        <f>D85*(1+$B$4)</f>
        <v>3936.3407257987037</v>
      </c>
      <c r="E86" s="15" cm="1" vm="78">
        <f t="array" ref="E86">_xlfn._xlws.PY(0,1,growth[[#This Row],[PU]],H85,F85)</f>
        <v>38.591575743124622</v>
      </c>
      <c r="F86" s="15">
        <f>growth[[#This Row],[IU Buy]]+F85</f>
        <v>1968.1703628993519</v>
      </c>
      <c r="G86" s="15">
        <f>(($D86*$B$1+$F86)*(_xlfn.XLOOKUP($I86,el[EL Level],el[EL_MOD])+1))</f>
        <v>8856.7666330470838</v>
      </c>
      <c r="H86" s="16">
        <f>$G86*$B$3</f>
        <v>4428.3833165235419</v>
      </c>
      <c r="I86" s="16">
        <v>10</v>
      </c>
      <c r="J86" s="16">
        <v>10</v>
      </c>
      <c r="L86" s="2"/>
    </row>
    <row r="87" spans="1:12" x14ac:dyDescent="0.25">
      <c r="A87" s="13">
        <f>A86+1</f>
        <v>80</v>
      </c>
      <c r="B87" s="13">
        <v>2007</v>
      </c>
      <c r="C87" s="14">
        <v>2</v>
      </c>
      <c r="D87" s="15">
        <f>D86*(1+$B$4)</f>
        <v>4015.0675403146779</v>
      </c>
      <c r="E87" s="15" cm="1" vm="79">
        <f t="array" ref="E87">_xlfn._xlws.PY(0,1,growth[[#This Row],[PU]],H86,F86)</f>
        <v>39.363407257987092</v>
      </c>
      <c r="F87" s="15">
        <f>growth[[#This Row],[IU Buy]]+F86</f>
        <v>2007.5337701573389</v>
      </c>
      <c r="G87" s="15">
        <f>(($D87*$B$1+$F87)*(_xlfn.XLOOKUP($I87,el[EL Level],el[EL_MOD])+1))</f>
        <v>9033.9019657080244</v>
      </c>
      <c r="H87" s="16">
        <f>$G87*$B$3</f>
        <v>4516.9509828540122</v>
      </c>
      <c r="I87" s="16">
        <v>10</v>
      </c>
      <c r="J87" s="16">
        <v>10</v>
      </c>
      <c r="L87" s="2"/>
    </row>
    <row r="88" spans="1:12" x14ac:dyDescent="0.25">
      <c r="A88" s="13">
        <f>A87+1</f>
        <v>81</v>
      </c>
      <c r="B88" s="13">
        <v>2007</v>
      </c>
      <c r="C88" s="14">
        <v>3</v>
      </c>
      <c r="D88" s="15">
        <f>D87*(1+$B$4)</f>
        <v>4095.3688911209715</v>
      </c>
      <c r="E88" s="15" cm="1" vm="80">
        <f t="array" ref="E88">_xlfn._xlws.PY(0,1,growth[[#This Row],[PU]],H87,F87)</f>
        <v>40.150675403146806</v>
      </c>
      <c r="F88" s="15">
        <f>growth[[#This Row],[IU Buy]]+F87</f>
        <v>2047.6844455604858</v>
      </c>
      <c r="G88" s="15">
        <f>(($D88*$B$1+$F88)*(_xlfn.XLOOKUP($I88,el[EL Level],el[EL_MOD])+1))</f>
        <v>9214.580005022186</v>
      </c>
      <c r="H88" s="16">
        <f>$G88*$B$3</f>
        <v>4607.290002511093</v>
      </c>
      <c r="I88" s="16">
        <v>10</v>
      </c>
      <c r="J88" s="16">
        <v>10</v>
      </c>
      <c r="L88" s="2"/>
    </row>
    <row r="89" spans="1:12" x14ac:dyDescent="0.25">
      <c r="A89" s="13">
        <f>A88+1</f>
        <v>82</v>
      </c>
      <c r="B89" s="13">
        <v>2007</v>
      </c>
      <c r="C89" s="14">
        <v>4</v>
      </c>
      <c r="D89" s="15">
        <f>D88*(1+$B$4)</f>
        <v>4177.2762689433912</v>
      </c>
      <c r="E89" s="15" cm="1" vm="81">
        <f t="array" ref="E89">_xlfn._xlws.PY(0,1,growth[[#This Row],[PU]],H88,F88)</f>
        <v>40.953688911209838</v>
      </c>
      <c r="F89" s="15">
        <f>growth[[#This Row],[IU Buy]]+F88</f>
        <v>2088.6381344716956</v>
      </c>
      <c r="G89" s="15">
        <f>(($D89*$B$1+$F89)*(_xlfn.XLOOKUP($I89,el[EL Level],el[EL_MOD])+1))</f>
        <v>9398.8716051226293</v>
      </c>
      <c r="H89" s="16">
        <f>$G89*$B$3</f>
        <v>4699.4358025613146</v>
      </c>
      <c r="I89" s="16">
        <v>10</v>
      </c>
      <c r="J89" s="16">
        <v>10</v>
      </c>
      <c r="L89" s="2"/>
    </row>
    <row r="90" spans="1:12" x14ac:dyDescent="0.25">
      <c r="A90" s="13">
        <f>A89+1</f>
        <v>83</v>
      </c>
      <c r="B90" s="13">
        <v>2007</v>
      </c>
      <c r="C90" s="14">
        <v>5</v>
      </c>
      <c r="D90" s="15">
        <f>D89*(1+$B$4)</f>
        <v>4260.8217943222589</v>
      </c>
      <c r="E90" s="15" cm="1" vm="82">
        <f t="array" ref="E90">_xlfn._xlws.PY(0,1,growth[[#This Row],[PU]],H89,F89)</f>
        <v>41.772762689433875</v>
      </c>
      <c r="F90" s="15">
        <f>growth[[#This Row],[IU Buy]]+F89</f>
        <v>2130.4108971611295</v>
      </c>
      <c r="G90" s="15">
        <f>(($D90*$B$1+$F90)*(_xlfn.XLOOKUP($I90,el[EL Level],el[EL_MOD])+1))</f>
        <v>9586.8490372250817</v>
      </c>
      <c r="H90" s="16">
        <f>$G90*$B$3</f>
        <v>4793.4245186125409</v>
      </c>
      <c r="I90" s="16">
        <v>10</v>
      </c>
      <c r="J90" s="16">
        <v>10</v>
      </c>
      <c r="L90" s="2"/>
    </row>
    <row r="91" spans="1:12" x14ac:dyDescent="0.25">
      <c r="A91" s="13">
        <f>A90+1</f>
        <v>84</v>
      </c>
      <c r="B91" s="13">
        <v>2007</v>
      </c>
      <c r="C91" s="14">
        <v>6</v>
      </c>
      <c r="D91" s="15">
        <f>D90*(1+$B$4)</f>
        <v>4346.0382302087046</v>
      </c>
      <c r="E91" s="15" cm="1" vm="83">
        <f t="array" ref="E91">_xlfn._xlws.PY(0,1,growth[[#This Row],[PU]],H90,F90)</f>
        <v>42.608217943222826</v>
      </c>
      <c r="F91" s="15">
        <f>growth[[#This Row],[IU Buy]]+F90</f>
        <v>2173.0191151043523</v>
      </c>
      <c r="G91" s="15">
        <f>(($D91*$B$1+$F91)*(_xlfn.XLOOKUP($I91,el[EL Level],el[EL_MOD])+1))</f>
        <v>9778.5860179695846</v>
      </c>
      <c r="H91" s="16">
        <f>$G91*$B$3</f>
        <v>4889.2930089847923</v>
      </c>
      <c r="I91" s="16">
        <v>10</v>
      </c>
      <c r="J91" s="16">
        <v>10</v>
      </c>
      <c r="L91" s="2"/>
    </row>
    <row r="92" spans="1:12" x14ac:dyDescent="0.25">
      <c r="A92" s="12">
        <f>A91+1</f>
        <v>85</v>
      </c>
      <c r="B92" s="13">
        <v>2007</v>
      </c>
      <c r="C92" s="14">
        <v>7</v>
      </c>
      <c r="D92" s="15">
        <f>D91*(1+$B$4)</f>
        <v>4432.9589948128787</v>
      </c>
      <c r="E92" s="15" cm="1" vm="84">
        <f t="array" ref="E92">_xlfn._xlws.PY(0,1,growth[[#This Row],[PU]],H91,F91)</f>
        <v>43.460382302087055</v>
      </c>
      <c r="F92" s="15">
        <f>growth[[#This Row],[IU Buy]]+F91</f>
        <v>2216.4794974064394</v>
      </c>
      <c r="G92" s="15">
        <f>(($D92*$B$1+$F92)*(_xlfn.XLOOKUP($I92,el[EL Level],el[EL_MOD])+1))</f>
        <v>9974.1577383289768</v>
      </c>
      <c r="H92" s="16">
        <f>$G92*$B$3</f>
        <v>4987.0788691644884</v>
      </c>
      <c r="I92" s="16">
        <v>10</v>
      </c>
      <c r="J92" s="16">
        <v>10</v>
      </c>
      <c r="L92" s="2"/>
    </row>
    <row r="93" spans="1:12" x14ac:dyDescent="0.25">
      <c r="A93" s="13">
        <f>A92+1</f>
        <v>86</v>
      </c>
      <c r="B93" s="13">
        <v>2007</v>
      </c>
      <c r="C93" s="14">
        <v>8</v>
      </c>
      <c r="D93" s="15">
        <f>D92*(1+$B$4)</f>
        <v>4521.6181747091359</v>
      </c>
      <c r="E93" s="15" cm="1" vm="85">
        <f t="array" ref="E93">_xlfn._xlws.PY(0,1,growth[[#This Row],[PU]],H92,F92)</f>
        <v>44.329589948128614</v>
      </c>
      <c r="F93" s="15">
        <f>growth[[#This Row],[IU Buy]]+F92</f>
        <v>2260.809087354568</v>
      </c>
      <c r="G93" s="15">
        <f>(($D93*$B$1+$F93)*(_xlfn.XLOOKUP($I93,el[EL Level],el[EL_MOD])+1))</f>
        <v>10173.640893095555</v>
      </c>
      <c r="H93" s="16">
        <f>$G93*$B$3</f>
        <v>5086.8204465477775</v>
      </c>
      <c r="I93" s="16">
        <v>10</v>
      </c>
      <c r="J93" s="16">
        <v>10</v>
      </c>
      <c r="L93" s="2"/>
    </row>
    <row r="94" spans="1:12" x14ac:dyDescent="0.25">
      <c r="A94" s="13">
        <f>A93+1</f>
        <v>87</v>
      </c>
      <c r="B94" s="13">
        <v>2007</v>
      </c>
      <c r="C94" s="14">
        <v>9</v>
      </c>
      <c r="D94" s="15">
        <f>D93*(1+$B$4)</f>
        <v>4612.0505382033189</v>
      </c>
      <c r="E94" s="15" cm="1" vm="86">
        <f t="array" ref="E94">_xlfn._xlws.PY(0,1,growth[[#This Row],[PU]],H93,F93)</f>
        <v>45.216181747091468</v>
      </c>
      <c r="F94" s="15">
        <f>growth[[#This Row],[IU Buy]]+F93</f>
        <v>2306.0252691016594</v>
      </c>
      <c r="G94" s="15">
        <f>(($D94*$B$1+$F94)*(_xlfn.XLOOKUP($I94,el[EL Level],el[EL_MOD])+1))</f>
        <v>10377.113710957467</v>
      </c>
      <c r="H94" s="16">
        <f>$G94*$B$3</f>
        <v>5188.5568554787333</v>
      </c>
      <c r="I94" s="16">
        <v>10</v>
      </c>
      <c r="J94" s="16">
        <v>10</v>
      </c>
      <c r="L94" s="2"/>
    </row>
    <row r="95" spans="1:12" x14ac:dyDescent="0.25">
      <c r="A95" s="13">
        <f>A94+1</f>
        <v>88</v>
      </c>
      <c r="B95" s="13">
        <v>2007</v>
      </c>
      <c r="C95" s="14">
        <v>10</v>
      </c>
      <c r="D95" s="15">
        <f>D94*(1+$B$4)</f>
        <v>4704.2915489673851</v>
      </c>
      <c r="E95" s="15" cm="1" vm="87">
        <f t="array" ref="E95">_xlfn._xlws.PY(0,1,growth[[#This Row],[PU]],H94,F94)</f>
        <v>46.120505382033116</v>
      </c>
      <c r="F95" s="15">
        <f>growth[[#This Row],[IU Buy]]+F94</f>
        <v>2352.1457744836925</v>
      </c>
      <c r="G95" s="15">
        <f>(($D95*$B$1+$F95)*(_xlfn.XLOOKUP($I95,el[EL Level],el[EL_MOD])+1))</f>
        <v>10584.655985176616</v>
      </c>
      <c r="H95" s="16">
        <f>$G95*$B$3</f>
        <v>5292.327992588308</v>
      </c>
      <c r="I95" s="16">
        <v>10</v>
      </c>
      <c r="J95" s="16">
        <v>10</v>
      </c>
      <c r="L95" s="2"/>
    </row>
    <row r="96" spans="1:12" x14ac:dyDescent="0.25">
      <c r="A96" s="13">
        <f>A95+1</f>
        <v>89</v>
      </c>
      <c r="B96" s="13">
        <v>2007</v>
      </c>
      <c r="C96" s="14">
        <v>11</v>
      </c>
      <c r="D96" s="15">
        <f>D95*(1+$B$4)</f>
        <v>4798.3773799467326</v>
      </c>
      <c r="E96" s="15" cm="1" vm="88">
        <f t="array" ref="E96">_xlfn._xlws.PY(0,1,growth[[#This Row],[PU]],H95,F95)</f>
        <v>47.04291548967376</v>
      </c>
      <c r="F96" s="15">
        <f>growth[[#This Row],[IU Buy]]+F95</f>
        <v>2399.1886899733663</v>
      </c>
      <c r="G96" s="15">
        <f>(($D96*$B$1+$F96)*(_xlfn.XLOOKUP($I96,el[EL Level],el[EL_MOD])+1))</f>
        <v>10796.349104880148</v>
      </c>
      <c r="H96" s="16">
        <f>$G96*$B$3</f>
        <v>5398.174552440074</v>
      </c>
      <c r="I96" s="16">
        <v>10</v>
      </c>
      <c r="J96" s="16">
        <v>10</v>
      </c>
      <c r="L96" s="2"/>
    </row>
    <row r="97" spans="1:12" x14ac:dyDescent="0.25">
      <c r="A97" s="13">
        <f>A96+1</f>
        <v>90</v>
      </c>
      <c r="B97" s="13">
        <v>2007</v>
      </c>
      <c r="C97" s="14">
        <v>12</v>
      </c>
      <c r="D97" s="15">
        <f>D96*(1+$B$4)</f>
        <v>4894.3449275456669</v>
      </c>
      <c r="E97" s="15" cm="1" vm="89">
        <f t="array" ref="E97">_xlfn._xlws.PY(0,1,growth[[#This Row],[PU]],H96,F96)</f>
        <v>47.983773799467144</v>
      </c>
      <c r="F97" s="15">
        <f>growth[[#This Row],[IU Buy]]+F96</f>
        <v>2447.1724637728335</v>
      </c>
      <c r="G97" s="15">
        <f>(($D97*$B$1+$F97)*(_xlfn.XLOOKUP($I97,el[EL Level],el[EL_MOD])+1))</f>
        <v>11012.276086977752</v>
      </c>
      <c r="H97" s="16">
        <f>$G97*$B$3</f>
        <v>5506.1380434888761</v>
      </c>
      <c r="I97" s="16">
        <v>10</v>
      </c>
      <c r="J97" s="16">
        <v>10</v>
      </c>
      <c r="L97" s="2"/>
    </row>
    <row r="98" spans="1:12" x14ac:dyDescent="0.25">
      <c r="A98" s="13">
        <f>A97+1</f>
        <v>91</v>
      </c>
      <c r="B98" s="13">
        <v>2007</v>
      </c>
      <c r="C98" s="14">
        <v>13</v>
      </c>
      <c r="D98" s="15">
        <f>D97*(1+$B$4)</f>
        <v>4992.2318260965803</v>
      </c>
      <c r="E98" s="15" cm="1" vm="90">
        <f t="array" ref="E98">_xlfn._xlws.PY(0,1,growth[[#This Row],[PU]],H97,F97)</f>
        <v>48.943449275456715</v>
      </c>
      <c r="F98" s="15">
        <f>growth[[#This Row],[IU Buy]]+F97</f>
        <v>2496.1159130482902</v>
      </c>
      <c r="G98" s="15">
        <f>(($D98*$B$1+$F98)*(_xlfn.XLOOKUP($I98,el[EL Level],el[EL_MOD])+1))</f>
        <v>11232.521608717307</v>
      </c>
      <c r="H98" s="16">
        <f>$G98*$B$3</f>
        <v>5616.2608043586533</v>
      </c>
      <c r="I98" s="16">
        <v>10</v>
      </c>
      <c r="J98" s="16">
        <v>10</v>
      </c>
      <c r="L98" s="2"/>
    </row>
    <row r="99" spans="1:12" x14ac:dyDescent="0.25">
      <c r="A99" s="12">
        <f>A98+1</f>
        <v>92</v>
      </c>
      <c r="B99" s="13">
        <v>2008</v>
      </c>
      <c r="C99" s="14">
        <v>1</v>
      </c>
      <c r="D99" s="15">
        <f>D98*(1+$B$4)</f>
        <v>5092.0764626185119</v>
      </c>
      <c r="E99" s="15" cm="1" vm="91">
        <f t="array" ref="E99">_xlfn._xlws.PY(0,1,growth[[#This Row],[PU]],H98,F98)</f>
        <v>49.922318260965767</v>
      </c>
      <c r="F99" s="15">
        <f>growth[[#This Row],[IU Buy]]+F98</f>
        <v>2546.0382313092559</v>
      </c>
      <c r="G99" s="15">
        <f>(($D99*$B$1+$F99)*(_xlfn.XLOOKUP($I99,el[EL Level],el[EL_MOD])+1))</f>
        <v>11457.172040891652</v>
      </c>
      <c r="H99" s="16">
        <f>$G99*$B$3</f>
        <v>5728.5860204458259</v>
      </c>
      <c r="I99" s="16">
        <v>10</v>
      </c>
      <c r="J99" s="16">
        <v>10</v>
      </c>
      <c r="L99" s="2"/>
    </row>
    <row r="100" spans="1:12" x14ac:dyDescent="0.25">
      <c r="A100" s="13">
        <f>A99+1</f>
        <v>93</v>
      </c>
      <c r="B100" s="13">
        <v>2008</v>
      </c>
      <c r="C100" s="14">
        <v>2</v>
      </c>
      <c r="D100" s="15">
        <f>D99*(1+$B$4)</f>
        <v>5193.9179918708824</v>
      </c>
      <c r="E100" s="15" cm="1" vm="92">
        <f t="array" ref="E100">_xlfn._xlws.PY(0,1,growth[[#This Row],[PU]],H99,F99)</f>
        <v>50.920764626185246</v>
      </c>
      <c r="F100" s="15">
        <f>growth[[#This Row],[IU Buy]]+F99</f>
        <v>2596.9589959354412</v>
      </c>
      <c r="G100" s="15">
        <f>(($D100*$B$1+$F100)*(_xlfn.XLOOKUP($I100,el[EL Level],el[EL_MOD])+1))</f>
        <v>11686.315481709484</v>
      </c>
      <c r="H100" s="16">
        <f>$G100*$B$3</f>
        <v>5843.1577408547419</v>
      </c>
      <c r="I100" s="16">
        <v>10</v>
      </c>
      <c r="J100" s="16">
        <v>10</v>
      </c>
      <c r="L100" s="2"/>
    </row>
    <row r="101" spans="1:12" x14ac:dyDescent="0.25">
      <c r="A101" s="13">
        <f>A100+1</f>
        <v>94</v>
      </c>
      <c r="B101" s="13">
        <v>2008</v>
      </c>
      <c r="C101" s="14">
        <v>3</v>
      </c>
      <c r="D101" s="15">
        <f>D100*(1+$B$4)</f>
        <v>5297.7963517082999</v>
      </c>
      <c r="E101" s="15" cm="1" vm="93">
        <f t="array" ref="E101">_xlfn._xlws.PY(0,1,growth[[#This Row],[PU]],H100,F100)</f>
        <v>51.93917991870876</v>
      </c>
      <c r="F101" s="15">
        <f>growth[[#This Row],[IU Buy]]+F100</f>
        <v>2648.8981758541499</v>
      </c>
      <c r="G101" s="15">
        <f>(($D101*$B$1+$F101)*(_xlfn.XLOOKUP($I101,el[EL Level],el[EL_MOD])+1))</f>
        <v>11920.041791343674</v>
      </c>
      <c r="H101" s="16">
        <f>$G101*$B$3</f>
        <v>5960.020895671837</v>
      </c>
      <c r="I101" s="16">
        <v>10</v>
      </c>
      <c r="J101" s="16">
        <v>10</v>
      </c>
      <c r="L101" s="2"/>
    </row>
    <row r="102" spans="1:12" x14ac:dyDescent="0.25">
      <c r="A102" s="13">
        <f>A101+1</f>
        <v>95</v>
      </c>
      <c r="B102" s="13">
        <v>2008</v>
      </c>
      <c r="C102" s="14">
        <v>4</v>
      </c>
      <c r="D102" s="15">
        <f>D101*(1+$B$4)</f>
        <v>5403.7522787424659</v>
      </c>
      <c r="E102" s="15" cm="1" vm="94">
        <f t="array" ref="E102">_xlfn._xlws.PY(0,1,growth[[#This Row],[PU]],H101,F101)</f>
        <v>52.977963517083026</v>
      </c>
      <c r="F102" s="15">
        <f>growth[[#This Row],[IU Buy]]+F101</f>
        <v>2701.876139371233</v>
      </c>
      <c r="G102" s="15">
        <f>(($D102*$B$1+$F102)*(_xlfn.XLOOKUP($I102,el[EL Level],el[EL_MOD])+1))</f>
        <v>12158.442627170549</v>
      </c>
      <c r="H102" s="16">
        <f>$G102*$B$3</f>
        <v>6079.2213135852744</v>
      </c>
      <c r="I102" s="16">
        <v>10</v>
      </c>
      <c r="J102" s="16">
        <v>10</v>
      </c>
      <c r="L102" s="2"/>
    </row>
    <row r="103" spans="1:12" x14ac:dyDescent="0.25">
      <c r="A103" s="13">
        <f>A102+1</f>
        <v>96</v>
      </c>
      <c r="B103" s="13">
        <v>2008</v>
      </c>
      <c r="C103" s="14">
        <v>5</v>
      </c>
      <c r="D103" s="15">
        <f>D102*(1+$B$4)</f>
        <v>5511.8273243173153</v>
      </c>
      <c r="E103" s="15" cm="1" vm="95">
        <f t="array" ref="E103">_xlfn._xlws.PY(0,1,growth[[#This Row],[PU]],H102,F102)</f>
        <v>54.037522787424678</v>
      </c>
      <c r="F103" s="15">
        <f>growth[[#This Row],[IU Buy]]+F102</f>
        <v>2755.9136621586576</v>
      </c>
      <c r="G103" s="15">
        <f>(($D103*$B$1+$F103)*(_xlfn.XLOOKUP($I103,el[EL Level],el[EL_MOD])+1))</f>
        <v>12401.611479713958</v>
      </c>
      <c r="H103" s="16">
        <f>$G103*$B$3</f>
        <v>6200.805739856979</v>
      </c>
      <c r="I103" s="16">
        <v>10</v>
      </c>
      <c r="J103" s="16">
        <v>10</v>
      </c>
      <c r="L103" s="2"/>
    </row>
    <row r="104" spans="1:12" x14ac:dyDescent="0.25">
      <c r="A104" s="13">
        <f>A103+1</f>
        <v>97</v>
      </c>
      <c r="B104" s="13">
        <v>2008</v>
      </c>
      <c r="C104" s="14">
        <v>6</v>
      </c>
      <c r="D104" s="15">
        <f>D103*(1+$B$4)</f>
        <v>5622.0638708036613</v>
      </c>
      <c r="E104" s="15" cm="1" vm="96">
        <f t="array" ref="E104">_xlfn._xlws.PY(0,1,growth[[#This Row],[PU]],H103,F103)</f>
        <v>55.118273243173007</v>
      </c>
      <c r="F104" s="15">
        <f>growth[[#This Row],[IU Buy]]+F103</f>
        <v>2811.0319354018307</v>
      </c>
      <c r="G104" s="15">
        <f>(($D104*$B$1+$F104)*(_xlfn.XLOOKUP($I104,el[EL Level],el[EL_MOD])+1))</f>
        <v>12649.643709308239</v>
      </c>
      <c r="H104" s="16">
        <f>$G104*$B$3</f>
        <v>6324.8218546541193</v>
      </c>
      <c r="I104" s="16">
        <v>10</v>
      </c>
      <c r="J104" s="16">
        <v>10</v>
      </c>
      <c r="L104" s="2"/>
    </row>
    <row r="105" spans="1:12" x14ac:dyDescent="0.25">
      <c r="A105" s="12">
        <f>A104+1</f>
        <v>98</v>
      </c>
      <c r="B105" s="13">
        <v>2008</v>
      </c>
      <c r="C105" s="14">
        <v>7</v>
      </c>
      <c r="D105" s="15">
        <f>D104*(1+$B$4)</f>
        <v>5734.505148219735</v>
      </c>
      <c r="E105" s="15" cm="1" vm="97">
        <f t="array" ref="E105">_xlfn._xlws.PY(0,1,growth[[#This Row],[PU]],H104,F104)</f>
        <v>56.220638708036859</v>
      </c>
      <c r="F105" s="15">
        <f>growth[[#This Row],[IU Buy]]+F104</f>
        <v>2867.2525741098675</v>
      </c>
      <c r="G105" s="15">
        <f>(($D105*$B$1+$F105)*(_xlfn.XLOOKUP($I105,el[EL Level],el[EL_MOD])+1))</f>
        <v>12902.636583494404</v>
      </c>
      <c r="H105" s="16">
        <f>$G105*$B$3</f>
        <v>6451.3182917472022</v>
      </c>
      <c r="I105" s="16">
        <v>10</v>
      </c>
      <c r="J105" s="16">
        <v>10</v>
      </c>
      <c r="L105" s="2"/>
    </row>
    <row r="106" spans="1:12" x14ac:dyDescent="0.25">
      <c r="A106" s="13">
        <f>A105+1</f>
        <v>99</v>
      </c>
      <c r="B106" s="13">
        <v>2008</v>
      </c>
      <c r="C106" s="14">
        <v>8</v>
      </c>
      <c r="D106" s="15">
        <f>D105*(1+$B$4)</f>
        <v>5849.19525118413</v>
      </c>
      <c r="E106" s="15" cm="1" vm="98">
        <f t="array" ref="E106">_xlfn._xlws.PY(0,1,growth[[#This Row],[PU]],H105,F105)</f>
        <v>57.345051482197505</v>
      </c>
      <c r="F106" s="15">
        <f>growth[[#This Row],[IU Buy]]+F105</f>
        <v>2924.597625592065</v>
      </c>
      <c r="G106" s="15">
        <f>(($D106*$B$1+$F106)*(_xlfn.XLOOKUP($I106,el[EL Level],el[EL_MOD])+1))</f>
        <v>13160.689315164293</v>
      </c>
      <c r="H106" s="16">
        <f>$G106*$B$3</f>
        <v>6580.3446575821463</v>
      </c>
      <c r="I106" s="16">
        <v>10</v>
      </c>
      <c r="J106" s="16">
        <v>10</v>
      </c>
      <c r="L106" s="2"/>
    </row>
    <row r="107" spans="1:12" x14ac:dyDescent="0.25">
      <c r="A107" s="13">
        <f>A106+1</f>
        <v>100</v>
      </c>
      <c r="B107" s="13">
        <v>2008</v>
      </c>
      <c r="C107" s="14">
        <v>9</v>
      </c>
      <c r="D107" s="15">
        <f>D106*(1+$B$4)</f>
        <v>5966.1791562078124</v>
      </c>
      <c r="E107" s="15" cm="1" vm="99">
        <f t="array" ref="E107">_xlfn._xlws.PY(0,1,growth[[#This Row],[PU]],H106,F106)</f>
        <v>58.491952511841191</v>
      </c>
      <c r="F107" s="15">
        <f>growth[[#This Row],[IU Buy]]+F106</f>
        <v>2983.0895781039062</v>
      </c>
      <c r="G107" s="15">
        <f>(($D107*$B$1+$F107)*(_xlfn.XLOOKUP($I107,el[EL Level],el[EL_MOD])+1))</f>
        <v>13423.903101467577</v>
      </c>
      <c r="H107" s="16">
        <f>$G107*$B$3</f>
        <v>6711.9515507337883</v>
      </c>
      <c r="I107" s="16">
        <v>10</v>
      </c>
      <c r="J107" s="16">
        <v>10</v>
      </c>
      <c r="L107" s="2"/>
    </row>
    <row r="108" spans="1:12" x14ac:dyDescent="0.25">
      <c r="A108" s="13">
        <f>A107+1</f>
        <v>101</v>
      </c>
      <c r="B108" s="13">
        <v>2008</v>
      </c>
      <c r="C108" s="14">
        <v>10</v>
      </c>
      <c r="D108" s="15">
        <f>D107*(1+$B$4)</f>
        <v>6085.5027393319688</v>
      </c>
      <c r="E108" s="15" cm="1" vm="100">
        <f t="array" ref="E108">_xlfn._xlws.PY(0,1,growth[[#This Row],[PU]],H107,F107)</f>
        <v>59.661791562078179</v>
      </c>
      <c r="F108" s="15">
        <f>growth[[#This Row],[IU Buy]]+F107</f>
        <v>3042.7513696659844</v>
      </c>
      <c r="G108" s="15">
        <f>(($D108*$B$1+$F108)*(_xlfn.XLOOKUP($I108,el[EL Level],el[EL_MOD])+1))</f>
        <v>13692.38116349693</v>
      </c>
      <c r="H108" s="16">
        <f>$G108*$B$3</f>
        <v>6846.1905817484649</v>
      </c>
      <c r="I108" s="16">
        <v>10</v>
      </c>
      <c r="J108" s="16">
        <v>10</v>
      </c>
      <c r="L108" s="2"/>
    </row>
    <row r="109" spans="1:12" x14ac:dyDescent="0.25">
      <c r="A109" s="13">
        <f>A108+1</f>
        <v>102</v>
      </c>
      <c r="B109" s="13">
        <v>2008</v>
      </c>
      <c r="C109" s="14">
        <v>11</v>
      </c>
      <c r="D109" s="15">
        <f>D108*(1+$B$4)</f>
        <v>6207.2127941186081</v>
      </c>
      <c r="E109" s="15" cm="1" vm="101">
        <f t="array" ref="E109">_xlfn._xlws.PY(0,1,growth[[#This Row],[PU]],H108,F108)</f>
        <v>60.855027393319688</v>
      </c>
      <c r="F109" s="15">
        <f>growth[[#This Row],[IU Buy]]+F108</f>
        <v>3103.6063970593041</v>
      </c>
      <c r="G109" s="15">
        <f>(($D109*$B$1+$F109)*(_xlfn.XLOOKUP($I109,el[EL Level],el[EL_MOD])+1))</f>
        <v>13966.228786766867</v>
      </c>
      <c r="H109" s="16">
        <f>$G109*$B$3</f>
        <v>6983.1143933834337</v>
      </c>
      <c r="I109" s="16">
        <v>10</v>
      </c>
      <c r="J109" s="16">
        <v>10</v>
      </c>
      <c r="L109" s="2"/>
    </row>
    <row r="110" spans="1:12" x14ac:dyDescent="0.25">
      <c r="A110" s="13">
        <f>A109+1</f>
        <v>103</v>
      </c>
      <c r="B110" s="13">
        <v>2008</v>
      </c>
      <c r="C110" s="14">
        <v>12</v>
      </c>
      <c r="D110" s="15">
        <f>D109*(1+$B$4)</f>
        <v>6331.3570500009801</v>
      </c>
      <c r="E110" s="15" cm="1" vm="102">
        <f t="array" ref="E110">_xlfn._xlws.PY(0,1,growth[[#This Row],[PU]],H109,F109)</f>
        <v>62.072127941185954</v>
      </c>
      <c r="F110" s="15">
        <f>growth[[#This Row],[IU Buy]]+F109</f>
        <v>3165.67852500049</v>
      </c>
      <c r="G110" s="15">
        <f>(($D110*$B$1+$F110)*(_xlfn.XLOOKUP($I110,el[EL Level],el[EL_MOD])+1))</f>
        <v>14245.553362502204</v>
      </c>
      <c r="H110" s="16">
        <f>$G110*$B$3</f>
        <v>7122.7766812511018</v>
      </c>
      <c r="I110" s="16">
        <v>10</v>
      </c>
      <c r="J110" s="16">
        <v>10</v>
      </c>
      <c r="L110" s="2"/>
    </row>
    <row r="111" spans="1:12" x14ac:dyDescent="0.25">
      <c r="A111" s="13">
        <f>A110+1</f>
        <v>104</v>
      </c>
      <c r="B111" s="13">
        <v>2008</v>
      </c>
      <c r="C111" s="14">
        <v>13</v>
      </c>
      <c r="D111" s="15">
        <f>D110*(1+$B$4)</f>
        <v>6457.984191001</v>
      </c>
      <c r="E111" s="15" cm="1" vm="103">
        <f t="array" ref="E111">_xlfn._xlws.PY(0,1,growth[[#This Row],[PU]],H110,F110)</f>
        <v>63.313570500009973</v>
      </c>
      <c r="F111" s="15">
        <f>growth[[#This Row],[IU Buy]]+F110</f>
        <v>3228.9920955005</v>
      </c>
      <c r="G111" s="15">
        <f>(($D111*$B$1+$F111)*(_xlfn.XLOOKUP($I111,el[EL Level],el[EL_MOD])+1))</f>
        <v>14530.46442975225</v>
      </c>
      <c r="H111" s="16">
        <f>$G111*$B$3</f>
        <v>7265.232214876125</v>
      </c>
      <c r="I111" s="16">
        <v>10</v>
      </c>
      <c r="J111" s="16">
        <v>10</v>
      </c>
      <c r="L111" s="2"/>
    </row>
    <row r="112" spans="1:12" x14ac:dyDescent="0.25">
      <c r="A112" s="12">
        <f>A111+1</f>
        <v>105</v>
      </c>
      <c r="B112" s="13">
        <v>2009</v>
      </c>
      <c r="C112" s="14">
        <v>1</v>
      </c>
      <c r="D112" s="15">
        <f>D111*(1+$B$4)</f>
        <v>6587.1438748210203</v>
      </c>
      <c r="E112" s="15" cm="1" vm="104">
        <f t="array" ref="E112">_xlfn._xlws.PY(0,1,growth[[#This Row],[PU]],H111,F111)</f>
        <v>64.579841910010146</v>
      </c>
      <c r="F112" s="15">
        <f>growth[[#This Row],[IU Buy]]+F111</f>
        <v>3293.5719374105101</v>
      </c>
      <c r="G112" s="15">
        <f>(($D112*$B$1+$F112)*(_xlfn.XLOOKUP($I112,el[EL Level],el[EL_MOD])+1))</f>
        <v>14821.073718347296</v>
      </c>
      <c r="H112" s="16">
        <f>$G112*$B$3</f>
        <v>7410.5368591736478</v>
      </c>
      <c r="I112" s="16">
        <v>10</v>
      </c>
      <c r="J112" s="16">
        <v>10</v>
      </c>
      <c r="L112" s="2"/>
    </row>
    <row r="113" spans="1:12" x14ac:dyDescent="0.25">
      <c r="A113" s="13">
        <f>A112+1</f>
        <v>106</v>
      </c>
      <c r="B113" s="13">
        <v>2009</v>
      </c>
      <c r="C113" s="14">
        <v>2</v>
      </c>
      <c r="D113" s="15">
        <f>D112*(1+$B$4)</f>
        <v>6718.8867523174404</v>
      </c>
      <c r="E113" s="15" cm="1" vm="105">
        <f t="array" ref="E113">_xlfn._xlws.PY(0,1,growth[[#This Row],[PU]],H112,F112)</f>
        <v>65.871438748210039</v>
      </c>
      <c r="F113" s="15">
        <f>growth[[#This Row],[IU Buy]]+F112</f>
        <v>3359.4433761587202</v>
      </c>
      <c r="G113" s="15">
        <f>(($D113*$B$1+$F113)*(_xlfn.XLOOKUP($I113,el[EL Level],el[EL_MOD])+1))</f>
        <v>15117.495192714239</v>
      </c>
      <c r="H113" s="16">
        <f>$G113*$B$3</f>
        <v>7558.7475963571196</v>
      </c>
      <c r="I113" s="16">
        <v>10</v>
      </c>
      <c r="J113" s="16">
        <v>10</v>
      </c>
      <c r="L113" s="2"/>
    </row>
    <row r="114" spans="1:12" x14ac:dyDescent="0.25">
      <c r="A114" s="13">
        <f>A113+1</f>
        <v>107</v>
      </c>
      <c r="B114" s="13">
        <v>2009</v>
      </c>
      <c r="C114" s="14">
        <v>3</v>
      </c>
      <c r="D114" s="15">
        <f>D113*(1+$B$4)</f>
        <v>6853.2644873637892</v>
      </c>
      <c r="E114" s="15" cm="1" vm="106">
        <f t="array" ref="E114">_xlfn._xlws.PY(0,1,growth[[#This Row],[PU]],H113,F113)</f>
        <v>67.188867523174395</v>
      </c>
      <c r="F114" s="15">
        <f>growth[[#This Row],[IU Buy]]+F113</f>
        <v>3426.6322436818946</v>
      </c>
      <c r="G114" s="15">
        <f>(($D114*$B$1+$F114)*(_xlfn.XLOOKUP($I114,el[EL Level],el[EL_MOD])+1))</f>
        <v>15419.845096568524</v>
      </c>
      <c r="H114" s="16">
        <f>$G114*$B$3</f>
        <v>7709.9225482842621</v>
      </c>
      <c r="I114" s="16">
        <v>10</v>
      </c>
      <c r="J114" s="16">
        <v>10</v>
      </c>
      <c r="L114" s="2"/>
    </row>
    <row r="115" spans="1:12" x14ac:dyDescent="0.25">
      <c r="A115" s="13">
        <f>A114+1</f>
        <v>108</v>
      </c>
      <c r="B115" s="13">
        <v>2009</v>
      </c>
      <c r="C115" s="14">
        <v>4</v>
      </c>
      <c r="D115" s="15">
        <f>D114*(1+$B$4)</f>
        <v>6990.3297771110647</v>
      </c>
      <c r="E115" s="15" cm="1" vm="107">
        <f t="array" ref="E115">_xlfn._xlws.PY(0,1,growth[[#This Row],[PU]],H114,F114)</f>
        <v>68.532644873637764</v>
      </c>
      <c r="F115" s="15">
        <f>growth[[#This Row],[IU Buy]]+F114</f>
        <v>3495.1648885555323</v>
      </c>
      <c r="G115" s="15">
        <f>(($D115*$B$1+$F115)*(_xlfn.XLOOKUP($I115,el[EL Level],el[EL_MOD])+1))</f>
        <v>15728.241998499894</v>
      </c>
      <c r="H115" s="16">
        <f>$G115*$B$3</f>
        <v>7864.1209992499471</v>
      </c>
      <c r="I115" s="16">
        <v>10</v>
      </c>
      <c r="J115" s="16">
        <v>10</v>
      </c>
      <c r="L115" s="2"/>
    </row>
    <row r="116" spans="1:12" x14ac:dyDescent="0.25">
      <c r="A116" s="13">
        <f>A115+1</f>
        <v>109</v>
      </c>
      <c r="B116" s="13">
        <v>2009</v>
      </c>
      <c r="C116" s="14">
        <v>5</v>
      </c>
      <c r="D116" s="15">
        <f>D115*(1+$B$4)</f>
        <v>7130.1363726532863</v>
      </c>
      <c r="E116" s="15" cm="1" vm="108">
        <f t="array" ref="E116">_xlfn._xlws.PY(0,1,growth[[#This Row],[PU]],H115,F115)</f>
        <v>69.903297771110829</v>
      </c>
      <c r="F116" s="15">
        <f>growth[[#This Row],[IU Buy]]+F115</f>
        <v>3565.0681863266432</v>
      </c>
      <c r="G116" s="15">
        <f>(($D116*$B$1+$F116)*(_xlfn.XLOOKUP($I116,el[EL Level],el[EL_MOD])+1))</f>
        <v>16042.806838469893</v>
      </c>
      <c r="H116" s="16">
        <f>$G116*$B$3</f>
        <v>8021.4034192349463</v>
      </c>
      <c r="I116" s="16">
        <v>10</v>
      </c>
      <c r="J116" s="16">
        <v>10</v>
      </c>
      <c r="L116" s="2"/>
    </row>
    <row r="117" spans="1:12" x14ac:dyDescent="0.25">
      <c r="A117" s="13">
        <f>A116+1</f>
        <v>110</v>
      </c>
      <c r="B117" s="13">
        <v>2009</v>
      </c>
      <c r="C117" s="14">
        <v>6</v>
      </c>
      <c r="D117" s="15">
        <f>D116*(1+$B$4)</f>
        <v>7272.7391001063525</v>
      </c>
      <c r="E117" s="15" cm="1" vm="109">
        <f t="array" ref="E117">_xlfn._xlws.PY(0,1,growth[[#This Row],[PU]],H116,F116)</f>
        <v>71.301363726533054</v>
      </c>
      <c r="F117" s="15">
        <f>growth[[#This Row],[IU Buy]]+F116</f>
        <v>3636.3695500531762</v>
      </c>
      <c r="G117" s="15">
        <f>(($D117*$B$1+$F117)*(_xlfn.XLOOKUP($I117,el[EL Level],el[EL_MOD])+1))</f>
        <v>16363.662975239295</v>
      </c>
      <c r="H117" s="16">
        <f>$G117*$B$3</f>
        <v>8181.8314876196473</v>
      </c>
      <c r="I117" s="16">
        <v>10</v>
      </c>
      <c r="J117" s="16">
        <v>10</v>
      </c>
      <c r="L117" s="2"/>
    </row>
    <row r="118" spans="1:12" x14ac:dyDescent="0.25">
      <c r="A118" s="12">
        <f>A117+1</f>
        <v>111</v>
      </c>
      <c r="B118" s="13">
        <v>2009</v>
      </c>
      <c r="C118" s="14">
        <v>7</v>
      </c>
      <c r="D118" s="15">
        <f>D117*(1+$B$4)</f>
        <v>7418.1938821084796</v>
      </c>
      <c r="E118" s="15" cm="1" vm="110">
        <f t="array" ref="E118">_xlfn._xlws.PY(0,1,growth[[#This Row],[PU]],H117,F117)</f>
        <v>72.727391001063552</v>
      </c>
      <c r="F118" s="15">
        <f>growth[[#This Row],[IU Buy]]+F117</f>
        <v>3709.0969410542398</v>
      </c>
      <c r="G118" s="15">
        <f>(($D118*$B$1+$F118)*(_xlfn.XLOOKUP($I118,el[EL Level],el[EL_MOD])+1))</f>
        <v>16690.936234744077</v>
      </c>
      <c r="H118" s="16">
        <f>$G118*$B$3</f>
        <v>8345.4681173720383</v>
      </c>
      <c r="I118" s="16">
        <v>10</v>
      </c>
      <c r="J118" s="16">
        <v>10</v>
      </c>
      <c r="L118" s="2"/>
    </row>
    <row r="119" spans="1:12" x14ac:dyDescent="0.25">
      <c r="A119" s="13">
        <f>A118+1</f>
        <v>112</v>
      </c>
      <c r="B119" s="13">
        <v>2009</v>
      </c>
      <c r="C119" s="14">
        <v>8</v>
      </c>
      <c r="D119" s="15">
        <f>D118*(1+$B$4)</f>
        <v>7566.557759750649</v>
      </c>
      <c r="E119" s="15" cm="1" vm="111">
        <f t="array" ref="E119">_xlfn._xlws.PY(0,1,growth[[#This Row],[PU]],H118,F118)</f>
        <v>74.181938821084714</v>
      </c>
      <c r="F119" s="15">
        <f>growth[[#This Row],[IU Buy]]+F118</f>
        <v>3783.2788798753245</v>
      </c>
      <c r="G119" s="15">
        <f>(($D119*$B$1+$F119)*(_xlfn.XLOOKUP($I119,el[EL Level],el[EL_MOD])+1))</f>
        <v>17024.75495943896</v>
      </c>
      <c r="H119" s="16">
        <f>$G119*$B$3</f>
        <v>8512.3774797194801</v>
      </c>
      <c r="I119" s="16">
        <v>10</v>
      </c>
      <c r="J119" s="16">
        <v>10</v>
      </c>
      <c r="L119" s="2"/>
    </row>
    <row r="120" spans="1:12" x14ac:dyDescent="0.25">
      <c r="A120" s="13">
        <f>A119+1</f>
        <v>113</v>
      </c>
      <c r="B120" s="13">
        <v>2009</v>
      </c>
      <c r="C120" s="14">
        <v>9</v>
      </c>
      <c r="D120" s="15">
        <f>D119*(1+$B$4)</f>
        <v>7717.8889149456618</v>
      </c>
      <c r="E120" s="15" cm="1" vm="112">
        <f t="array" ref="E120">_xlfn._xlws.PY(0,1,growth[[#This Row],[PU]],H119,F119)</f>
        <v>75.665577597506399</v>
      </c>
      <c r="F120" s="15">
        <f>growth[[#This Row],[IU Buy]]+F119</f>
        <v>3858.9444574728309</v>
      </c>
      <c r="G120" s="15">
        <f>(($D120*$B$1+$F120)*(_xlfn.XLOOKUP($I120,el[EL Level],el[EL_MOD])+1))</f>
        <v>17365.250058627738</v>
      </c>
      <c r="H120" s="16">
        <f>$G120*$B$3</f>
        <v>8682.6250293138692</v>
      </c>
      <c r="I120" s="16">
        <v>10</v>
      </c>
      <c r="J120" s="16">
        <v>10</v>
      </c>
      <c r="L120" s="2"/>
    </row>
    <row r="121" spans="1:12" x14ac:dyDescent="0.25">
      <c r="A121" s="13">
        <f>A120+1</f>
        <v>114</v>
      </c>
      <c r="B121" s="13">
        <v>2009</v>
      </c>
      <c r="C121" s="14">
        <v>10</v>
      </c>
      <c r="D121" s="15">
        <f>D120*(1+$B$4)</f>
        <v>7872.246693244575</v>
      </c>
      <c r="E121" s="15" cm="1" vm="113">
        <f t="array" ref="E121">_xlfn._xlws.PY(0,1,growth[[#This Row],[PU]],H120,F120)</f>
        <v>77.178889149456609</v>
      </c>
      <c r="F121" s="15">
        <f>growth[[#This Row],[IU Buy]]+F120</f>
        <v>3936.1233466222875</v>
      </c>
      <c r="G121" s="15">
        <f>(($D121*$B$1+$F121)*(_xlfn.XLOOKUP($I121,el[EL Level],el[EL_MOD])+1))</f>
        <v>17712.555059800296</v>
      </c>
      <c r="H121" s="16">
        <f>$G121*$B$3</f>
        <v>8856.2775299001478</v>
      </c>
      <c r="I121" s="16">
        <v>10</v>
      </c>
      <c r="J121" s="16">
        <v>10</v>
      </c>
      <c r="L121" s="2"/>
    </row>
    <row r="122" spans="1:12" x14ac:dyDescent="0.25">
      <c r="A122" s="13">
        <f>A121+1</f>
        <v>115</v>
      </c>
      <c r="B122" s="13">
        <v>2009</v>
      </c>
      <c r="C122" s="14">
        <v>11</v>
      </c>
      <c r="D122" s="15">
        <f>D121*(1+$B$4)</f>
        <v>8029.6916271094669</v>
      </c>
      <c r="E122" s="15" cm="1" vm="114">
        <f t="array" ref="E122">_xlfn._xlws.PY(0,1,growth[[#This Row],[PU]],H121,F121)</f>
        <v>78.722466932445968</v>
      </c>
      <c r="F122" s="15">
        <f>growth[[#This Row],[IU Buy]]+F121</f>
        <v>4014.8458135547335</v>
      </c>
      <c r="G122" s="15">
        <f>(($D122*$B$1+$F122)*(_xlfn.XLOOKUP($I122,el[EL Level],el[EL_MOD])+1))</f>
        <v>18066.806160996301</v>
      </c>
      <c r="H122" s="16">
        <f>$G122*$B$3</f>
        <v>9033.4030804981503</v>
      </c>
      <c r="I122" s="16">
        <v>10</v>
      </c>
      <c r="J122" s="16">
        <v>10</v>
      </c>
      <c r="L122" s="2"/>
    </row>
    <row r="123" spans="1:12" x14ac:dyDescent="0.25">
      <c r="A123" s="13">
        <f>A122+1</f>
        <v>116</v>
      </c>
      <c r="B123" s="13">
        <v>2009</v>
      </c>
      <c r="C123" s="14">
        <v>12</v>
      </c>
      <c r="D123" s="15">
        <f>D122*(1+$B$4)</f>
        <v>8190.2854596516563</v>
      </c>
      <c r="E123" s="15" cm="1" vm="115">
        <f t="array" ref="E123">_xlfn._xlws.PY(0,1,growth[[#This Row],[PU]],H122,F122)</f>
        <v>80.296916271094688</v>
      </c>
      <c r="F123" s="15">
        <f>growth[[#This Row],[IU Buy]]+F122</f>
        <v>4095.1427298258282</v>
      </c>
      <c r="G123" s="15">
        <f>(($D123*$B$1+$F123)*(_xlfn.XLOOKUP($I123,el[EL Level],el[EL_MOD])+1))</f>
        <v>18428.142284216228</v>
      </c>
      <c r="H123" s="16">
        <f>$G123*$B$3</f>
        <v>9214.0711421081141</v>
      </c>
      <c r="I123" s="16">
        <v>10</v>
      </c>
      <c r="J123" s="16">
        <v>10</v>
      </c>
      <c r="L123" s="2"/>
    </row>
    <row r="124" spans="1:12" x14ac:dyDescent="0.25">
      <c r="A124" s="13">
        <f>A123+1</f>
        <v>117</v>
      </c>
      <c r="B124" s="13">
        <v>2009</v>
      </c>
      <c r="C124" s="14">
        <v>13</v>
      </c>
      <c r="D124" s="15">
        <f>D123*(1+$B$4)</f>
        <v>8354.0911688446904</v>
      </c>
      <c r="E124" s="15" cm="1" vm="116">
        <f t="array" ref="E124">_xlfn._xlws.PY(0,1,growth[[#This Row],[PU]],H123,F123)</f>
        <v>81.902854596517045</v>
      </c>
      <c r="F124" s="15">
        <f>growth[[#This Row],[IU Buy]]+F123</f>
        <v>4177.0455844223452</v>
      </c>
      <c r="G124" s="15">
        <f>(($D124*$B$1+$F124)*(_xlfn.XLOOKUP($I124,el[EL Level],el[EL_MOD])+1))</f>
        <v>18796.705129900554</v>
      </c>
      <c r="H124" s="16">
        <f>$G124*$B$3</f>
        <v>9398.3525649502772</v>
      </c>
      <c r="I124" s="16">
        <v>10</v>
      </c>
      <c r="J124" s="16">
        <v>10</v>
      </c>
      <c r="L124" s="2"/>
    </row>
    <row r="125" spans="1:12" x14ac:dyDescent="0.25">
      <c r="A125" s="12">
        <f>A124+1</f>
        <v>118</v>
      </c>
      <c r="B125" s="13">
        <v>2010</v>
      </c>
      <c r="C125" s="14">
        <v>1</v>
      </c>
      <c r="D125" s="15">
        <f>D124*(1+$B$4)</f>
        <v>8521.1729922215836</v>
      </c>
      <c r="E125" s="15" cm="1" vm="117">
        <f t="array" ref="E125">_xlfn._xlws.PY(0,1,growth[[#This Row],[PU]],H124,F124)</f>
        <v>83.540911688446613</v>
      </c>
      <c r="F125" s="15">
        <f>growth[[#This Row],[IU Buy]]+F124</f>
        <v>4260.5864961107918</v>
      </c>
      <c r="G125" s="15">
        <f>(($D125*$B$1+$F125)*(_xlfn.XLOOKUP($I125,el[EL Level],el[EL_MOD])+1))</f>
        <v>19172.639232498565</v>
      </c>
      <c r="H125" s="16">
        <f>$G125*$B$3</f>
        <v>9586.3196162492823</v>
      </c>
      <c r="I125" s="16">
        <v>10</v>
      </c>
      <c r="J125" s="16">
        <v>10</v>
      </c>
      <c r="L125" s="2"/>
    </row>
    <row r="126" spans="1:12" x14ac:dyDescent="0.25">
      <c r="A126" s="13">
        <f>A125+1</f>
        <v>119</v>
      </c>
      <c r="B126" s="13">
        <v>2010</v>
      </c>
      <c r="C126" s="14">
        <v>2</v>
      </c>
      <c r="D126" s="15">
        <f>D125*(1+$B$4)</f>
        <v>8691.5964520660164</v>
      </c>
      <c r="E126" s="15" cm="1" vm="118">
        <f t="array" ref="E126">_xlfn._xlws.PY(0,1,growth[[#This Row],[PU]],H125,F125)</f>
        <v>85.211729922216364</v>
      </c>
      <c r="F126" s="15">
        <f>growth[[#This Row],[IU Buy]]+F125</f>
        <v>4345.7982260330082</v>
      </c>
      <c r="G126" s="15">
        <f>(($D126*$B$1+$F126)*(_xlfn.XLOOKUP($I126,el[EL Level],el[EL_MOD])+1))</f>
        <v>19556.092017148538</v>
      </c>
      <c r="H126" s="16">
        <f>$G126*$B$3</f>
        <v>9778.0460085742689</v>
      </c>
      <c r="I126" s="16">
        <v>10</v>
      </c>
      <c r="J126" s="16">
        <v>10</v>
      </c>
      <c r="L126" s="2"/>
    </row>
    <row r="127" spans="1:12" x14ac:dyDescent="0.25">
      <c r="A127" s="13">
        <f>A126+1</f>
        <v>120</v>
      </c>
      <c r="B127" s="13">
        <v>2010</v>
      </c>
      <c r="C127" s="14">
        <v>3</v>
      </c>
      <c r="D127" s="15">
        <f>D126*(1+$B$4)</f>
        <v>8865.4283811073365</v>
      </c>
      <c r="E127" s="15" cm="1" vm="119">
        <f t="array" ref="E127">_xlfn._xlws.PY(0,1,growth[[#This Row],[PU]],H126,F126)</f>
        <v>86.915964520660054</v>
      </c>
      <c r="F127" s="15">
        <f>growth[[#This Row],[IU Buy]]+F126</f>
        <v>4432.7141905536682</v>
      </c>
      <c r="G127" s="15">
        <f>(($D127*$B$1+$F127)*(_xlfn.XLOOKUP($I127,el[EL Level],el[EL_MOD])+1))</f>
        <v>19947.213857491508</v>
      </c>
      <c r="H127" s="16">
        <f>$G127*$B$3</f>
        <v>9973.606928745754</v>
      </c>
      <c r="I127" s="16">
        <v>10</v>
      </c>
      <c r="J127" s="16">
        <v>10</v>
      </c>
      <c r="L127" s="2"/>
    </row>
    <row r="128" spans="1:12" x14ac:dyDescent="0.25">
      <c r="A128" s="13">
        <f>A127+1</f>
        <v>121</v>
      </c>
      <c r="B128" s="13">
        <v>2010</v>
      </c>
      <c r="C128" s="14">
        <v>4</v>
      </c>
      <c r="D128" s="15">
        <f>D127*(1+$B$4)</f>
        <v>9042.7369487294836</v>
      </c>
      <c r="E128" s="15" cm="1" vm="120">
        <f t="array" ref="E128">_xlfn._xlws.PY(0,1,growth[[#This Row],[PU]],H127,F127)</f>
        <v>88.654283811073583</v>
      </c>
      <c r="F128" s="15">
        <f>growth[[#This Row],[IU Buy]]+F127</f>
        <v>4521.3684743647418</v>
      </c>
      <c r="G128" s="15">
        <f>(($D128*$B$1+$F128)*(_xlfn.XLOOKUP($I128,el[EL Level],el[EL_MOD])+1))</f>
        <v>20346.158134641337</v>
      </c>
      <c r="H128" s="16">
        <f>$G128*$B$3</f>
        <v>10173.079067320668</v>
      </c>
      <c r="I128" s="16">
        <v>10</v>
      </c>
      <c r="J128" s="16">
        <v>10</v>
      </c>
      <c r="L128" s="2"/>
    </row>
    <row r="129" spans="1:12" x14ac:dyDescent="0.25">
      <c r="A129" s="13">
        <f>A128+1</f>
        <v>122</v>
      </c>
      <c r="B129" s="13">
        <v>2010</v>
      </c>
      <c r="C129" s="14">
        <v>5</v>
      </c>
      <c r="D129" s="15">
        <f>D128*(1+$B$4)</f>
        <v>9223.5916877040727</v>
      </c>
      <c r="E129" s="15" cm="1" vm="121">
        <f t="array" ref="E129">_xlfn._xlws.PY(0,1,growth[[#This Row],[PU]],H128,F128)</f>
        <v>90.427369487294527</v>
      </c>
      <c r="F129" s="15">
        <f>growth[[#This Row],[IU Buy]]+F128</f>
        <v>4611.7958438520363</v>
      </c>
      <c r="G129" s="15">
        <f>(($D129*$B$1+$F129)*(_xlfn.XLOOKUP($I129,el[EL Level],el[EL_MOD])+1))</f>
        <v>20753.081297334164</v>
      </c>
      <c r="H129" s="16">
        <f>$G129*$B$3</f>
        <v>10376.540648667082</v>
      </c>
      <c r="I129" s="16">
        <v>10</v>
      </c>
      <c r="J129" s="16">
        <v>10</v>
      </c>
      <c r="L129" s="2"/>
    </row>
    <row r="130" spans="1:12" x14ac:dyDescent="0.25">
      <c r="A130" s="13">
        <f>A129+1</f>
        <v>123</v>
      </c>
      <c r="B130" s="13">
        <v>2010</v>
      </c>
      <c r="C130" s="14">
        <v>6</v>
      </c>
      <c r="D130" s="15">
        <f>D129*(1+$B$4)</f>
        <v>9408.0635214581544</v>
      </c>
      <c r="E130" s="15" cm="1" vm="122">
        <f t="array" ref="E130">_xlfn._xlws.PY(0,1,growth[[#This Row],[PU]],H129,F129)</f>
        <v>92.235916877040836</v>
      </c>
      <c r="F130" s="15">
        <f>growth[[#This Row],[IU Buy]]+F129</f>
        <v>4704.0317607290772</v>
      </c>
      <c r="G130" s="15">
        <f>(($D130*$B$1+$F130)*(_xlfn.XLOOKUP($I130,el[EL Level],el[EL_MOD])+1))</f>
        <v>21168.142923280844</v>
      </c>
      <c r="H130" s="16">
        <f>$G130*$B$3</f>
        <v>10584.071461640422</v>
      </c>
      <c r="I130" s="16">
        <v>10</v>
      </c>
      <c r="J130" s="16">
        <v>10</v>
      </c>
      <c r="L130" s="2"/>
    </row>
    <row r="131" spans="1:12" x14ac:dyDescent="0.25">
      <c r="A131" s="12">
        <f>A130+1</f>
        <v>124</v>
      </c>
      <c r="B131" s="13">
        <v>2010</v>
      </c>
      <c r="C131" s="14">
        <v>7</v>
      </c>
      <c r="D131" s="15">
        <f>D130*(1+$B$4)</f>
        <v>9596.2247918873181</v>
      </c>
      <c r="E131" s="15" cm="1" vm="123">
        <f t="array" ref="E131">_xlfn._xlws.PY(0,1,growth[[#This Row],[PU]],H130,F130)</f>
        <v>94.080635214581889</v>
      </c>
      <c r="F131" s="15">
        <f>growth[[#This Row],[IU Buy]]+F130</f>
        <v>4798.1123959436591</v>
      </c>
      <c r="G131" s="15">
        <f>(($D131*$B$1+$F131)*(_xlfn.XLOOKUP($I131,el[EL Level],el[EL_MOD])+1))</f>
        <v>21591.505781746466</v>
      </c>
      <c r="H131" s="16">
        <f>$G131*$B$3</f>
        <v>10795.752890873233</v>
      </c>
      <c r="I131" s="16">
        <v>10</v>
      </c>
      <c r="J131" s="16">
        <v>10</v>
      </c>
      <c r="L131" s="2"/>
    </row>
    <row r="132" spans="1:12" x14ac:dyDescent="0.25">
      <c r="A132" s="13">
        <f>A131+1</f>
        <v>125</v>
      </c>
      <c r="B132" s="13">
        <v>2010</v>
      </c>
      <c r="C132" s="14">
        <v>8</v>
      </c>
      <c r="D132" s="15">
        <f>D131*(1+$B$4)</f>
        <v>9788.1492877250639</v>
      </c>
      <c r="E132" s="15" cm="1" vm="124">
        <f t="array" ref="E132">_xlfn._xlws.PY(0,1,growth[[#This Row],[PU]],H131,F131)</f>
        <v>95.96224791887289</v>
      </c>
      <c r="F132" s="15">
        <f>growth[[#This Row],[IU Buy]]+F131</f>
        <v>4894.074643862532</v>
      </c>
      <c r="G132" s="15">
        <f>(($D132*$B$1+$F132)*(_xlfn.XLOOKUP($I132,el[EL Level],el[EL_MOD])+1))</f>
        <v>22023.335897381396</v>
      </c>
      <c r="H132" s="16">
        <f>$G132*$B$3</f>
        <v>11011.667948690698</v>
      </c>
      <c r="I132" s="16">
        <v>10</v>
      </c>
      <c r="J132" s="16">
        <v>10</v>
      </c>
      <c r="L132" s="2"/>
    </row>
    <row r="133" spans="1:12" x14ac:dyDescent="0.25">
      <c r="A133" s="13">
        <f>A132+1</f>
        <v>126</v>
      </c>
      <c r="B133" s="13">
        <v>2010</v>
      </c>
      <c r="C133" s="14">
        <v>9</v>
      </c>
      <c r="D133" s="15">
        <f>D132*(1+$B$4)</f>
        <v>9983.9122734795656</v>
      </c>
      <c r="E133" s="15" cm="1" vm="125">
        <f t="array" ref="E133">_xlfn._xlws.PY(0,1,growth[[#This Row],[PU]],H132,F132)</f>
        <v>97.881492877250821</v>
      </c>
      <c r="F133" s="15">
        <f>growth[[#This Row],[IU Buy]]+F132</f>
        <v>4991.9561367397828</v>
      </c>
      <c r="G133" s="15">
        <f>(($D133*$B$1+$F133)*(_xlfn.XLOOKUP($I133,el[EL Level],el[EL_MOD])+1))</f>
        <v>22463.802615329019</v>
      </c>
      <c r="H133" s="16">
        <f>$G133*$B$3</f>
        <v>11231.90130766451</v>
      </c>
      <c r="I133" s="16">
        <v>10</v>
      </c>
      <c r="J133" s="16">
        <v>10</v>
      </c>
      <c r="L133" s="2"/>
    </row>
    <row r="134" spans="1:12" x14ac:dyDescent="0.25">
      <c r="A134" s="13">
        <f>A133+1</f>
        <v>127</v>
      </c>
      <c r="B134" s="13">
        <v>2010</v>
      </c>
      <c r="C134" s="14">
        <v>10</v>
      </c>
      <c r="D134" s="15">
        <f>D133*(1+$B$4)</f>
        <v>10183.590518949157</v>
      </c>
      <c r="E134" s="15" cm="1" vm="126">
        <f t="array" ref="E134">_xlfn._xlws.PY(0,1,growth[[#This Row],[PU]],H133,F133)</f>
        <v>99.839122734795637</v>
      </c>
      <c r="F134" s="15">
        <f>growth[[#This Row],[IU Buy]]+F133</f>
        <v>5091.7952594745784</v>
      </c>
      <c r="G134" s="15">
        <f>(($D134*$B$1+$F134)*(_xlfn.XLOOKUP($I134,el[EL Level],el[EL_MOD])+1))</f>
        <v>22913.078667635604</v>
      </c>
      <c r="H134" s="16">
        <f>$G134*$B$3</f>
        <v>11456.539333817802</v>
      </c>
      <c r="I134" s="16">
        <v>10</v>
      </c>
      <c r="J134" s="16">
        <v>10</v>
      </c>
      <c r="L134" s="2"/>
    </row>
    <row r="135" spans="1:12" x14ac:dyDescent="0.25">
      <c r="A135" s="13">
        <f>A134+1</f>
        <v>128</v>
      </c>
      <c r="B135" s="13">
        <v>2010</v>
      </c>
      <c r="C135" s="14">
        <v>11</v>
      </c>
      <c r="D135" s="15">
        <f>D134*(1+$B$4)</f>
        <v>10387.262329328139</v>
      </c>
      <c r="E135" s="15" cm="1" vm="127">
        <f t="array" ref="E135">_xlfn._xlws.PY(0,1,growth[[#This Row],[PU]],H134,F134)</f>
        <v>101.83590518949131</v>
      </c>
      <c r="F135" s="15">
        <f>growth[[#This Row],[IU Buy]]+F134</f>
        <v>5193.6311646640697</v>
      </c>
      <c r="G135" s="15">
        <f>(($D135*$B$1+$F135)*(_xlfn.XLOOKUP($I135,el[EL Level],el[EL_MOD])+1))</f>
        <v>23371.340240988313</v>
      </c>
      <c r="H135" s="16">
        <f>$G135*$B$3</f>
        <v>11685.670120494156</v>
      </c>
      <c r="I135" s="16">
        <v>10</v>
      </c>
      <c r="J135" s="16">
        <v>10</v>
      </c>
      <c r="L135" s="2"/>
    </row>
    <row r="136" spans="1:12" x14ac:dyDescent="0.25">
      <c r="A136" s="13">
        <f>A135+1</f>
        <v>129</v>
      </c>
      <c r="B136" s="13">
        <v>2010</v>
      </c>
      <c r="C136" s="14">
        <v>12</v>
      </c>
      <c r="D136" s="15">
        <f>D135*(1+$B$4)</f>
        <v>10595.007575914702</v>
      </c>
      <c r="E136" s="15" cm="1" vm="128">
        <f t="array" ref="E136">_xlfn._xlws.PY(0,1,growth[[#This Row],[PU]],H135,F135)</f>
        <v>103.87262329328132</v>
      </c>
      <c r="F136" s="15">
        <f>growth[[#This Row],[IU Buy]]+F135</f>
        <v>5297.5037879573511</v>
      </c>
      <c r="G136" s="15">
        <f>(($D136*$B$1+$F136)*(_xlfn.XLOOKUP($I136,el[EL Level],el[EL_MOD])+1))</f>
        <v>23838.767045808083</v>
      </c>
      <c r="H136" s="16">
        <f>$G136*$B$3</f>
        <v>11919.383522904041</v>
      </c>
      <c r="I136" s="16">
        <v>10</v>
      </c>
      <c r="J136" s="16">
        <v>10</v>
      </c>
      <c r="L136" s="2"/>
    </row>
    <row r="137" spans="1:12" x14ac:dyDescent="0.25">
      <c r="A137" s="13">
        <f>A136+1</f>
        <v>130</v>
      </c>
      <c r="B137" s="13">
        <v>2010</v>
      </c>
      <c r="C137" s="14">
        <v>13</v>
      </c>
      <c r="D137" s="15">
        <f>D136*(1+$B$4)</f>
        <v>10806.907727432996</v>
      </c>
      <c r="E137" s="15" cm="1" vm="129">
        <f t="array" ref="E137">_xlfn._xlws.PY(0,1,growth[[#This Row],[PU]],H136,F136)</f>
        <v>105.95007575914678</v>
      </c>
      <c r="F137" s="15">
        <f>growth[[#This Row],[IU Buy]]+F136</f>
        <v>5403.4538637164978</v>
      </c>
      <c r="G137" s="15">
        <f>(($D137*$B$1+$F137)*(_xlfn.XLOOKUP($I137,el[EL Level],el[EL_MOD])+1))</f>
        <v>24315.542386724239</v>
      </c>
      <c r="H137" s="16">
        <f>$G137*$B$3</f>
        <v>12157.771193362119</v>
      </c>
      <c r="I137" s="16">
        <v>10</v>
      </c>
      <c r="J137" s="16">
        <v>10</v>
      </c>
      <c r="L13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4C9E-7CE6-4BF0-B904-C3F09115DD0A}">
  <dimension ref="A1:G137"/>
  <sheetViews>
    <sheetView workbookViewId="0">
      <selection activeCell="C4" sqref="C4"/>
    </sheetView>
  </sheetViews>
  <sheetFormatPr defaultRowHeight="15" x14ac:dyDescent="0.25"/>
  <cols>
    <col min="1" max="1" width="9.5703125" bestFit="1" customWidth="1"/>
    <col min="2" max="2" width="12.28515625" bestFit="1" customWidth="1"/>
    <col min="3" max="3" width="9.5703125" bestFit="1" customWidth="1"/>
    <col min="4" max="4" width="8.28515625" customWidth="1"/>
    <col min="5" max="5" width="17.140625" bestFit="1" customWidth="1"/>
    <col min="6" max="6" width="14.85546875" bestFit="1" customWidth="1"/>
    <col min="7" max="7" width="10" bestFit="1" customWidth="1"/>
  </cols>
  <sheetData>
    <row r="1" spans="1:7" x14ac:dyDescent="0.25">
      <c r="A1" s="8" t="s">
        <v>5</v>
      </c>
      <c r="B1" s="8" t="s">
        <v>17</v>
      </c>
      <c r="C1" s="8" t="s">
        <v>10</v>
      </c>
      <c r="D1" s="8" t="s">
        <v>3</v>
      </c>
      <c r="E1" s="8" t="s">
        <v>18</v>
      </c>
      <c r="F1" s="8" t="s">
        <v>19</v>
      </c>
      <c r="G1" s="8" t="s">
        <v>20</v>
      </c>
    </row>
    <row r="2" spans="1:7" x14ac:dyDescent="0.25">
      <c r="A2" s="18">
        <v>1</v>
      </c>
      <c r="B2" s="2">
        <v>0.4</v>
      </c>
      <c r="C2" s="2">
        <v>0.3</v>
      </c>
      <c r="D2" s="2">
        <v>0.1</v>
      </c>
      <c r="E2" s="2">
        <v>0.1</v>
      </c>
      <c r="F2" s="2">
        <v>0.1</v>
      </c>
      <c r="G2" s="17">
        <f>SUM(B2:F2)</f>
        <v>0.99999999999999989</v>
      </c>
    </row>
    <row r="3" spans="1:7" x14ac:dyDescent="0.25">
      <c r="A3" s="18">
        <v>2</v>
      </c>
      <c r="B3" s="2">
        <v>0.4</v>
      </c>
      <c r="C3" s="2">
        <v>0.3</v>
      </c>
      <c r="D3" s="2">
        <v>0.1</v>
      </c>
      <c r="E3" s="2">
        <v>0.1</v>
      </c>
      <c r="F3" s="2">
        <v>0.1</v>
      </c>
      <c r="G3" s="17">
        <f t="shared" ref="G3:G66" si="0">SUM(B3:F3)</f>
        <v>0.99999999999999989</v>
      </c>
    </row>
    <row r="4" spans="1:7" x14ac:dyDescent="0.25">
      <c r="A4" s="18">
        <v>3</v>
      </c>
      <c r="B4" s="2">
        <v>0.4</v>
      </c>
      <c r="C4" s="2">
        <v>0.3</v>
      </c>
      <c r="D4" s="2">
        <v>0.1</v>
      </c>
      <c r="E4" s="2">
        <v>0.1</v>
      </c>
      <c r="F4" s="2">
        <v>0.1</v>
      </c>
      <c r="G4" s="17">
        <f t="shared" si="0"/>
        <v>0.99999999999999989</v>
      </c>
    </row>
    <row r="5" spans="1:7" x14ac:dyDescent="0.25">
      <c r="A5" s="18">
        <v>4</v>
      </c>
      <c r="B5" s="2">
        <v>0.4</v>
      </c>
      <c r="C5" s="2">
        <v>0.3</v>
      </c>
      <c r="D5" s="2">
        <v>0.1</v>
      </c>
      <c r="E5" s="2">
        <v>0.1</v>
      </c>
      <c r="F5" s="2">
        <v>0.1</v>
      </c>
      <c r="G5" s="17">
        <f t="shared" si="0"/>
        <v>0.99999999999999989</v>
      </c>
    </row>
    <row r="6" spans="1:7" x14ac:dyDescent="0.25">
      <c r="A6" s="18">
        <v>5</v>
      </c>
      <c r="B6" s="2">
        <v>0.4</v>
      </c>
      <c r="C6" s="2">
        <v>0.3</v>
      </c>
      <c r="D6" s="2">
        <v>0.1</v>
      </c>
      <c r="E6" s="2">
        <v>0.1</v>
      </c>
      <c r="F6" s="2">
        <v>0.1</v>
      </c>
      <c r="G6" s="17">
        <f t="shared" si="0"/>
        <v>0.99999999999999989</v>
      </c>
    </row>
    <row r="7" spans="1:7" x14ac:dyDescent="0.25">
      <c r="A7" s="19">
        <v>6</v>
      </c>
      <c r="B7" s="2">
        <v>0.4</v>
      </c>
      <c r="C7" s="2">
        <v>0.3</v>
      </c>
      <c r="D7" s="2">
        <v>0.1</v>
      </c>
      <c r="E7" s="2">
        <v>0.1</v>
      </c>
      <c r="F7" s="2">
        <v>0.1</v>
      </c>
      <c r="G7" s="17">
        <f t="shared" si="0"/>
        <v>0.99999999999999989</v>
      </c>
    </row>
    <row r="8" spans="1:7" x14ac:dyDescent="0.25">
      <c r="A8" s="20">
        <v>7</v>
      </c>
      <c r="B8" s="2">
        <v>0.4</v>
      </c>
      <c r="C8" s="2">
        <v>0.3</v>
      </c>
      <c r="D8" s="2">
        <v>0.1</v>
      </c>
      <c r="E8" s="2">
        <v>0.1</v>
      </c>
      <c r="F8" s="2">
        <v>0.1</v>
      </c>
      <c r="G8" s="17">
        <f t="shared" si="0"/>
        <v>0.99999999999999989</v>
      </c>
    </row>
    <row r="9" spans="1:7" x14ac:dyDescent="0.25">
      <c r="A9" s="20">
        <v>8</v>
      </c>
      <c r="B9" s="2">
        <v>0.4</v>
      </c>
      <c r="C9" s="2">
        <v>0.3</v>
      </c>
      <c r="D9" s="2">
        <v>0.1</v>
      </c>
      <c r="E9" s="2">
        <v>0.1</v>
      </c>
      <c r="F9" s="2">
        <v>0.1</v>
      </c>
      <c r="G9" s="17">
        <f t="shared" si="0"/>
        <v>0.99999999999999989</v>
      </c>
    </row>
    <row r="10" spans="1:7" x14ac:dyDescent="0.25">
      <c r="A10" s="20">
        <v>9</v>
      </c>
      <c r="B10" s="2">
        <v>0.4</v>
      </c>
      <c r="C10" s="2">
        <v>0.3</v>
      </c>
      <c r="D10" s="2">
        <v>0.1</v>
      </c>
      <c r="E10" s="2">
        <v>0.1</v>
      </c>
      <c r="F10" s="2">
        <v>0.1</v>
      </c>
      <c r="G10" s="17">
        <f t="shared" si="0"/>
        <v>0.99999999999999989</v>
      </c>
    </row>
    <row r="11" spans="1:7" x14ac:dyDescent="0.25">
      <c r="A11" s="20">
        <v>10</v>
      </c>
      <c r="B11" s="2">
        <v>0.4</v>
      </c>
      <c r="C11" s="2">
        <v>0.3</v>
      </c>
      <c r="D11" s="2">
        <v>0.1</v>
      </c>
      <c r="E11" s="2">
        <v>0.1</v>
      </c>
      <c r="F11" s="2">
        <v>0.1</v>
      </c>
      <c r="G11" s="17">
        <f t="shared" si="0"/>
        <v>0.99999999999999989</v>
      </c>
    </row>
    <row r="12" spans="1:7" x14ac:dyDescent="0.25">
      <c r="A12" s="20">
        <v>11</v>
      </c>
      <c r="B12" s="2">
        <v>0.4</v>
      </c>
      <c r="C12" s="2">
        <v>0.3</v>
      </c>
      <c r="D12" s="2">
        <v>0.1</v>
      </c>
      <c r="E12" s="2">
        <v>0.1</v>
      </c>
      <c r="F12" s="2">
        <v>0.1</v>
      </c>
      <c r="G12" s="17">
        <f t="shared" si="0"/>
        <v>0.99999999999999989</v>
      </c>
    </row>
    <row r="13" spans="1:7" x14ac:dyDescent="0.25">
      <c r="A13" s="20">
        <v>12</v>
      </c>
      <c r="B13" s="2">
        <v>0.4</v>
      </c>
      <c r="C13" s="2">
        <v>0.3</v>
      </c>
      <c r="D13" s="2">
        <v>0.1</v>
      </c>
      <c r="E13" s="2">
        <v>0.1</v>
      </c>
      <c r="F13" s="2">
        <v>0.1</v>
      </c>
      <c r="G13" s="17">
        <f t="shared" si="0"/>
        <v>0.99999999999999989</v>
      </c>
    </row>
    <row r="14" spans="1:7" x14ac:dyDescent="0.25">
      <c r="A14" s="20">
        <v>13</v>
      </c>
      <c r="B14" s="2">
        <v>0.4</v>
      </c>
      <c r="C14" s="2">
        <v>0.3</v>
      </c>
      <c r="D14" s="2">
        <v>0.1</v>
      </c>
      <c r="E14" s="2">
        <v>0.1</v>
      </c>
      <c r="F14" s="2">
        <v>0.1</v>
      </c>
      <c r="G14" s="17">
        <f t="shared" si="0"/>
        <v>0.99999999999999989</v>
      </c>
    </row>
    <row r="15" spans="1:7" x14ac:dyDescent="0.25">
      <c r="A15" s="20">
        <v>14</v>
      </c>
      <c r="B15" s="2">
        <v>0.4</v>
      </c>
      <c r="C15" s="2">
        <v>0.3</v>
      </c>
      <c r="D15" s="2">
        <v>0.1</v>
      </c>
      <c r="E15" s="2">
        <v>0.1</v>
      </c>
      <c r="F15" s="2">
        <v>0.1</v>
      </c>
      <c r="G15" s="17">
        <f t="shared" si="0"/>
        <v>0.99999999999999989</v>
      </c>
    </row>
    <row r="16" spans="1:7" x14ac:dyDescent="0.25">
      <c r="A16" s="20">
        <v>15</v>
      </c>
      <c r="B16" s="2">
        <v>0.4</v>
      </c>
      <c r="C16" s="2">
        <v>0.3</v>
      </c>
      <c r="D16" s="2">
        <v>0.1</v>
      </c>
      <c r="E16" s="2">
        <v>0.1</v>
      </c>
      <c r="F16" s="2">
        <v>0.1</v>
      </c>
      <c r="G16" s="17">
        <f t="shared" si="0"/>
        <v>0.99999999999999989</v>
      </c>
    </row>
    <row r="17" spans="1:7" x14ac:dyDescent="0.25">
      <c r="A17" s="20">
        <v>16</v>
      </c>
      <c r="B17" s="2">
        <v>0.4</v>
      </c>
      <c r="C17" s="2">
        <v>0.3</v>
      </c>
      <c r="D17" s="2">
        <v>0.1</v>
      </c>
      <c r="E17" s="2">
        <v>0.1</v>
      </c>
      <c r="F17" s="2">
        <v>0.1</v>
      </c>
      <c r="G17" s="17">
        <f t="shared" si="0"/>
        <v>0.99999999999999989</v>
      </c>
    </row>
    <row r="18" spans="1:7" x14ac:dyDescent="0.25">
      <c r="A18" s="20">
        <v>17</v>
      </c>
      <c r="B18" s="2">
        <v>0.4</v>
      </c>
      <c r="C18" s="2">
        <v>0.3</v>
      </c>
      <c r="D18" s="2">
        <v>0.1</v>
      </c>
      <c r="E18" s="2">
        <v>0.1</v>
      </c>
      <c r="F18" s="2">
        <v>0.1</v>
      </c>
      <c r="G18" s="17">
        <f t="shared" si="0"/>
        <v>0.99999999999999989</v>
      </c>
    </row>
    <row r="19" spans="1:7" x14ac:dyDescent="0.25">
      <c r="A19" s="20">
        <v>18</v>
      </c>
      <c r="B19" s="2">
        <v>0.4</v>
      </c>
      <c r="C19" s="2">
        <v>0.3</v>
      </c>
      <c r="D19" s="2">
        <v>0.1</v>
      </c>
      <c r="E19" s="2">
        <v>0.1</v>
      </c>
      <c r="F19" s="2">
        <v>0.1</v>
      </c>
      <c r="G19" s="17">
        <f t="shared" si="0"/>
        <v>0.99999999999999989</v>
      </c>
    </row>
    <row r="20" spans="1:7" x14ac:dyDescent="0.25">
      <c r="A20" s="20">
        <v>19</v>
      </c>
      <c r="B20" s="2">
        <v>0.4</v>
      </c>
      <c r="C20" s="2">
        <v>0.3</v>
      </c>
      <c r="D20" s="2">
        <v>0.1</v>
      </c>
      <c r="E20" s="2">
        <v>0.1</v>
      </c>
      <c r="F20" s="2">
        <v>0.1</v>
      </c>
      <c r="G20" s="17">
        <f t="shared" si="0"/>
        <v>0.99999999999999989</v>
      </c>
    </row>
    <row r="21" spans="1:7" x14ac:dyDescent="0.25">
      <c r="A21" s="20">
        <v>20</v>
      </c>
      <c r="B21" s="2">
        <v>0.4</v>
      </c>
      <c r="C21" s="2">
        <v>0.3</v>
      </c>
      <c r="D21" s="2">
        <v>0.1</v>
      </c>
      <c r="E21" s="2">
        <v>0.1</v>
      </c>
      <c r="F21" s="2">
        <v>0.1</v>
      </c>
      <c r="G21" s="17">
        <f t="shared" si="0"/>
        <v>0.99999999999999989</v>
      </c>
    </row>
    <row r="22" spans="1:7" x14ac:dyDescent="0.25">
      <c r="A22" s="20">
        <v>21</v>
      </c>
      <c r="B22" s="2">
        <v>0.4</v>
      </c>
      <c r="C22" s="2">
        <v>0.3</v>
      </c>
      <c r="D22" s="2">
        <v>0.1</v>
      </c>
      <c r="E22" s="2">
        <v>0.1</v>
      </c>
      <c r="F22" s="2">
        <v>0.1</v>
      </c>
      <c r="G22" s="17">
        <f t="shared" si="0"/>
        <v>0.99999999999999989</v>
      </c>
    </row>
    <row r="23" spans="1:7" x14ac:dyDescent="0.25">
      <c r="A23" s="20">
        <v>22</v>
      </c>
      <c r="B23" s="2">
        <v>0.4</v>
      </c>
      <c r="C23" s="2">
        <v>0.3</v>
      </c>
      <c r="D23" s="2">
        <v>0.1</v>
      </c>
      <c r="E23" s="2">
        <v>0.1</v>
      </c>
      <c r="F23" s="2">
        <v>0.1</v>
      </c>
      <c r="G23" s="17">
        <f t="shared" si="0"/>
        <v>0.99999999999999989</v>
      </c>
    </row>
    <row r="24" spans="1:7" x14ac:dyDescent="0.25">
      <c r="A24" s="20">
        <v>23</v>
      </c>
      <c r="B24" s="2">
        <v>0.4</v>
      </c>
      <c r="C24" s="2">
        <v>0.3</v>
      </c>
      <c r="D24" s="2">
        <v>0.1</v>
      </c>
      <c r="E24" s="2">
        <v>0.1</v>
      </c>
      <c r="F24" s="2">
        <v>0.1</v>
      </c>
      <c r="G24" s="17">
        <f t="shared" si="0"/>
        <v>0.99999999999999989</v>
      </c>
    </row>
    <row r="25" spans="1:7" x14ac:dyDescent="0.25">
      <c r="A25" s="20">
        <v>24</v>
      </c>
      <c r="B25" s="2">
        <v>0.4</v>
      </c>
      <c r="C25" s="2">
        <v>0.3</v>
      </c>
      <c r="D25" s="2">
        <v>0.1</v>
      </c>
      <c r="E25" s="2">
        <v>0.1</v>
      </c>
      <c r="F25" s="2">
        <v>0.1</v>
      </c>
      <c r="G25" s="17">
        <f t="shared" si="0"/>
        <v>0.99999999999999989</v>
      </c>
    </row>
    <row r="26" spans="1:7" x14ac:dyDescent="0.25">
      <c r="A26" s="20">
        <v>25</v>
      </c>
      <c r="B26" s="2">
        <v>0.4</v>
      </c>
      <c r="C26" s="2">
        <v>0.3</v>
      </c>
      <c r="D26" s="2">
        <v>0.1</v>
      </c>
      <c r="E26" s="2">
        <v>0.1</v>
      </c>
      <c r="F26" s="2">
        <v>0.1</v>
      </c>
      <c r="G26" s="17">
        <f t="shared" si="0"/>
        <v>0.99999999999999989</v>
      </c>
    </row>
    <row r="27" spans="1:7" x14ac:dyDescent="0.25">
      <c r="A27" s="20">
        <v>26</v>
      </c>
      <c r="B27" s="2">
        <v>0.4</v>
      </c>
      <c r="C27" s="2">
        <v>0.3</v>
      </c>
      <c r="D27" s="2">
        <v>0.1</v>
      </c>
      <c r="E27" s="2">
        <v>0.1</v>
      </c>
      <c r="F27" s="2">
        <v>0.1</v>
      </c>
      <c r="G27" s="17">
        <f t="shared" si="0"/>
        <v>0.99999999999999989</v>
      </c>
    </row>
    <row r="28" spans="1:7" x14ac:dyDescent="0.25">
      <c r="A28" s="20">
        <v>27</v>
      </c>
      <c r="B28" s="2">
        <v>0.4</v>
      </c>
      <c r="C28" s="2">
        <v>0.3</v>
      </c>
      <c r="D28" s="2">
        <v>0.1</v>
      </c>
      <c r="E28" s="2">
        <v>0.1</v>
      </c>
      <c r="F28" s="2">
        <v>0.1</v>
      </c>
      <c r="G28" s="17">
        <f t="shared" si="0"/>
        <v>0.99999999999999989</v>
      </c>
    </row>
    <row r="29" spans="1:7" x14ac:dyDescent="0.25">
      <c r="A29" s="20">
        <v>28</v>
      </c>
      <c r="B29" s="2">
        <v>0.4</v>
      </c>
      <c r="C29" s="2">
        <v>0.3</v>
      </c>
      <c r="D29" s="2">
        <v>0.1</v>
      </c>
      <c r="E29" s="2">
        <v>0.1</v>
      </c>
      <c r="F29" s="2">
        <v>0.1</v>
      </c>
      <c r="G29" s="17">
        <f t="shared" si="0"/>
        <v>0.99999999999999989</v>
      </c>
    </row>
    <row r="30" spans="1:7" x14ac:dyDescent="0.25">
      <c r="A30" s="20">
        <v>29</v>
      </c>
      <c r="B30" s="2">
        <v>0.4</v>
      </c>
      <c r="C30" s="2">
        <v>0.3</v>
      </c>
      <c r="D30" s="2">
        <v>0.1</v>
      </c>
      <c r="E30" s="2">
        <v>0.1</v>
      </c>
      <c r="F30" s="2">
        <v>0.1</v>
      </c>
      <c r="G30" s="17">
        <f t="shared" si="0"/>
        <v>0.99999999999999989</v>
      </c>
    </row>
    <row r="31" spans="1:7" x14ac:dyDescent="0.25">
      <c r="A31" s="20">
        <v>30</v>
      </c>
      <c r="B31" s="2">
        <v>0.4</v>
      </c>
      <c r="C31" s="2">
        <v>0.3</v>
      </c>
      <c r="D31" s="2">
        <v>0.1</v>
      </c>
      <c r="E31" s="2">
        <v>0.1</v>
      </c>
      <c r="F31" s="2">
        <v>0.1</v>
      </c>
      <c r="G31" s="17">
        <f t="shared" si="0"/>
        <v>0.99999999999999989</v>
      </c>
    </row>
    <row r="32" spans="1:7" x14ac:dyDescent="0.25">
      <c r="A32" s="20">
        <v>31</v>
      </c>
      <c r="B32" s="2">
        <v>0.4</v>
      </c>
      <c r="C32" s="2">
        <v>0.3</v>
      </c>
      <c r="D32" s="2">
        <v>0.1</v>
      </c>
      <c r="E32" s="2">
        <v>0.1</v>
      </c>
      <c r="F32" s="2">
        <v>0.1</v>
      </c>
      <c r="G32" s="17">
        <f t="shared" si="0"/>
        <v>0.99999999999999989</v>
      </c>
    </row>
    <row r="33" spans="1:7" x14ac:dyDescent="0.25">
      <c r="A33" s="20">
        <v>32</v>
      </c>
      <c r="B33" s="2">
        <v>0.4</v>
      </c>
      <c r="C33" s="2">
        <v>0.3</v>
      </c>
      <c r="D33" s="2">
        <v>0.1</v>
      </c>
      <c r="E33" s="2">
        <v>0.1</v>
      </c>
      <c r="F33" s="2">
        <v>0.1</v>
      </c>
      <c r="G33" s="17">
        <f t="shared" si="0"/>
        <v>0.99999999999999989</v>
      </c>
    </row>
    <row r="34" spans="1:7" x14ac:dyDescent="0.25">
      <c r="A34" s="20">
        <v>33</v>
      </c>
      <c r="B34" s="2">
        <v>0.4</v>
      </c>
      <c r="C34" s="2">
        <v>0.3</v>
      </c>
      <c r="D34" s="2">
        <v>0.1</v>
      </c>
      <c r="E34" s="2">
        <v>0.1</v>
      </c>
      <c r="F34" s="2">
        <v>0.1</v>
      </c>
      <c r="G34" s="17">
        <f t="shared" si="0"/>
        <v>0.99999999999999989</v>
      </c>
    </row>
    <row r="35" spans="1:7" x14ac:dyDescent="0.25">
      <c r="A35" s="20">
        <v>34</v>
      </c>
      <c r="B35" s="2">
        <v>0.4</v>
      </c>
      <c r="C35" s="2">
        <v>0.3</v>
      </c>
      <c r="D35" s="2">
        <v>0.1</v>
      </c>
      <c r="E35" s="2">
        <v>0.1</v>
      </c>
      <c r="F35" s="2">
        <v>0.1</v>
      </c>
      <c r="G35" s="17">
        <f t="shared" si="0"/>
        <v>0.99999999999999989</v>
      </c>
    </row>
    <row r="36" spans="1:7" x14ac:dyDescent="0.25">
      <c r="A36" s="20">
        <v>35</v>
      </c>
      <c r="B36" s="2">
        <v>0.4</v>
      </c>
      <c r="C36" s="2">
        <v>0.3</v>
      </c>
      <c r="D36" s="2">
        <v>0.1</v>
      </c>
      <c r="E36" s="2">
        <v>0.1</v>
      </c>
      <c r="F36" s="2">
        <v>0.1</v>
      </c>
      <c r="G36" s="17">
        <f t="shared" si="0"/>
        <v>0.99999999999999989</v>
      </c>
    </row>
    <row r="37" spans="1:7" x14ac:dyDescent="0.25">
      <c r="A37" s="20">
        <v>36</v>
      </c>
      <c r="B37" s="2">
        <v>0.4</v>
      </c>
      <c r="C37" s="2">
        <v>0.3</v>
      </c>
      <c r="D37" s="2">
        <v>0.1</v>
      </c>
      <c r="E37" s="2">
        <v>0.1</v>
      </c>
      <c r="F37" s="2">
        <v>0.1</v>
      </c>
      <c r="G37" s="17">
        <f t="shared" si="0"/>
        <v>0.99999999999999989</v>
      </c>
    </row>
    <row r="38" spans="1:7" x14ac:dyDescent="0.25">
      <c r="A38" s="20">
        <v>37</v>
      </c>
      <c r="B38" s="2">
        <v>0.4</v>
      </c>
      <c r="C38" s="2">
        <v>0.3</v>
      </c>
      <c r="D38" s="2">
        <v>0.1</v>
      </c>
      <c r="E38" s="2">
        <v>0.1</v>
      </c>
      <c r="F38" s="2">
        <v>0.1</v>
      </c>
      <c r="G38" s="17">
        <f t="shared" si="0"/>
        <v>0.99999999999999989</v>
      </c>
    </row>
    <row r="39" spans="1:7" x14ac:dyDescent="0.25">
      <c r="A39" s="20">
        <v>38</v>
      </c>
      <c r="B39" s="2">
        <v>0.4</v>
      </c>
      <c r="C39" s="2">
        <v>0.3</v>
      </c>
      <c r="D39" s="2">
        <v>0.1</v>
      </c>
      <c r="E39" s="2">
        <v>0.1</v>
      </c>
      <c r="F39" s="2">
        <v>0.1</v>
      </c>
      <c r="G39" s="17">
        <f t="shared" si="0"/>
        <v>0.99999999999999989</v>
      </c>
    </row>
    <row r="40" spans="1:7" x14ac:dyDescent="0.25">
      <c r="A40" s="20">
        <v>39</v>
      </c>
      <c r="B40" s="2">
        <v>0.4</v>
      </c>
      <c r="C40" s="2">
        <v>0.3</v>
      </c>
      <c r="D40" s="2">
        <v>0.1</v>
      </c>
      <c r="E40" s="2">
        <v>0.1</v>
      </c>
      <c r="F40" s="2">
        <v>0.1</v>
      </c>
      <c r="G40" s="17">
        <f t="shared" si="0"/>
        <v>0.99999999999999989</v>
      </c>
    </row>
    <row r="41" spans="1:7" x14ac:dyDescent="0.25">
      <c r="A41" s="20">
        <v>40</v>
      </c>
      <c r="B41" s="2">
        <v>0.4</v>
      </c>
      <c r="C41" s="2">
        <v>0.3</v>
      </c>
      <c r="D41" s="2">
        <v>0.1</v>
      </c>
      <c r="E41" s="2">
        <v>0.1</v>
      </c>
      <c r="F41" s="2">
        <v>0.1</v>
      </c>
      <c r="G41" s="17">
        <f t="shared" si="0"/>
        <v>0.99999999999999989</v>
      </c>
    </row>
    <row r="42" spans="1:7" x14ac:dyDescent="0.25">
      <c r="A42" s="20">
        <v>41</v>
      </c>
      <c r="B42" s="2">
        <v>0.4</v>
      </c>
      <c r="C42" s="2">
        <v>0.3</v>
      </c>
      <c r="D42" s="2">
        <v>0.1</v>
      </c>
      <c r="E42" s="2">
        <v>0.1</v>
      </c>
      <c r="F42" s="2">
        <v>0.1</v>
      </c>
      <c r="G42" s="17">
        <f t="shared" si="0"/>
        <v>0.99999999999999989</v>
      </c>
    </row>
    <row r="43" spans="1:7" x14ac:dyDescent="0.25">
      <c r="A43" s="20">
        <v>42</v>
      </c>
      <c r="B43" s="2">
        <v>0.4</v>
      </c>
      <c r="C43" s="2">
        <v>0.3</v>
      </c>
      <c r="D43" s="2">
        <v>0.1</v>
      </c>
      <c r="E43" s="2">
        <v>0.1</v>
      </c>
      <c r="F43" s="2">
        <v>0.1</v>
      </c>
      <c r="G43" s="17">
        <f t="shared" si="0"/>
        <v>0.99999999999999989</v>
      </c>
    </row>
    <row r="44" spans="1:7" x14ac:dyDescent="0.25">
      <c r="A44" s="20">
        <v>43</v>
      </c>
      <c r="B44" s="2">
        <v>0.4</v>
      </c>
      <c r="C44" s="2">
        <v>0.3</v>
      </c>
      <c r="D44" s="2">
        <v>0.1</v>
      </c>
      <c r="E44" s="2">
        <v>0.1</v>
      </c>
      <c r="F44" s="2">
        <v>0.1</v>
      </c>
      <c r="G44" s="17">
        <f t="shared" si="0"/>
        <v>0.99999999999999989</v>
      </c>
    </row>
    <row r="45" spans="1:7" x14ac:dyDescent="0.25">
      <c r="A45" s="20">
        <v>44</v>
      </c>
      <c r="B45" s="2">
        <v>0.4</v>
      </c>
      <c r="C45" s="2">
        <v>0.3</v>
      </c>
      <c r="D45" s="2">
        <v>0.1</v>
      </c>
      <c r="E45" s="2">
        <v>0.1</v>
      </c>
      <c r="F45" s="2">
        <v>0.1</v>
      </c>
      <c r="G45" s="17">
        <f t="shared" si="0"/>
        <v>0.99999999999999989</v>
      </c>
    </row>
    <row r="46" spans="1:7" x14ac:dyDescent="0.25">
      <c r="A46" s="20">
        <v>45</v>
      </c>
      <c r="B46" s="2">
        <v>0.4</v>
      </c>
      <c r="C46" s="2">
        <v>0.3</v>
      </c>
      <c r="D46" s="2">
        <v>0.1</v>
      </c>
      <c r="E46" s="2">
        <v>0.1</v>
      </c>
      <c r="F46" s="2">
        <v>0.1</v>
      </c>
      <c r="G46" s="17">
        <f t="shared" si="0"/>
        <v>0.99999999999999989</v>
      </c>
    </row>
    <row r="47" spans="1:7" x14ac:dyDescent="0.25">
      <c r="A47" s="20">
        <v>46</v>
      </c>
      <c r="B47" s="2">
        <v>0.4</v>
      </c>
      <c r="C47" s="2">
        <v>0.3</v>
      </c>
      <c r="D47" s="2">
        <v>0.1</v>
      </c>
      <c r="E47" s="2">
        <v>0.1</v>
      </c>
      <c r="F47" s="2">
        <v>0.1</v>
      </c>
      <c r="G47" s="17">
        <f t="shared" si="0"/>
        <v>0.99999999999999989</v>
      </c>
    </row>
    <row r="48" spans="1:7" x14ac:dyDescent="0.25">
      <c r="A48" s="20">
        <v>47</v>
      </c>
      <c r="B48" s="2">
        <v>0.4</v>
      </c>
      <c r="C48" s="2">
        <v>0.3</v>
      </c>
      <c r="D48" s="2">
        <v>0.1</v>
      </c>
      <c r="E48" s="2">
        <v>0.1</v>
      </c>
      <c r="F48" s="2">
        <v>0.1</v>
      </c>
      <c r="G48" s="17">
        <f t="shared" si="0"/>
        <v>0.99999999999999989</v>
      </c>
    </row>
    <row r="49" spans="1:7" x14ac:dyDescent="0.25">
      <c r="A49" s="20">
        <v>48</v>
      </c>
      <c r="B49" s="2">
        <v>0.4</v>
      </c>
      <c r="C49" s="2">
        <v>0.3</v>
      </c>
      <c r="D49" s="2">
        <v>0.1</v>
      </c>
      <c r="E49" s="2">
        <v>0.1</v>
      </c>
      <c r="F49" s="2">
        <v>0.1</v>
      </c>
      <c r="G49" s="17">
        <f t="shared" si="0"/>
        <v>0.99999999999999989</v>
      </c>
    </row>
    <row r="50" spans="1:7" x14ac:dyDescent="0.25">
      <c r="A50" s="20">
        <v>49</v>
      </c>
      <c r="B50" s="2">
        <v>0.4</v>
      </c>
      <c r="C50" s="2">
        <v>0.3</v>
      </c>
      <c r="D50" s="2">
        <v>0.1</v>
      </c>
      <c r="E50" s="2">
        <v>0.1</v>
      </c>
      <c r="F50" s="2">
        <v>0.1</v>
      </c>
      <c r="G50" s="17">
        <f t="shared" si="0"/>
        <v>0.99999999999999989</v>
      </c>
    </row>
    <row r="51" spans="1:7" x14ac:dyDescent="0.25">
      <c r="A51" s="20">
        <v>50</v>
      </c>
      <c r="B51" s="2">
        <v>0.4</v>
      </c>
      <c r="C51" s="2">
        <v>0.3</v>
      </c>
      <c r="D51" s="2">
        <v>0.1</v>
      </c>
      <c r="E51" s="2">
        <v>0.1</v>
      </c>
      <c r="F51" s="2">
        <v>0.1</v>
      </c>
      <c r="G51" s="17">
        <f t="shared" si="0"/>
        <v>0.99999999999999989</v>
      </c>
    </row>
    <row r="52" spans="1:7" x14ac:dyDescent="0.25">
      <c r="A52" s="20">
        <v>51</v>
      </c>
      <c r="B52" s="2">
        <v>0.4</v>
      </c>
      <c r="C52" s="2">
        <v>0.3</v>
      </c>
      <c r="D52" s="2">
        <v>0.1</v>
      </c>
      <c r="E52" s="2">
        <v>0.1</v>
      </c>
      <c r="F52" s="2">
        <v>0.1</v>
      </c>
      <c r="G52" s="17">
        <f t="shared" si="0"/>
        <v>0.99999999999999989</v>
      </c>
    </row>
    <row r="53" spans="1:7" x14ac:dyDescent="0.25">
      <c r="A53" s="20">
        <v>52</v>
      </c>
      <c r="B53" s="2">
        <v>0.4</v>
      </c>
      <c r="C53" s="2">
        <v>0.3</v>
      </c>
      <c r="D53" s="2">
        <v>0.1</v>
      </c>
      <c r="E53" s="2">
        <v>0.1</v>
      </c>
      <c r="F53" s="2">
        <v>0.1</v>
      </c>
      <c r="G53" s="17">
        <f t="shared" si="0"/>
        <v>0.99999999999999989</v>
      </c>
    </row>
    <row r="54" spans="1:7" x14ac:dyDescent="0.25">
      <c r="A54" s="20">
        <v>53</v>
      </c>
      <c r="B54" s="2">
        <v>0.4</v>
      </c>
      <c r="C54" s="2">
        <v>0.3</v>
      </c>
      <c r="D54" s="2">
        <v>0.1</v>
      </c>
      <c r="E54" s="2">
        <v>0.1</v>
      </c>
      <c r="F54" s="2">
        <v>0.1</v>
      </c>
      <c r="G54" s="17">
        <f t="shared" si="0"/>
        <v>0.99999999999999989</v>
      </c>
    </row>
    <row r="55" spans="1:7" x14ac:dyDescent="0.25">
      <c r="A55" s="20">
        <v>54</v>
      </c>
      <c r="B55" s="2">
        <v>0.4</v>
      </c>
      <c r="C55" s="2">
        <v>0.3</v>
      </c>
      <c r="D55" s="2">
        <v>0.1</v>
      </c>
      <c r="E55" s="2">
        <v>0.1</v>
      </c>
      <c r="F55" s="2">
        <v>0.1</v>
      </c>
      <c r="G55" s="17">
        <f t="shared" si="0"/>
        <v>0.99999999999999989</v>
      </c>
    </row>
    <row r="56" spans="1:7" x14ac:dyDescent="0.25">
      <c r="A56" s="20">
        <v>55</v>
      </c>
      <c r="B56" s="2">
        <v>0.4</v>
      </c>
      <c r="C56" s="2">
        <v>0.3</v>
      </c>
      <c r="D56" s="2">
        <v>0.1</v>
      </c>
      <c r="E56" s="2">
        <v>0.1</v>
      </c>
      <c r="F56" s="2">
        <v>0.1</v>
      </c>
      <c r="G56" s="17">
        <f t="shared" si="0"/>
        <v>0.99999999999999989</v>
      </c>
    </row>
    <row r="57" spans="1:7" x14ac:dyDescent="0.25">
      <c r="A57" s="20">
        <v>56</v>
      </c>
      <c r="B57" s="2">
        <v>0.4</v>
      </c>
      <c r="C57" s="2">
        <v>0.3</v>
      </c>
      <c r="D57" s="2">
        <v>0.1</v>
      </c>
      <c r="E57" s="2">
        <v>0.1</v>
      </c>
      <c r="F57" s="2">
        <v>0.1</v>
      </c>
      <c r="G57" s="17">
        <f t="shared" si="0"/>
        <v>0.99999999999999989</v>
      </c>
    </row>
    <row r="58" spans="1:7" x14ac:dyDescent="0.25">
      <c r="A58" s="20">
        <v>57</v>
      </c>
      <c r="B58" s="2">
        <v>0.4</v>
      </c>
      <c r="C58" s="2">
        <v>0.3</v>
      </c>
      <c r="D58" s="2">
        <v>0.1</v>
      </c>
      <c r="E58" s="2">
        <v>0.1</v>
      </c>
      <c r="F58" s="2">
        <v>0.1</v>
      </c>
      <c r="G58" s="17">
        <f t="shared" si="0"/>
        <v>0.99999999999999989</v>
      </c>
    </row>
    <row r="59" spans="1:7" x14ac:dyDescent="0.25">
      <c r="A59" s="20">
        <v>58</v>
      </c>
      <c r="B59" s="2">
        <v>0.4</v>
      </c>
      <c r="C59" s="2">
        <v>0.3</v>
      </c>
      <c r="D59" s="2">
        <v>0.1</v>
      </c>
      <c r="E59" s="2">
        <v>0.1</v>
      </c>
      <c r="F59" s="2">
        <v>0.1</v>
      </c>
      <c r="G59" s="17">
        <f t="shared" si="0"/>
        <v>0.99999999999999989</v>
      </c>
    </row>
    <row r="60" spans="1:7" x14ac:dyDescent="0.25">
      <c r="A60" s="20">
        <v>59</v>
      </c>
      <c r="B60" s="2">
        <v>0.4</v>
      </c>
      <c r="C60" s="2">
        <v>0.3</v>
      </c>
      <c r="D60" s="2">
        <v>0.1</v>
      </c>
      <c r="E60" s="2">
        <v>0.1</v>
      </c>
      <c r="F60" s="2">
        <v>0.1</v>
      </c>
      <c r="G60" s="17">
        <f t="shared" si="0"/>
        <v>0.99999999999999989</v>
      </c>
    </row>
    <row r="61" spans="1:7" x14ac:dyDescent="0.25">
      <c r="A61" s="20">
        <v>60</v>
      </c>
      <c r="B61" s="2">
        <v>0.4</v>
      </c>
      <c r="C61" s="2">
        <v>0.3</v>
      </c>
      <c r="D61" s="2">
        <v>0.1</v>
      </c>
      <c r="E61" s="2">
        <v>0.1</v>
      </c>
      <c r="F61" s="2">
        <v>0.1</v>
      </c>
      <c r="G61" s="17">
        <f t="shared" si="0"/>
        <v>0.99999999999999989</v>
      </c>
    </row>
    <row r="62" spans="1:7" x14ac:dyDescent="0.25">
      <c r="A62" s="20">
        <v>61</v>
      </c>
      <c r="B62" s="2">
        <v>0.4</v>
      </c>
      <c r="C62" s="2">
        <v>0.3</v>
      </c>
      <c r="D62" s="2">
        <v>0.1</v>
      </c>
      <c r="E62" s="2">
        <v>0.1</v>
      </c>
      <c r="F62" s="2">
        <v>0.1</v>
      </c>
      <c r="G62" s="17">
        <f t="shared" si="0"/>
        <v>0.99999999999999989</v>
      </c>
    </row>
    <row r="63" spans="1:7" x14ac:dyDescent="0.25">
      <c r="A63" s="20">
        <v>62</v>
      </c>
      <c r="B63" s="2">
        <v>0.4</v>
      </c>
      <c r="C63" s="2">
        <v>0.3</v>
      </c>
      <c r="D63" s="2">
        <v>0.1</v>
      </c>
      <c r="E63" s="2">
        <v>0.1</v>
      </c>
      <c r="F63" s="2">
        <v>0.1</v>
      </c>
      <c r="G63" s="17">
        <f t="shared" si="0"/>
        <v>0.99999999999999989</v>
      </c>
    </row>
    <row r="64" spans="1:7" x14ac:dyDescent="0.25">
      <c r="A64" s="20">
        <v>63</v>
      </c>
      <c r="B64" s="2">
        <v>0.4</v>
      </c>
      <c r="C64" s="2">
        <v>0.3</v>
      </c>
      <c r="D64" s="2">
        <v>0.1</v>
      </c>
      <c r="E64" s="2">
        <v>0.1</v>
      </c>
      <c r="F64" s="2">
        <v>0.1</v>
      </c>
      <c r="G64" s="17">
        <f t="shared" si="0"/>
        <v>0.99999999999999989</v>
      </c>
    </row>
    <row r="65" spans="1:7" x14ac:dyDescent="0.25">
      <c r="A65" s="20">
        <v>64</v>
      </c>
      <c r="B65" s="2">
        <v>0.4</v>
      </c>
      <c r="C65" s="2">
        <v>0.3</v>
      </c>
      <c r="D65" s="2">
        <v>0.1</v>
      </c>
      <c r="E65" s="2">
        <v>0.1</v>
      </c>
      <c r="F65" s="2">
        <v>0.1</v>
      </c>
      <c r="G65" s="17">
        <f t="shared" si="0"/>
        <v>0.99999999999999989</v>
      </c>
    </row>
    <row r="66" spans="1:7" x14ac:dyDescent="0.25">
      <c r="A66" s="20">
        <v>65</v>
      </c>
      <c r="B66" s="2">
        <v>0.4</v>
      </c>
      <c r="C66" s="2">
        <v>0.3</v>
      </c>
      <c r="D66" s="2">
        <v>0.1</v>
      </c>
      <c r="E66" s="2">
        <v>0.1</v>
      </c>
      <c r="F66" s="2">
        <v>0.1</v>
      </c>
      <c r="G66" s="17">
        <f t="shared" si="0"/>
        <v>0.99999999999999989</v>
      </c>
    </row>
    <row r="67" spans="1:7" x14ac:dyDescent="0.25">
      <c r="A67" s="20">
        <v>66</v>
      </c>
      <c r="B67" s="2">
        <v>0.4</v>
      </c>
      <c r="C67" s="2">
        <v>0.3</v>
      </c>
      <c r="D67" s="2">
        <v>0.1</v>
      </c>
      <c r="E67" s="2">
        <v>0.1</v>
      </c>
      <c r="F67" s="2">
        <v>0.1</v>
      </c>
      <c r="G67" s="17">
        <f t="shared" ref="G67:G130" si="1">SUM(B67:F67)</f>
        <v>0.99999999999999989</v>
      </c>
    </row>
    <row r="68" spans="1:7" x14ac:dyDescent="0.25">
      <c r="A68" s="20">
        <v>67</v>
      </c>
      <c r="B68" s="2">
        <v>0.4</v>
      </c>
      <c r="C68" s="2">
        <v>0.3</v>
      </c>
      <c r="D68" s="2">
        <v>0.1</v>
      </c>
      <c r="E68" s="2">
        <v>0.1</v>
      </c>
      <c r="F68" s="2">
        <v>0.1</v>
      </c>
      <c r="G68" s="17">
        <f t="shared" si="1"/>
        <v>0.99999999999999989</v>
      </c>
    </row>
    <row r="69" spans="1:7" x14ac:dyDescent="0.25">
      <c r="A69" s="20">
        <v>68</v>
      </c>
      <c r="B69" s="2">
        <v>0.4</v>
      </c>
      <c r="C69" s="2">
        <v>0.3</v>
      </c>
      <c r="D69" s="2">
        <v>0.1</v>
      </c>
      <c r="E69" s="2">
        <v>0.1</v>
      </c>
      <c r="F69" s="2">
        <v>0.1</v>
      </c>
      <c r="G69" s="17">
        <f t="shared" si="1"/>
        <v>0.99999999999999989</v>
      </c>
    </row>
    <row r="70" spans="1:7" x14ac:dyDescent="0.25">
      <c r="A70" s="20">
        <v>69</v>
      </c>
      <c r="B70" s="2">
        <v>0.4</v>
      </c>
      <c r="C70" s="2">
        <v>0.3</v>
      </c>
      <c r="D70" s="2">
        <v>0.1</v>
      </c>
      <c r="E70" s="2">
        <v>0.1</v>
      </c>
      <c r="F70" s="2">
        <v>0.1</v>
      </c>
      <c r="G70" s="17">
        <f t="shared" si="1"/>
        <v>0.99999999999999989</v>
      </c>
    </row>
    <row r="71" spans="1:7" x14ac:dyDescent="0.25">
      <c r="A71" s="20">
        <v>70</v>
      </c>
      <c r="B71" s="2">
        <v>0.4</v>
      </c>
      <c r="C71" s="2">
        <v>0.3</v>
      </c>
      <c r="D71" s="2">
        <v>0.1</v>
      </c>
      <c r="E71" s="2">
        <v>0.1</v>
      </c>
      <c r="F71" s="2">
        <v>0.1</v>
      </c>
      <c r="G71" s="17">
        <f t="shared" si="1"/>
        <v>0.99999999999999989</v>
      </c>
    </row>
    <row r="72" spans="1:7" x14ac:dyDescent="0.25">
      <c r="A72" s="20">
        <v>71</v>
      </c>
      <c r="B72" s="2">
        <v>0.4</v>
      </c>
      <c r="C72" s="2">
        <v>0.3</v>
      </c>
      <c r="D72" s="2">
        <v>0.1</v>
      </c>
      <c r="E72" s="2">
        <v>0.1</v>
      </c>
      <c r="F72" s="2">
        <v>0.1</v>
      </c>
      <c r="G72" s="17">
        <f t="shared" si="1"/>
        <v>0.99999999999999989</v>
      </c>
    </row>
    <row r="73" spans="1:7" x14ac:dyDescent="0.25">
      <c r="A73" s="20">
        <v>72</v>
      </c>
      <c r="B73" s="2">
        <v>0.4</v>
      </c>
      <c r="C73" s="2">
        <v>0.3</v>
      </c>
      <c r="D73" s="2">
        <v>0.1</v>
      </c>
      <c r="E73" s="2">
        <v>0.1</v>
      </c>
      <c r="F73" s="2">
        <v>0.1</v>
      </c>
      <c r="G73" s="17">
        <f t="shared" si="1"/>
        <v>0.99999999999999989</v>
      </c>
    </row>
    <row r="74" spans="1:7" x14ac:dyDescent="0.25">
      <c r="A74" s="20">
        <v>73</v>
      </c>
      <c r="B74" s="2">
        <v>0.4</v>
      </c>
      <c r="C74" s="2">
        <v>0.3</v>
      </c>
      <c r="D74" s="2">
        <v>0.1</v>
      </c>
      <c r="E74" s="2">
        <v>0.1</v>
      </c>
      <c r="F74" s="2">
        <v>0.1</v>
      </c>
      <c r="G74" s="17">
        <f t="shared" si="1"/>
        <v>0.99999999999999989</v>
      </c>
    </row>
    <row r="75" spans="1:7" x14ac:dyDescent="0.25">
      <c r="A75" s="20">
        <v>74</v>
      </c>
      <c r="B75" s="2">
        <v>0.4</v>
      </c>
      <c r="C75" s="2">
        <v>0.3</v>
      </c>
      <c r="D75" s="2">
        <v>0.1</v>
      </c>
      <c r="E75" s="2">
        <v>0.1</v>
      </c>
      <c r="F75" s="2">
        <v>0.1</v>
      </c>
      <c r="G75" s="17">
        <f t="shared" si="1"/>
        <v>0.99999999999999989</v>
      </c>
    </row>
    <row r="76" spans="1:7" x14ac:dyDescent="0.25">
      <c r="A76" s="20">
        <v>75</v>
      </c>
      <c r="B76" s="2">
        <v>0.4</v>
      </c>
      <c r="C76" s="2">
        <v>0.3</v>
      </c>
      <c r="D76" s="2">
        <v>0.1</v>
      </c>
      <c r="E76" s="2">
        <v>0.1</v>
      </c>
      <c r="F76" s="2">
        <v>0.1</v>
      </c>
      <c r="G76" s="17">
        <f t="shared" si="1"/>
        <v>0.99999999999999989</v>
      </c>
    </row>
    <row r="77" spans="1:7" x14ac:dyDescent="0.25">
      <c r="A77" s="20">
        <v>76</v>
      </c>
      <c r="B77" s="2">
        <v>0.4</v>
      </c>
      <c r="C77" s="2">
        <v>0.3</v>
      </c>
      <c r="D77" s="2">
        <v>0.1</v>
      </c>
      <c r="E77" s="2">
        <v>0.1</v>
      </c>
      <c r="F77" s="2">
        <v>0.1</v>
      </c>
      <c r="G77" s="17">
        <f t="shared" si="1"/>
        <v>0.99999999999999989</v>
      </c>
    </row>
    <row r="78" spans="1:7" x14ac:dyDescent="0.25">
      <c r="A78" s="20">
        <v>77</v>
      </c>
      <c r="B78" s="2">
        <v>0.4</v>
      </c>
      <c r="C78" s="2">
        <v>0.3</v>
      </c>
      <c r="D78" s="2">
        <v>0.1</v>
      </c>
      <c r="E78" s="2">
        <v>0.1</v>
      </c>
      <c r="F78" s="2">
        <v>0.1</v>
      </c>
      <c r="G78" s="17">
        <f t="shared" si="1"/>
        <v>0.99999999999999989</v>
      </c>
    </row>
    <row r="79" spans="1:7" x14ac:dyDescent="0.25">
      <c r="A79" s="20">
        <v>78</v>
      </c>
      <c r="B79" s="2">
        <v>0.4</v>
      </c>
      <c r="C79" s="2">
        <v>0.3</v>
      </c>
      <c r="D79" s="2">
        <v>0.1</v>
      </c>
      <c r="E79" s="2">
        <v>0.1</v>
      </c>
      <c r="F79" s="2">
        <v>0.1</v>
      </c>
      <c r="G79" s="17">
        <f t="shared" si="1"/>
        <v>0.99999999999999989</v>
      </c>
    </row>
    <row r="80" spans="1:7" x14ac:dyDescent="0.25">
      <c r="A80" s="20">
        <v>79</v>
      </c>
      <c r="B80" s="2">
        <v>0.4</v>
      </c>
      <c r="C80" s="2">
        <v>0.3</v>
      </c>
      <c r="D80" s="2">
        <v>0.1</v>
      </c>
      <c r="E80" s="2">
        <v>0.1</v>
      </c>
      <c r="F80" s="2">
        <v>0.1</v>
      </c>
      <c r="G80" s="17">
        <f t="shared" si="1"/>
        <v>0.99999999999999989</v>
      </c>
    </row>
    <row r="81" spans="1:7" x14ac:dyDescent="0.25">
      <c r="A81" s="20">
        <v>80</v>
      </c>
      <c r="B81" s="2">
        <v>0.4</v>
      </c>
      <c r="C81" s="2">
        <v>0.3</v>
      </c>
      <c r="D81" s="2">
        <v>0.1</v>
      </c>
      <c r="E81" s="2">
        <v>0.1</v>
      </c>
      <c r="F81" s="2">
        <v>0.1</v>
      </c>
      <c r="G81" s="17">
        <f t="shared" si="1"/>
        <v>0.99999999999999989</v>
      </c>
    </row>
    <row r="82" spans="1:7" x14ac:dyDescent="0.25">
      <c r="A82" s="20">
        <v>81</v>
      </c>
      <c r="B82" s="2">
        <v>0.4</v>
      </c>
      <c r="C82" s="2">
        <v>0.3</v>
      </c>
      <c r="D82" s="2">
        <v>0.1</v>
      </c>
      <c r="E82" s="2">
        <v>0.1</v>
      </c>
      <c r="F82" s="2">
        <v>0.1</v>
      </c>
      <c r="G82" s="17">
        <f t="shared" si="1"/>
        <v>0.99999999999999989</v>
      </c>
    </row>
    <row r="83" spans="1:7" x14ac:dyDescent="0.25">
      <c r="A83" s="20">
        <v>82</v>
      </c>
      <c r="B83" s="2">
        <v>0.4</v>
      </c>
      <c r="C83" s="2">
        <v>0.3</v>
      </c>
      <c r="D83" s="2">
        <v>0.1</v>
      </c>
      <c r="E83" s="2">
        <v>0.1</v>
      </c>
      <c r="F83" s="2">
        <v>0.1</v>
      </c>
      <c r="G83" s="17">
        <f t="shared" si="1"/>
        <v>0.99999999999999989</v>
      </c>
    </row>
    <row r="84" spans="1:7" x14ac:dyDescent="0.25">
      <c r="A84" s="20">
        <v>83</v>
      </c>
      <c r="B84" s="2">
        <v>0.4</v>
      </c>
      <c r="C84" s="2">
        <v>0.3</v>
      </c>
      <c r="D84" s="2">
        <v>0.1</v>
      </c>
      <c r="E84" s="2">
        <v>0.1</v>
      </c>
      <c r="F84" s="2">
        <v>0.1</v>
      </c>
      <c r="G84" s="17">
        <f t="shared" si="1"/>
        <v>0.99999999999999989</v>
      </c>
    </row>
    <row r="85" spans="1:7" x14ac:dyDescent="0.25">
      <c r="A85" s="20">
        <v>84</v>
      </c>
      <c r="B85" s="2">
        <v>0.4</v>
      </c>
      <c r="C85" s="2">
        <v>0.3</v>
      </c>
      <c r="D85" s="2">
        <v>0.1</v>
      </c>
      <c r="E85" s="2">
        <v>0.1</v>
      </c>
      <c r="F85" s="2">
        <v>0.1</v>
      </c>
      <c r="G85" s="17">
        <f t="shared" si="1"/>
        <v>0.99999999999999989</v>
      </c>
    </row>
    <row r="86" spans="1:7" x14ac:dyDescent="0.25">
      <c r="A86" s="20">
        <v>85</v>
      </c>
      <c r="B86" s="2">
        <v>0.4</v>
      </c>
      <c r="C86" s="2">
        <v>0.3</v>
      </c>
      <c r="D86" s="2">
        <v>0.1</v>
      </c>
      <c r="E86" s="2">
        <v>0.1</v>
      </c>
      <c r="F86" s="2">
        <v>0.1</v>
      </c>
      <c r="G86" s="17">
        <f t="shared" si="1"/>
        <v>0.99999999999999989</v>
      </c>
    </row>
    <row r="87" spans="1:7" x14ac:dyDescent="0.25">
      <c r="A87" s="20">
        <v>86</v>
      </c>
      <c r="B87" s="2">
        <v>0.4</v>
      </c>
      <c r="C87" s="2">
        <v>0.3</v>
      </c>
      <c r="D87" s="2">
        <v>0.1</v>
      </c>
      <c r="E87" s="2">
        <v>0.1</v>
      </c>
      <c r="F87" s="2">
        <v>0.1</v>
      </c>
      <c r="G87" s="17">
        <f t="shared" si="1"/>
        <v>0.99999999999999989</v>
      </c>
    </row>
    <row r="88" spans="1:7" x14ac:dyDescent="0.25">
      <c r="A88" s="20">
        <v>87</v>
      </c>
      <c r="B88" s="2">
        <v>0.4</v>
      </c>
      <c r="C88" s="2">
        <v>0.3</v>
      </c>
      <c r="D88" s="2">
        <v>0.1</v>
      </c>
      <c r="E88" s="2">
        <v>0.1</v>
      </c>
      <c r="F88" s="2">
        <v>0.1</v>
      </c>
      <c r="G88" s="17">
        <f t="shared" si="1"/>
        <v>0.99999999999999989</v>
      </c>
    </row>
    <row r="89" spans="1:7" x14ac:dyDescent="0.25">
      <c r="A89" s="20">
        <v>88</v>
      </c>
      <c r="B89" s="2">
        <v>0.4</v>
      </c>
      <c r="C89" s="2">
        <v>0.3</v>
      </c>
      <c r="D89" s="2">
        <v>0.1</v>
      </c>
      <c r="E89" s="2">
        <v>0.1</v>
      </c>
      <c r="F89" s="2">
        <v>0.1</v>
      </c>
      <c r="G89" s="17">
        <f t="shared" si="1"/>
        <v>0.99999999999999989</v>
      </c>
    </row>
    <row r="90" spans="1:7" x14ac:dyDescent="0.25">
      <c r="A90" s="20">
        <v>89</v>
      </c>
      <c r="B90" s="2">
        <v>0.4</v>
      </c>
      <c r="C90" s="2">
        <v>0.3</v>
      </c>
      <c r="D90" s="2">
        <v>0.1</v>
      </c>
      <c r="E90" s="2">
        <v>0.1</v>
      </c>
      <c r="F90" s="2">
        <v>0.1</v>
      </c>
      <c r="G90" s="17">
        <f t="shared" si="1"/>
        <v>0.99999999999999989</v>
      </c>
    </row>
    <row r="91" spans="1:7" x14ac:dyDescent="0.25">
      <c r="A91" s="20">
        <v>90</v>
      </c>
      <c r="B91" s="2">
        <v>0.4</v>
      </c>
      <c r="C91" s="2">
        <v>0.3</v>
      </c>
      <c r="D91" s="2">
        <v>0.1</v>
      </c>
      <c r="E91" s="2">
        <v>0.1</v>
      </c>
      <c r="F91" s="2">
        <v>0.1</v>
      </c>
      <c r="G91" s="17">
        <f t="shared" si="1"/>
        <v>0.99999999999999989</v>
      </c>
    </row>
    <row r="92" spans="1:7" x14ac:dyDescent="0.25">
      <c r="A92" s="20">
        <v>91</v>
      </c>
      <c r="B92" s="2">
        <v>0.4</v>
      </c>
      <c r="C92" s="2">
        <v>0.3</v>
      </c>
      <c r="D92" s="2">
        <v>0.1</v>
      </c>
      <c r="E92" s="2">
        <v>0.1</v>
      </c>
      <c r="F92" s="2">
        <v>0.1</v>
      </c>
      <c r="G92" s="17">
        <f t="shared" si="1"/>
        <v>0.99999999999999989</v>
      </c>
    </row>
    <row r="93" spans="1:7" x14ac:dyDescent="0.25">
      <c r="A93" s="20">
        <v>92</v>
      </c>
      <c r="B93" s="2">
        <v>0.4</v>
      </c>
      <c r="C93" s="2">
        <v>0.3</v>
      </c>
      <c r="D93" s="2">
        <v>0.1</v>
      </c>
      <c r="E93" s="2">
        <v>0.1</v>
      </c>
      <c r="F93" s="2">
        <v>0.1</v>
      </c>
      <c r="G93" s="17">
        <f t="shared" si="1"/>
        <v>0.99999999999999989</v>
      </c>
    </row>
    <row r="94" spans="1:7" x14ac:dyDescent="0.25">
      <c r="A94" s="20">
        <v>93</v>
      </c>
      <c r="B94" s="2">
        <v>0.4</v>
      </c>
      <c r="C94" s="2">
        <v>0.3</v>
      </c>
      <c r="D94" s="2">
        <v>0.1</v>
      </c>
      <c r="E94" s="2">
        <v>0.1</v>
      </c>
      <c r="F94" s="2">
        <v>0.1</v>
      </c>
      <c r="G94" s="17">
        <f t="shared" si="1"/>
        <v>0.99999999999999989</v>
      </c>
    </row>
    <row r="95" spans="1:7" x14ac:dyDescent="0.25">
      <c r="A95" s="20">
        <v>94</v>
      </c>
      <c r="B95" s="2">
        <v>0.4</v>
      </c>
      <c r="C95" s="2">
        <v>0.3</v>
      </c>
      <c r="D95" s="2">
        <v>0.1</v>
      </c>
      <c r="E95" s="2">
        <v>0.1</v>
      </c>
      <c r="F95" s="2">
        <v>0.1</v>
      </c>
      <c r="G95" s="17">
        <f t="shared" si="1"/>
        <v>0.99999999999999989</v>
      </c>
    </row>
    <row r="96" spans="1:7" x14ac:dyDescent="0.25">
      <c r="A96" s="20">
        <v>95</v>
      </c>
      <c r="B96" s="2">
        <v>0.4</v>
      </c>
      <c r="C96" s="2">
        <v>0.3</v>
      </c>
      <c r="D96" s="2">
        <v>0.1</v>
      </c>
      <c r="E96" s="2">
        <v>0.1</v>
      </c>
      <c r="F96" s="2">
        <v>0.1</v>
      </c>
      <c r="G96" s="17">
        <f t="shared" si="1"/>
        <v>0.99999999999999989</v>
      </c>
    </row>
    <row r="97" spans="1:7" x14ac:dyDescent="0.25">
      <c r="A97" s="20">
        <v>96</v>
      </c>
      <c r="B97" s="2">
        <v>0.4</v>
      </c>
      <c r="C97" s="2">
        <v>0.3</v>
      </c>
      <c r="D97" s="2">
        <v>0.1</v>
      </c>
      <c r="E97" s="2">
        <v>0.1</v>
      </c>
      <c r="F97" s="2">
        <v>0.1</v>
      </c>
      <c r="G97" s="17">
        <f t="shared" si="1"/>
        <v>0.99999999999999989</v>
      </c>
    </row>
    <row r="98" spans="1:7" x14ac:dyDescent="0.25">
      <c r="A98" s="20">
        <v>97</v>
      </c>
      <c r="B98" s="2">
        <v>0.4</v>
      </c>
      <c r="C98" s="2">
        <v>0.3</v>
      </c>
      <c r="D98" s="2">
        <v>0.1</v>
      </c>
      <c r="E98" s="2">
        <v>0.1</v>
      </c>
      <c r="F98" s="2">
        <v>0.1</v>
      </c>
      <c r="G98" s="17">
        <f t="shared" si="1"/>
        <v>0.99999999999999989</v>
      </c>
    </row>
    <row r="99" spans="1:7" x14ac:dyDescent="0.25">
      <c r="A99" s="20">
        <v>98</v>
      </c>
      <c r="B99" s="2">
        <v>0.4</v>
      </c>
      <c r="C99" s="2">
        <v>0.3</v>
      </c>
      <c r="D99" s="2">
        <v>0.1</v>
      </c>
      <c r="E99" s="2">
        <v>0.1</v>
      </c>
      <c r="F99" s="2">
        <v>0.1</v>
      </c>
      <c r="G99" s="17">
        <f t="shared" si="1"/>
        <v>0.99999999999999989</v>
      </c>
    </row>
    <row r="100" spans="1:7" x14ac:dyDescent="0.25">
      <c r="A100" s="20">
        <v>99</v>
      </c>
      <c r="B100" s="2">
        <v>0.4</v>
      </c>
      <c r="C100" s="2">
        <v>0.3</v>
      </c>
      <c r="D100" s="2">
        <v>0.1</v>
      </c>
      <c r="E100" s="2">
        <v>0.1</v>
      </c>
      <c r="F100" s="2">
        <v>0.1</v>
      </c>
      <c r="G100" s="17">
        <f t="shared" si="1"/>
        <v>0.99999999999999989</v>
      </c>
    </row>
    <row r="101" spans="1:7" x14ac:dyDescent="0.25">
      <c r="A101" s="20">
        <v>100</v>
      </c>
      <c r="B101" s="2">
        <v>0.4</v>
      </c>
      <c r="C101" s="2">
        <v>0.3</v>
      </c>
      <c r="D101" s="2">
        <v>0.1</v>
      </c>
      <c r="E101" s="2">
        <v>0.1</v>
      </c>
      <c r="F101" s="2">
        <v>0.1</v>
      </c>
      <c r="G101" s="17">
        <f t="shared" si="1"/>
        <v>0.99999999999999989</v>
      </c>
    </row>
    <row r="102" spans="1:7" x14ac:dyDescent="0.25">
      <c r="A102" s="20">
        <v>101</v>
      </c>
      <c r="B102" s="2">
        <v>0.4</v>
      </c>
      <c r="C102" s="2">
        <v>0.3</v>
      </c>
      <c r="D102" s="2">
        <v>0.1</v>
      </c>
      <c r="E102" s="2">
        <v>0.1</v>
      </c>
      <c r="F102" s="2">
        <v>0.1</v>
      </c>
      <c r="G102" s="17">
        <f t="shared" si="1"/>
        <v>0.99999999999999989</v>
      </c>
    </row>
    <row r="103" spans="1:7" x14ac:dyDescent="0.25">
      <c r="A103" s="20">
        <v>102</v>
      </c>
      <c r="B103" s="2">
        <v>0.4</v>
      </c>
      <c r="C103" s="2">
        <v>0.3</v>
      </c>
      <c r="D103" s="2">
        <v>0.1</v>
      </c>
      <c r="E103" s="2">
        <v>0.1</v>
      </c>
      <c r="F103" s="2">
        <v>0.1</v>
      </c>
      <c r="G103" s="17">
        <f t="shared" si="1"/>
        <v>0.99999999999999989</v>
      </c>
    </row>
    <row r="104" spans="1:7" x14ac:dyDescent="0.25">
      <c r="A104" s="20">
        <v>103</v>
      </c>
      <c r="B104" s="2">
        <v>0.4</v>
      </c>
      <c r="C104" s="2">
        <v>0.3</v>
      </c>
      <c r="D104" s="2">
        <v>0.1</v>
      </c>
      <c r="E104" s="2">
        <v>0.1</v>
      </c>
      <c r="F104" s="2">
        <v>0.1</v>
      </c>
      <c r="G104" s="17">
        <f t="shared" si="1"/>
        <v>0.99999999999999989</v>
      </c>
    </row>
    <row r="105" spans="1:7" x14ac:dyDescent="0.25">
      <c r="A105" s="20">
        <v>104</v>
      </c>
      <c r="B105" s="2">
        <v>0.4</v>
      </c>
      <c r="C105" s="2">
        <v>0.3</v>
      </c>
      <c r="D105" s="2">
        <v>0.1</v>
      </c>
      <c r="E105" s="2">
        <v>0.1</v>
      </c>
      <c r="F105" s="2">
        <v>0.1</v>
      </c>
      <c r="G105" s="17">
        <f t="shared" si="1"/>
        <v>0.99999999999999989</v>
      </c>
    </row>
    <row r="106" spans="1:7" x14ac:dyDescent="0.25">
      <c r="A106" s="20">
        <v>105</v>
      </c>
      <c r="B106" s="2">
        <v>0.4</v>
      </c>
      <c r="C106" s="2">
        <v>0.3</v>
      </c>
      <c r="D106" s="2">
        <v>0.1</v>
      </c>
      <c r="E106" s="2">
        <v>0.1</v>
      </c>
      <c r="F106" s="2">
        <v>0.1</v>
      </c>
      <c r="G106" s="17">
        <f t="shared" si="1"/>
        <v>0.99999999999999989</v>
      </c>
    </row>
    <row r="107" spans="1:7" x14ac:dyDescent="0.25">
      <c r="A107" s="20">
        <v>106</v>
      </c>
      <c r="B107" s="2">
        <v>0.4</v>
      </c>
      <c r="C107" s="2">
        <v>0.3</v>
      </c>
      <c r="D107" s="2">
        <v>0.1</v>
      </c>
      <c r="E107" s="2">
        <v>0.1</v>
      </c>
      <c r="F107" s="2">
        <v>0.1</v>
      </c>
      <c r="G107" s="17">
        <f t="shared" si="1"/>
        <v>0.99999999999999989</v>
      </c>
    </row>
    <row r="108" spans="1:7" x14ac:dyDescent="0.25">
      <c r="A108" s="20">
        <v>107</v>
      </c>
      <c r="B108" s="2">
        <v>0.4</v>
      </c>
      <c r="C108" s="2">
        <v>0.3</v>
      </c>
      <c r="D108" s="2">
        <v>0.1</v>
      </c>
      <c r="E108" s="2">
        <v>0.1</v>
      </c>
      <c r="F108" s="2">
        <v>0.1</v>
      </c>
      <c r="G108" s="17">
        <f t="shared" si="1"/>
        <v>0.99999999999999989</v>
      </c>
    </row>
    <row r="109" spans="1:7" x14ac:dyDescent="0.25">
      <c r="A109" s="20">
        <v>108</v>
      </c>
      <c r="B109" s="2">
        <v>0.4</v>
      </c>
      <c r="C109" s="2">
        <v>0.3</v>
      </c>
      <c r="D109" s="2">
        <v>0.1</v>
      </c>
      <c r="E109" s="2">
        <v>0.1</v>
      </c>
      <c r="F109" s="2">
        <v>0.1</v>
      </c>
      <c r="G109" s="17">
        <f t="shared" si="1"/>
        <v>0.99999999999999989</v>
      </c>
    </row>
    <row r="110" spans="1:7" x14ac:dyDescent="0.25">
      <c r="A110" s="20">
        <v>109</v>
      </c>
      <c r="B110" s="2">
        <v>0.4</v>
      </c>
      <c r="C110" s="2">
        <v>0.3</v>
      </c>
      <c r="D110" s="2">
        <v>0.1</v>
      </c>
      <c r="E110" s="2">
        <v>0.1</v>
      </c>
      <c r="F110" s="2">
        <v>0.1</v>
      </c>
      <c r="G110" s="17">
        <f t="shared" si="1"/>
        <v>0.99999999999999989</v>
      </c>
    </row>
    <row r="111" spans="1:7" x14ac:dyDescent="0.25">
      <c r="A111" s="20">
        <v>110</v>
      </c>
      <c r="B111" s="2">
        <v>0.4</v>
      </c>
      <c r="C111" s="2">
        <v>0.3</v>
      </c>
      <c r="D111" s="2">
        <v>0.1</v>
      </c>
      <c r="E111" s="2">
        <v>0.1</v>
      </c>
      <c r="F111" s="2">
        <v>0.1</v>
      </c>
      <c r="G111" s="17">
        <f t="shared" si="1"/>
        <v>0.99999999999999989</v>
      </c>
    </row>
    <row r="112" spans="1:7" x14ac:dyDescent="0.25">
      <c r="A112" s="20">
        <v>111</v>
      </c>
      <c r="B112" s="2">
        <v>0.4</v>
      </c>
      <c r="C112" s="2">
        <v>0.3</v>
      </c>
      <c r="D112" s="2">
        <v>0.1</v>
      </c>
      <c r="E112" s="2">
        <v>0.1</v>
      </c>
      <c r="F112" s="2">
        <v>0.1</v>
      </c>
      <c r="G112" s="17">
        <f t="shared" si="1"/>
        <v>0.99999999999999989</v>
      </c>
    </row>
    <row r="113" spans="1:7" x14ac:dyDescent="0.25">
      <c r="A113" s="20">
        <v>112</v>
      </c>
      <c r="B113" s="2">
        <v>0.4</v>
      </c>
      <c r="C113" s="2">
        <v>0.3</v>
      </c>
      <c r="D113" s="2">
        <v>0.1</v>
      </c>
      <c r="E113" s="2">
        <v>0.1</v>
      </c>
      <c r="F113" s="2">
        <v>0.1</v>
      </c>
      <c r="G113" s="17">
        <f t="shared" si="1"/>
        <v>0.99999999999999989</v>
      </c>
    </row>
    <row r="114" spans="1:7" x14ac:dyDescent="0.25">
      <c r="A114" s="20">
        <v>113</v>
      </c>
      <c r="B114" s="2">
        <v>0.4</v>
      </c>
      <c r="C114" s="2">
        <v>0.3</v>
      </c>
      <c r="D114" s="2">
        <v>0.1</v>
      </c>
      <c r="E114" s="2">
        <v>0.1</v>
      </c>
      <c r="F114" s="2">
        <v>0.1</v>
      </c>
      <c r="G114" s="17">
        <f t="shared" si="1"/>
        <v>0.99999999999999989</v>
      </c>
    </row>
    <row r="115" spans="1:7" x14ac:dyDescent="0.25">
      <c r="A115" s="20">
        <v>114</v>
      </c>
      <c r="B115" s="2">
        <v>0.4</v>
      </c>
      <c r="C115" s="2">
        <v>0.3</v>
      </c>
      <c r="D115" s="2">
        <v>0.1</v>
      </c>
      <c r="E115" s="2">
        <v>0.1</v>
      </c>
      <c r="F115" s="2">
        <v>0.1</v>
      </c>
      <c r="G115" s="17">
        <f t="shared" si="1"/>
        <v>0.99999999999999989</v>
      </c>
    </row>
    <row r="116" spans="1:7" x14ac:dyDescent="0.25">
      <c r="A116" s="20">
        <v>115</v>
      </c>
      <c r="B116" s="2">
        <v>0.4</v>
      </c>
      <c r="C116" s="2">
        <v>0.3</v>
      </c>
      <c r="D116" s="2">
        <v>0.1</v>
      </c>
      <c r="E116" s="2">
        <v>0.1</v>
      </c>
      <c r="F116" s="2">
        <v>0.1</v>
      </c>
      <c r="G116" s="17">
        <f t="shared" si="1"/>
        <v>0.99999999999999989</v>
      </c>
    </row>
    <row r="117" spans="1:7" x14ac:dyDescent="0.25">
      <c r="A117" s="20">
        <v>116</v>
      </c>
      <c r="B117" s="2">
        <v>0.4</v>
      </c>
      <c r="C117" s="2">
        <v>0.3</v>
      </c>
      <c r="D117" s="2">
        <v>0.1</v>
      </c>
      <c r="E117" s="2">
        <v>0.1</v>
      </c>
      <c r="F117" s="2">
        <v>0.1</v>
      </c>
      <c r="G117" s="17">
        <f t="shared" si="1"/>
        <v>0.99999999999999989</v>
      </c>
    </row>
    <row r="118" spans="1:7" x14ac:dyDescent="0.25">
      <c r="A118" s="20">
        <v>117</v>
      </c>
      <c r="B118" s="2">
        <v>0.4</v>
      </c>
      <c r="C118" s="2">
        <v>0.3</v>
      </c>
      <c r="D118" s="2">
        <v>0.1</v>
      </c>
      <c r="E118" s="2">
        <v>0.1</v>
      </c>
      <c r="F118" s="2">
        <v>0.1</v>
      </c>
      <c r="G118" s="17">
        <f t="shared" si="1"/>
        <v>0.99999999999999989</v>
      </c>
    </row>
    <row r="119" spans="1:7" x14ac:dyDescent="0.25">
      <c r="A119" s="20">
        <v>118</v>
      </c>
      <c r="B119" s="2">
        <v>0.4</v>
      </c>
      <c r="C119" s="2">
        <v>0.3</v>
      </c>
      <c r="D119" s="2">
        <v>0.1</v>
      </c>
      <c r="E119" s="2">
        <v>0.1</v>
      </c>
      <c r="F119" s="2">
        <v>0.1</v>
      </c>
      <c r="G119" s="17">
        <f t="shared" si="1"/>
        <v>0.99999999999999989</v>
      </c>
    </row>
    <row r="120" spans="1:7" x14ac:dyDescent="0.25">
      <c r="A120" s="20">
        <v>119</v>
      </c>
      <c r="B120" s="2">
        <v>0.4</v>
      </c>
      <c r="C120" s="2">
        <v>0.3</v>
      </c>
      <c r="D120" s="2">
        <v>0.1</v>
      </c>
      <c r="E120" s="2">
        <v>0.1</v>
      </c>
      <c r="F120" s="2">
        <v>0.1</v>
      </c>
      <c r="G120" s="17">
        <f t="shared" si="1"/>
        <v>0.99999999999999989</v>
      </c>
    </row>
    <row r="121" spans="1:7" x14ac:dyDescent="0.25">
      <c r="A121" s="20">
        <v>120</v>
      </c>
      <c r="B121" s="2">
        <v>0.4</v>
      </c>
      <c r="C121" s="2">
        <v>0.3</v>
      </c>
      <c r="D121" s="2">
        <v>0.1</v>
      </c>
      <c r="E121" s="2">
        <v>0.1</v>
      </c>
      <c r="F121" s="2">
        <v>0.1</v>
      </c>
      <c r="G121" s="17">
        <f t="shared" si="1"/>
        <v>0.99999999999999989</v>
      </c>
    </row>
    <row r="122" spans="1:7" x14ac:dyDescent="0.25">
      <c r="A122" s="20">
        <v>121</v>
      </c>
      <c r="B122" s="2">
        <v>0.4</v>
      </c>
      <c r="C122" s="2">
        <v>0.3</v>
      </c>
      <c r="D122" s="2">
        <v>0.1</v>
      </c>
      <c r="E122" s="2">
        <v>0.1</v>
      </c>
      <c r="F122" s="2">
        <v>0.1</v>
      </c>
      <c r="G122" s="17">
        <f t="shared" si="1"/>
        <v>0.99999999999999989</v>
      </c>
    </row>
    <row r="123" spans="1:7" x14ac:dyDescent="0.25">
      <c r="A123" s="20">
        <v>122</v>
      </c>
      <c r="B123" s="2">
        <v>0.4</v>
      </c>
      <c r="C123" s="2">
        <v>0.3</v>
      </c>
      <c r="D123" s="2">
        <v>0.1</v>
      </c>
      <c r="E123" s="2">
        <v>0.1</v>
      </c>
      <c r="F123" s="2">
        <v>0.1</v>
      </c>
      <c r="G123" s="17">
        <f t="shared" si="1"/>
        <v>0.99999999999999989</v>
      </c>
    </row>
    <row r="124" spans="1:7" x14ac:dyDescent="0.25">
      <c r="A124" s="20">
        <v>123</v>
      </c>
      <c r="B124" s="2">
        <v>0.4</v>
      </c>
      <c r="C124" s="2">
        <v>0.3</v>
      </c>
      <c r="D124" s="2">
        <v>0.1</v>
      </c>
      <c r="E124" s="2">
        <v>0.1</v>
      </c>
      <c r="F124" s="2">
        <v>0.1</v>
      </c>
      <c r="G124" s="17">
        <f t="shared" si="1"/>
        <v>0.99999999999999989</v>
      </c>
    </row>
    <row r="125" spans="1:7" x14ac:dyDescent="0.25">
      <c r="A125" s="20">
        <v>124</v>
      </c>
      <c r="B125" s="2">
        <v>0.4</v>
      </c>
      <c r="C125" s="2">
        <v>0.3</v>
      </c>
      <c r="D125" s="2">
        <v>0.1</v>
      </c>
      <c r="E125" s="2">
        <v>0.1</v>
      </c>
      <c r="F125" s="2">
        <v>0.1</v>
      </c>
      <c r="G125" s="17">
        <f t="shared" si="1"/>
        <v>0.99999999999999989</v>
      </c>
    </row>
    <row r="126" spans="1:7" x14ac:dyDescent="0.25">
      <c r="A126" s="20">
        <v>125</v>
      </c>
      <c r="B126" s="2">
        <v>0.4</v>
      </c>
      <c r="C126" s="2">
        <v>0.3</v>
      </c>
      <c r="D126" s="2">
        <v>0.1</v>
      </c>
      <c r="E126" s="2">
        <v>0.1</v>
      </c>
      <c r="F126" s="2">
        <v>0.1</v>
      </c>
      <c r="G126" s="17">
        <f t="shared" si="1"/>
        <v>0.99999999999999989</v>
      </c>
    </row>
    <row r="127" spans="1:7" x14ac:dyDescent="0.25">
      <c r="A127" s="20">
        <v>126</v>
      </c>
      <c r="B127" s="2">
        <v>0.4</v>
      </c>
      <c r="C127" s="2">
        <v>0.3</v>
      </c>
      <c r="D127" s="2">
        <v>0.1</v>
      </c>
      <c r="E127" s="2">
        <v>0.1</v>
      </c>
      <c r="F127" s="2">
        <v>0.1</v>
      </c>
      <c r="G127" s="17">
        <f t="shared" si="1"/>
        <v>0.99999999999999989</v>
      </c>
    </row>
    <row r="128" spans="1:7" x14ac:dyDescent="0.25">
      <c r="A128" s="20">
        <v>127</v>
      </c>
      <c r="B128" s="2">
        <v>0.4</v>
      </c>
      <c r="C128" s="2">
        <v>0.3</v>
      </c>
      <c r="D128" s="2">
        <v>0.1</v>
      </c>
      <c r="E128" s="2">
        <v>0.1</v>
      </c>
      <c r="F128" s="2">
        <v>0.1</v>
      </c>
      <c r="G128" s="17">
        <f t="shared" si="1"/>
        <v>0.99999999999999989</v>
      </c>
    </row>
    <row r="129" spans="1:7" x14ac:dyDescent="0.25">
      <c r="A129" s="20">
        <v>128</v>
      </c>
      <c r="B129" s="2">
        <v>0.4</v>
      </c>
      <c r="C129" s="2">
        <v>0.3</v>
      </c>
      <c r="D129" s="2">
        <v>0.1</v>
      </c>
      <c r="E129" s="2">
        <v>0.1</v>
      </c>
      <c r="F129" s="2">
        <v>0.1</v>
      </c>
      <c r="G129" s="17">
        <f t="shared" si="1"/>
        <v>0.99999999999999989</v>
      </c>
    </row>
    <row r="130" spans="1:7" x14ac:dyDescent="0.25">
      <c r="A130" s="20">
        <v>129</v>
      </c>
      <c r="B130" s="2">
        <v>0.4</v>
      </c>
      <c r="C130" s="2">
        <v>0.3</v>
      </c>
      <c r="D130" s="2">
        <v>0.1</v>
      </c>
      <c r="E130" s="2">
        <v>0.1</v>
      </c>
      <c r="F130" s="2">
        <v>0.1</v>
      </c>
      <c r="G130" s="17">
        <f t="shared" si="1"/>
        <v>0.99999999999999989</v>
      </c>
    </row>
    <row r="131" spans="1:7" x14ac:dyDescent="0.25">
      <c r="A131" s="20">
        <v>130</v>
      </c>
      <c r="B131" s="2">
        <v>0.4</v>
      </c>
      <c r="C131" s="2">
        <v>0.3</v>
      </c>
      <c r="D131" s="2">
        <v>0.1</v>
      </c>
      <c r="E131" s="2">
        <v>0.1</v>
      </c>
      <c r="F131" s="2">
        <v>0.1</v>
      </c>
      <c r="G131" s="17">
        <f t="shared" ref="G131" si="2">SUM(B131:F131)</f>
        <v>0.99999999999999989</v>
      </c>
    </row>
    <row r="132" spans="1:7" x14ac:dyDescent="0.25">
      <c r="A132" s="16"/>
      <c r="B132" s="16"/>
      <c r="C132" s="16"/>
      <c r="D132" s="16"/>
    </row>
    <row r="133" spans="1:7" x14ac:dyDescent="0.25">
      <c r="A133" s="16"/>
      <c r="B133" s="16"/>
      <c r="C133" s="16"/>
      <c r="D133" s="16"/>
    </row>
    <row r="134" spans="1:7" x14ac:dyDescent="0.25">
      <c r="A134" s="16"/>
      <c r="B134" s="16"/>
      <c r="C134" s="16"/>
      <c r="D134" s="16"/>
    </row>
    <row r="135" spans="1:7" x14ac:dyDescent="0.25">
      <c r="A135" s="16"/>
      <c r="B135" s="16"/>
      <c r="C135" s="16"/>
      <c r="D135" s="16"/>
    </row>
    <row r="136" spans="1:7" x14ac:dyDescent="0.25">
      <c r="A136" s="16"/>
      <c r="B136" s="16"/>
      <c r="C136" s="16"/>
      <c r="D136" s="16"/>
    </row>
    <row r="137" spans="1:7" x14ac:dyDescent="0.25">
      <c r="A137" s="16"/>
      <c r="B137" s="16"/>
      <c r="C137" s="16"/>
      <c r="D137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F724-19C1-49D8-BD44-EC2ABA41E9EC}">
  <dimension ref="A1:F25"/>
  <sheetViews>
    <sheetView workbookViewId="0">
      <selection activeCell="F13" sqref="F13"/>
    </sheetView>
  </sheetViews>
  <sheetFormatPr defaultRowHeight="15" x14ac:dyDescent="0.25"/>
  <cols>
    <col min="1" max="1" width="18.140625" customWidth="1"/>
    <col min="2" max="2" width="11.7109375" customWidth="1"/>
    <col min="3" max="3" width="15.28515625" bestFit="1" customWidth="1"/>
    <col min="5" max="5" width="7.7109375" bestFit="1" customWidth="1"/>
    <col min="6" max="6" width="13.85546875" bestFit="1" customWidth="1"/>
  </cols>
  <sheetData>
    <row r="1" spans="1:6" x14ac:dyDescent="0.25">
      <c r="A1" s="7" t="s">
        <v>12</v>
      </c>
      <c r="B1" t="s">
        <v>13</v>
      </c>
      <c r="C1" t="s">
        <v>14</v>
      </c>
      <c r="E1" s="1" t="s">
        <v>7</v>
      </c>
      <c r="F1" s="1" t="s">
        <v>42</v>
      </c>
    </row>
    <row r="2" spans="1:6" x14ac:dyDescent="0.25">
      <c r="A2" s="10">
        <v>1</v>
      </c>
      <c r="B2">
        <v>50</v>
      </c>
      <c r="C2" s="6">
        <v>0.05</v>
      </c>
      <c r="E2">
        <v>1</v>
      </c>
      <c r="F2">
        <v>25</v>
      </c>
    </row>
    <row r="3" spans="1:6" x14ac:dyDescent="0.25">
      <c r="A3" s="10">
        <v>2</v>
      </c>
      <c r="B3">
        <v>60</v>
      </c>
      <c r="C3" s="6">
        <v>0.1</v>
      </c>
      <c r="E3">
        <v>2</v>
      </c>
      <c r="F3">
        <v>30</v>
      </c>
    </row>
    <row r="4" spans="1:6" x14ac:dyDescent="0.25">
      <c r="A4" s="10">
        <v>3</v>
      </c>
      <c r="B4">
        <v>70</v>
      </c>
      <c r="C4" s="6">
        <v>0.15</v>
      </c>
      <c r="E4">
        <v>3</v>
      </c>
      <c r="F4">
        <v>35</v>
      </c>
    </row>
    <row r="5" spans="1:6" x14ac:dyDescent="0.25">
      <c r="A5" s="10">
        <v>4</v>
      </c>
      <c r="B5">
        <v>80</v>
      </c>
      <c r="C5" s="6">
        <v>0.2</v>
      </c>
      <c r="E5">
        <v>4</v>
      </c>
      <c r="F5">
        <v>40</v>
      </c>
    </row>
    <row r="6" spans="1:6" x14ac:dyDescent="0.25">
      <c r="A6" s="10">
        <v>5</v>
      </c>
      <c r="B6">
        <v>90</v>
      </c>
      <c r="C6" s="6">
        <v>0.25</v>
      </c>
      <c r="E6">
        <v>5</v>
      </c>
      <c r="F6">
        <v>45</v>
      </c>
    </row>
    <row r="7" spans="1:6" x14ac:dyDescent="0.25">
      <c r="A7" s="10">
        <v>6</v>
      </c>
      <c r="B7">
        <v>100</v>
      </c>
      <c r="C7" s="6">
        <v>0.3</v>
      </c>
      <c r="E7">
        <v>6</v>
      </c>
      <c r="F7">
        <v>50</v>
      </c>
    </row>
    <row r="8" spans="1:6" x14ac:dyDescent="0.25">
      <c r="A8" s="10">
        <v>7</v>
      </c>
      <c r="B8">
        <v>110</v>
      </c>
      <c r="C8" s="6">
        <v>0.35</v>
      </c>
      <c r="E8">
        <v>7</v>
      </c>
      <c r="F8">
        <v>55</v>
      </c>
    </row>
    <row r="9" spans="1:6" x14ac:dyDescent="0.25">
      <c r="A9" s="10">
        <v>8</v>
      </c>
      <c r="B9">
        <v>120</v>
      </c>
      <c r="C9" s="6">
        <v>0.4</v>
      </c>
      <c r="E9">
        <v>8</v>
      </c>
      <c r="F9">
        <v>55</v>
      </c>
    </row>
    <row r="10" spans="1:6" x14ac:dyDescent="0.25">
      <c r="A10" s="10">
        <v>9</v>
      </c>
      <c r="B10">
        <v>130</v>
      </c>
      <c r="C10" s="6">
        <v>0.45</v>
      </c>
      <c r="E10">
        <v>9</v>
      </c>
      <c r="F10">
        <v>55</v>
      </c>
    </row>
    <row r="11" spans="1:6" x14ac:dyDescent="0.25">
      <c r="A11" s="10">
        <v>10</v>
      </c>
      <c r="B11">
        <v>140</v>
      </c>
      <c r="C11" s="6">
        <v>0.5</v>
      </c>
      <c r="E11">
        <v>10</v>
      </c>
      <c r="F11">
        <v>55</v>
      </c>
    </row>
    <row r="12" spans="1:6" x14ac:dyDescent="0.25">
      <c r="A12" s="10">
        <v>11</v>
      </c>
      <c r="B12">
        <v>140</v>
      </c>
      <c r="C12" s="6">
        <v>0.5</v>
      </c>
      <c r="E12">
        <v>11</v>
      </c>
      <c r="F12">
        <v>55</v>
      </c>
    </row>
    <row r="15" spans="1:6" ht="17.25" x14ac:dyDescent="0.25">
      <c r="A15" s="29" t="s">
        <v>44</v>
      </c>
      <c r="B15" s="29" t="s">
        <v>7</v>
      </c>
      <c r="C15" s="29" t="s">
        <v>43</v>
      </c>
    </row>
    <row r="16" spans="1:6" ht="17.25" x14ac:dyDescent="0.25">
      <c r="A16" s="30">
        <v>1</v>
      </c>
      <c r="B16" s="30">
        <v>1</v>
      </c>
      <c r="C16" s="31">
        <v>25</v>
      </c>
    </row>
    <row r="17" spans="1:3" ht="17.25" x14ac:dyDescent="0.25">
      <c r="A17" s="30">
        <v>2</v>
      </c>
      <c r="B17" s="30">
        <v>2</v>
      </c>
      <c r="C17" s="31">
        <v>30</v>
      </c>
    </row>
    <row r="18" spans="1:3" ht="17.25" x14ac:dyDescent="0.25">
      <c r="A18" s="30">
        <v>3</v>
      </c>
      <c r="B18" s="30">
        <v>3</v>
      </c>
      <c r="C18" s="31">
        <v>35</v>
      </c>
    </row>
    <row r="19" spans="1:3" ht="17.25" x14ac:dyDescent="0.25">
      <c r="A19" s="30">
        <v>4</v>
      </c>
      <c r="B19" s="30">
        <v>4</v>
      </c>
      <c r="C19" s="31">
        <v>40</v>
      </c>
    </row>
    <row r="20" spans="1:3" ht="17.25" x14ac:dyDescent="0.25">
      <c r="A20" s="30">
        <v>5</v>
      </c>
      <c r="B20" s="30">
        <v>5</v>
      </c>
      <c r="C20" s="31">
        <v>45</v>
      </c>
    </row>
    <row r="21" spans="1:3" ht="17.25" x14ac:dyDescent="0.25">
      <c r="A21" s="30">
        <v>6</v>
      </c>
      <c r="B21" s="30">
        <v>6</v>
      </c>
      <c r="C21" s="31">
        <v>50</v>
      </c>
    </row>
    <row r="22" spans="1:3" ht="17.25" x14ac:dyDescent="0.25">
      <c r="A22" s="30">
        <v>7</v>
      </c>
      <c r="B22" s="30">
        <v>7</v>
      </c>
      <c r="C22" s="31">
        <v>55</v>
      </c>
    </row>
    <row r="23" spans="1:3" ht="17.25" x14ac:dyDescent="0.25">
      <c r="A23" s="30">
        <v>8</v>
      </c>
      <c r="B23" s="30">
        <v>8</v>
      </c>
      <c r="C23" s="31">
        <v>60</v>
      </c>
    </row>
    <row r="24" spans="1:3" ht="17.25" x14ac:dyDescent="0.25">
      <c r="A24" s="30">
        <v>9</v>
      </c>
      <c r="B24" s="30">
        <v>9</v>
      </c>
      <c r="C24" s="31">
        <v>65</v>
      </c>
    </row>
    <row r="25" spans="1:3" ht="17.25" x14ac:dyDescent="0.25">
      <c r="A25" s="30">
        <v>10</v>
      </c>
      <c r="B25" s="30">
        <v>10</v>
      </c>
      <c r="C25" s="31">
        <v>70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7AFF-BEFE-479D-9D0F-E9F47F774657}">
  <dimension ref="A1:AE131"/>
  <sheetViews>
    <sheetView tabSelected="1" workbookViewId="0">
      <pane ySplit="1" topLeftCell="A2" activePane="bottomLeft" state="frozen"/>
      <selection pane="bottomLeft" activeCell="R2" sqref="R2"/>
    </sheetView>
  </sheetViews>
  <sheetFormatPr defaultRowHeight="15" x14ac:dyDescent="0.25"/>
  <cols>
    <col min="1" max="1" width="8.28515625" customWidth="1"/>
    <col min="5" max="5" width="12.42578125" bestFit="1" customWidth="1"/>
    <col min="6" max="7" width="11" customWidth="1"/>
    <col min="13" max="13" width="10.28515625" customWidth="1"/>
    <col min="25" max="26" width="10.28515625" customWidth="1"/>
  </cols>
  <sheetData>
    <row r="1" spans="1:31" x14ac:dyDescent="0.25">
      <c r="A1" s="1" t="s">
        <v>5</v>
      </c>
      <c r="B1" s="1" t="s">
        <v>1</v>
      </c>
      <c r="C1" s="1" t="s">
        <v>10</v>
      </c>
      <c r="D1" s="1" t="s">
        <v>6</v>
      </c>
      <c r="E1" s="1" t="s">
        <v>24</v>
      </c>
      <c r="F1" s="1" t="s">
        <v>26</v>
      </c>
      <c r="G1" s="1" t="s">
        <v>7</v>
      </c>
      <c r="H1" s="1" t="s">
        <v>25</v>
      </c>
      <c r="I1" s="1" t="s">
        <v>27</v>
      </c>
      <c r="J1" s="33" t="s">
        <v>45</v>
      </c>
      <c r="K1" s="33" t="s">
        <v>8</v>
      </c>
      <c r="L1" s="32" t="s">
        <v>35</v>
      </c>
      <c r="M1" s="27" t="s">
        <v>28</v>
      </c>
      <c r="N1" s="32" t="s">
        <v>36</v>
      </c>
      <c r="O1" s="27" t="s">
        <v>29</v>
      </c>
      <c r="P1" s="32" t="s">
        <v>37</v>
      </c>
      <c r="Q1" s="27" t="s">
        <v>30</v>
      </c>
      <c r="R1" s="32" t="s">
        <v>38</v>
      </c>
      <c r="S1" s="27" t="s">
        <v>31</v>
      </c>
      <c r="T1" s="32" t="s">
        <v>39</v>
      </c>
      <c r="U1" s="27" t="s">
        <v>32</v>
      </c>
      <c r="V1" s="32" t="s">
        <v>40</v>
      </c>
      <c r="W1" s="27" t="s">
        <v>33</v>
      </c>
      <c r="X1" s="32" t="s">
        <v>41</v>
      </c>
      <c r="Y1" s="28" t="s">
        <v>34</v>
      </c>
      <c r="Z1" s="28" t="s">
        <v>47</v>
      </c>
      <c r="AA1" s="11" t="s">
        <v>46</v>
      </c>
    </row>
    <row r="2" spans="1:31" x14ac:dyDescent="0.25">
      <c r="A2" s="13">
        <v>1</v>
      </c>
      <c r="B2" s="5">
        <f>_xlfn.XLOOKUP($A2,growth[Turn],growth[NHV])</f>
        <v>446.25</v>
      </c>
      <c r="C2" s="5">
        <f>$B2*_xlfn.XLOOKUP($A2,budget[Turn],budget[R&amp;D])</f>
        <v>133.875</v>
      </c>
      <c r="D2" s="5">
        <f>_xlfn.XLOOKUP($A2,growth[Turn],growth[EL])</f>
        <v>1</v>
      </c>
      <c r="E2" s="24">
        <f>_xlfn.XLOOKUP($D2+1,el[EL Level],el[ERP Cost])/COUNT(D$2:D$7)</f>
        <v>10</v>
      </c>
      <c r="F2" s="23">
        <f>$E2*(5+LOG(_xlfn.XLOOKUP($A2,growth[Turn],growth[GHP]),10))</f>
        <v>79.506082247842301</v>
      </c>
      <c r="G2" s="5">
        <f>_xlfn.XLOOKUP($A2,growth[Turn],growth[SL])</f>
        <v>1</v>
      </c>
      <c r="H2" s="34">
        <f>_xlfn.XLOOKUP($G2+1,sl[SL],sl[SRP Cost])/COUNT(G$2:G$7)</f>
        <v>5</v>
      </c>
      <c r="I2" s="5">
        <f>$H2*(2+$G2*0.5)</f>
        <v>12.5</v>
      </c>
      <c r="J2" s="5">
        <v>1</v>
      </c>
      <c r="K2" s="5">
        <f>_xlfn.XLOOKUP($J2+1,tech[Tech Level],tech[TRP Cost])/COUNT(H$2:H$7)</f>
        <v>5</v>
      </c>
      <c r="L2" s="5">
        <f>$K2*((5+4*$G2)/10+LOG(_xlfn.XLOOKUP($A2,growth[Turn],growth[GHP]))*0.25)</f>
        <v>8.1882602809802876</v>
      </c>
      <c r="M2" s="5">
        <v>1</v>
      </c>
      <c r="N2" s="5">
        <f>$K2*((5+4*$G2)/10+LOG(_xlfn.XLOOKUP($A2,growth[Turn],growth[GHP]))*0.25)</f>
        <v>8.1882602809802876</v>
      </c>
      <c r="O2" s="5">
        <v>1</v>
      </c>
      <c r="P2" s="5">
        <f>$K2*((5+4*$G2)/10+LOG(_xlfn.XLOOKUP($A2,growth[Turn],growth[GHP]))*0.25)</f>
        <v>8.1882602809802876</v>
      </c>
      <c r="Q2" s="5">
        <v>1</v>
      </c>
      <c r="R2" s="5">
        <f>$K2*((5+4*$G2)/10+LOG(_xlfn.XLOOKUP($A2,growth[Turn],growth[GHP]))*0.25)</f>
        <v>8.1882602809802876</v>
      </c>
      <c r="S2" s="5">
        <v>1</v>
      </c>
      <c r="T2" s="5">
        <f>$K2*((5+4*$G2)/10+LOG(_xlfn.XLOOKUP($A2,growth[Turn],growth[GHP]))*0.25)</f>
        <v>8.1882602809802876</v>
      </c>
      <c r="V2" s="5"/>
      <c r="X2" s="5"/>
      <c r="Y2" s="23">
        <f>SUM($F2,$I2,$L2,$N2,$P2,$R2,$T2,$V2,$X2)</f>
        <v>132.94738365274372</v>
      </c>
      <c r="Z2" s="23">
        <f>$C2-$Y2</f>
        <v>0.92761634725627573</v>
      </c>
      <c r="AA2" t="b">
        <f>IF($Y2&lt;$C2,TRUE,FALSE)</f>
        <v>1</v>
      </c>
    </row>
    <row r="3" spans="1:31" x14ac:dyDescent="0.25">
      <c r="A3" s="13">
        <v>2</v>
      </c>
      <c r="B3" s="5">
        <f>_xlfn.XLOOKUP($A3,growth[Turn],growth[NHV])</f>
        <v>478.49812500000007</v>
      </c>
      <c r="C3" s="5">
        <f>$B3*_xlfn.XLOOKUP($A3,budget[Turn],budget[R&amp;D])</f>
        <v>143.54943750000001</v>
      </c>
      <c r="D3" s="5">
        <f>_xlfn.XLOOKUP($A3,growth[Turn],growth[EL])</f>
        <v>1</v>
      </c>
      <c r="E3" s="24">
        <f>_xlfn.XLOOKUP($D3+1,el[EL Level],el[ERP Cost])/COUNT(D$2:D$7)</f>
        <v>10</v>
      </c>
      <c r="F3" s="23">
        <f>$E3*(5+LOG(_xlfn.XLOOKUP($A3,growth[Turn],growth[GHP]),10))</f>
        <v>79.809102359926243</v>
      </c>
      <c r="G3" s="5">
        <f>_xlfn.XLOOKUP($A3,growth[Turn],growth[SL])</f>
        <v>1</v>
      </c>
      <c r="H3" s="34">
        <f>_xlfn.XLOOKUP($G3+1,sl[SL],sl[SRP Cost])/COUNT(G$2:G$7)</f>
        <v>5</v>
      </c>
      <c r="I3" s="5">
        <f t="shared" ref="I3:I60" si="0">$H3*(2+$G3*0.5)</f>
        <v>12.5</v>
      </c>
      <c r="J3" s="5">
        <v>1</v>
      </c>
      <c r="K3" s="5">
        <f>_xlfn.XLOOKUP($J3+1,tech[Tech Level],tech[TRP Cost])/COUNT(H$2:H$7)</f>
        <v>5</v>
      </c>
      <c r="L3" s="5">
        <f>$K3*((5+4*$G3)/10+LOG(_xlfn.XLOOKUP($A3,growth[Turn],growth[GHP]))*0.25)</f>
        <v>8.2261377949907803</v>
      </c>
      <c r="M3" s="5">
        <v>1</v>
      </c>
      <c r="N3" s="5">
        <f>$K3*((5+4*$G3)/10+LOG(_xlfn.XLOOKUP($A3,growth[Turn],growth[GHP]))*0.25)</f>
        <v>8.2261377949907803</v>
      </c>
      <c r="O3" s="5">
        <v>1</v>
      </c>
      <c r="P3" s="5">
        <f>$K3*((5+4*$G3)/10+LOG(_xlfn.XLOOKUP($A3,growth[Turn],growth[GHP]))*0.25)</f>
        <v>8.2261377949907803</v>
      </c>
      <c r="Q3" s="5">
        <v>1</v>
      </c>
      <c r="R3" s="5">
        <f>$K3*((5+4*$G3)/10+LOG(_xlfn.XLOOKUP($A3,growth[Turn],growth[GHP]))*0.25)</f>
        <v>8.2261377949907803</v>
      </c>
      <c r="S3" s="5">
        <v>1</v>
      </c>
      <c r="T3" s="5">
        <f>$K3*((5+4*$G3)/10+LOG(_xlfn.XLOOKUP($A3,growth[Turn],growth[GHP]))*0.25)</f>
        <v>8.2261377949907803</v>
      </c>
      <c r="V3" s="5"/>
      <c r="X3" s="5"/>
      <c r="Y3" s="23">
        <f>SUM($F3,$I3,$L3,$N3,$P3,$R3,$T3,$V3,$X3)</f>
        <v>133.43979133488014</v>
      </c>
      <c r="Z3" s="23">
        <f>$C3-$Y3</f>
        <v>10.109646165119869</v>
      </c>
      <c r="AA3" t="b">
        <f>IF($Y3&lt;$C3,TRUE,FALSE)</f>
        <v>1</v>
      </c>
    </row>
    <row r="4" spans="1:31" x14ac:dyDescent="0.25">
      <c r="A4" s="13">
        <v>3</v>
      </c>
      <c r="B4" s="5">
        <f>_xlfn.XLOOKUP($A4,growth[Turn],growth[NHV])</f>
        <v>512.61567656250008</v>
      </c>
      <c r="C4" s="5">
        <f>$B4*_xlfn.XLOOKUP($A4,budget[Turn],budget[R&amp;D])</f>
        <v>153.78470296875003</v>
      </c>
      <c r="D4" s="5">
        <f>_xlfn.XLOOKUP($A4,growth[Turn],growth[EL])</f>
        <v>1</v>
      </c>
      <c r="E4" s="24">
        <f>_xlfn.XLOOKUP($D4+1,el[EL Level],el[ERP Cost])/COUNT(D$2:D$7)</f>
        <v>10</v>
      </c>
      <c r="F4" s="23">
        <f>$E4*(5+LOG(_xlfn.XLOOKUP($A4,growth[Turn],growth[GHP]),10))</f>
        <v>80.10821879097233</v>
      </c>
      <c r="G4" s="5">
        <f>_xlfn.XLOOKUP($A4,growth[Turn],growth[SL])</f>
        <v>1</v>
      </c>
      <c r="H4" s="34">
        <f>_xlfn.XLOOKUP($G4+1,sl[SL],sl[SRP Cost])/COUNT(G$2:G$7)</f>
        <v>5</v>
      </c>
      <c r="I4" s="5">
        <f t="shared" si="0"/>
        <v>12.5</v>
      </c>
      <c r="J4" s="5">
        <v>1</v>
      </c>
      <c r="K4" s="5">
        <f>_xlfn.XLOOKUP($J4+1,tech[Tech Level],tech[TRP Cost])/COUNT(H$2:H$7)</f>
        <v>5</v>
      </c>
      <c r="L4" s="5">
        <f>$K4*((5+4*$G4)/10+LOG(_xlfn.XLOOKUP($A4,growth[Turn],growth[GHP]))*0.25)</f>
        <v>8.2635273488715413</v>
      </c>
      <c r="M4" s="5">
        <v>1</v>
      </c>
      <c r="N4" s="5">
        <f>$K4*((5+4*$G4)/10+LOG(_xlfn.XLOOKUP($A4,growth[Turn],growth[GHP]))*0.25)</f>
        <v>8.2635273488715413</v>
      </c>
      <c r="O4" s="5">
        <v>1</v>
      </c>
      <c r="P4" s="5">
        <f>$K4*((5+4*$G4)/10+LOG(_xlfn.XLOOKUP($A4,growth[Turn],growth[GHP]))*0.25)</f>
        <v>8.2635273488715413</v>
      </c>
      <c r="Q4" s="5">
        <v>1</v>
      </c>
      <c r="R4" s="5">
        <f>$K4*((5+4*$G4)/10+LOG(_xlfn.XLOOKUP($A4,growth[Turn],growth[GHP]))*0.25)</f>
        <v>8.2635273488715413</v>
      </c>
      <c r="S4" s="5">
        <v>1</v>
      </c>
      <c r="T4" s="5">
        <f>$K4*((5+4*$G4)/10+LOG(_xlfn.XLOOKUP($A4,growth[Turn],growth[GHP]))*0.25)</f>
        <v>8.2635273488715413</v>
      </c>
      <c r="V4" s="5"/>
      <c r="X4" s="5"/>
      <c r="Y4" s="23">
        <f>SUM($F4,$I4,$L4,$N4,$P4,$R4,$T4,$V4,$X4)</f>
        <v>133.92585553533007</v>
      </c>
      <c r="Z4" s="23">
        <f>$C4-$Y4</f>
        <v>19.858847433419953</v>
      </c>
      <c r="AA4" t="b">
        <f>IF($Y4&lt;$C4,TRUE,FALSE)</f>
        <v>1</v>
      </c>
      <c r="AE4" s="6">
        <f>5+LOG(500,10)</f>
        <v>7.6989700043360187</v>
      </c>
    </row>
    <row r="5" spans="1:31" x14ac:dyDescent="0.25">
      <c r="A5" s="13">
        <v>4</v>
      </c>
      <c r="B5" s="5">
        <f>_xlfn.XLOOKUP($A5,growth[Turn],growth[NHV])</f>
        <v>548.70432758203128</v>
      </c>
      <c r="C5" s="5">
        <f>$B5*_xlfn.XLOOKUP($A5,budget[Turn],budget[R&amp;D])</f>
        <v>164.61129827460937</v>
      </c>
      <c r="D5" s="5">
        <f>_xlfn.XLOOKUP($A5,growth[Turn],growth[EL])</f>
        <v>1</v>
      </c>
      <c r="E5" s="24">
        <f>_xlfn.XLOOKUP($D5+1,el[EL Level],el[ERP Cost])/COUNT(D$2:D$7)</f>
        <v>10</v>
      </c>
      <c r="F5" s="23">
        <f>$E5*(5+LOG(_xlfn.XLOOKUP($A5,growth[Turn],growth[GHP]),10))</f>
        <v>80.403683811153627</v>
      </c>
      <c r="G5" s="5">
        <f>_xlfn.XLOOKUP($A5,growth[Turn],growth[SL])</f>
        <v>1</v>
      </c>
      <c r="H5" s="34">
        <f>_xlfn.XLOOKUP($G5+1,sl[SL],sl[SRP Cost])/COUNT(G$2:G$7)</f>
        <v>5</v>
      </c>
      <c r="I5" s="5">
        <f t="shared" si="0"/>
        <v>12.5</v>
      </c>
      <c r="J5" s="5">
        <v>1</v>
      </c>
      <c r="K5" s="5">
        <f>_xlfn.XLOOKUP($J5+1,tech[Tech Level],tech[TRP Cost])/COUNT(H$2:H$7)</f>
        <v>5</v>
      </c>
      <c r="L5" s="5">
        <f>$K5*((5+4*$G5)/10+LOG(_xlfn.XLOOKUP($A5,growth[Turn],growth[GHP]))*0.25)</f>
        <v>8.3004604763942051</v>
      </c>
      <c r="M5" s="5">
        <v>1</v>
      </c>
      <c r="N5" s="5">
        <f>$K5*((5+4*$G5)/10+LOG(_xlfn.XLOOKUP($A5,growth[Turn],growth[GHP]))*0.25)</f>
        <v>8.3004604763942051</v>
      </c>
      <c r="O5" s="5">
        <v>1</v>
      </c>
      <c r="P5" s="5">
        <f>$K5*((5+4*$G5)/10+LOG(_xlfn.XLOOKUP($A5,growth[Turn],growth[GHP]))*0.25)</f>
        <v>8.3004604763942051</v>
      </c>
      <c r="Q5" s="5">
        <v>1</v>
      </c>
      <c r="R5" s="5">
        <f>$K5*((5+4*$G5)/10+LOG(_xlfn.XLOOKUP($A5,growth[Turn],growth[GHP]))*0.25)</f>
        <v>8.3004604763942051</v>
      </c>
      <c r="S5" s="5">
        <v>1</v>
      </c>
      <c r="T5" s="5">
        <f>$K5*((5+4*$G5)/10+LOG(_xlfn.XLOOKUP($A5,growth[Turn],growth[GHP]))*0.25)</f>
        <v>8.3004604763942051</v>
      </c>
      <c r="V5" s="5"/>
      <c r="X5" s="5"/>
      <c r="Y5" s="23">
        <f>SUM($F5,$I5,$L5,$N5,$P5,$R5,$T5,$V5,$X5)</f>
        <v>134.40598619312465</v>
      </c>
      <c r="Z5" s="23">
        <f>$C5-$Y5</f>
        <v>30.20531208148472</v>
      </c>
      <c r="AA5" t="b">
        <f>IF($Y5&lt;$C5,TRUE,FALSE)</f>
        <v>1</v>
      </c>
      <c r="AE5" s="5">
        <f>AE4*10</f>
        <v>76.989700043360187</v>
      </c>
    </row>
    <row r="6" spans="1:31" x14ac:dyDescent="0.25">
      <c r="A6" s="13">
        <v>5</v>
      </c>
      <c r="B6" s="5">
        <f>_xlfn.XLOOKUP($A6,growth[Turn],growth[NHV])</f>
        <v>586.87115934008796</v>
      </c>
      <c r="C6" s="5">
        <f>$B6*_xlfn.XLOOKUP($A6,budget[Turn],budget[R&amp;D])</f>
        <v>176.06134780202638</v>
      </c>
      <c r="D6" s="5">
        <f>_xlfn.XLOOKUP($A6,growth[Turn],growth[EL])</f>
        <v>1</v>
      </c>
      <c r="E6" s="24">
        <f>_xlfn.XLOOKUP($D6+1,el[EL Level],el[ERP Cost])/COUNT(D$2:D$7)</f>
        <v>10</v>
      </c>
      <c r="F6" s="23">
        <f>$E6*(5+LOG(_xlfn.XLOOKUP($A6,growth[Turn],growth[GHP]),10))</f>
        <v>80.695727631308415</v>
      </c>
      <c r="G6" s="5">
        <f>_xlfn.XLOOKUP($A6,growth[Turn],growth[SL])</f>
        <v>1</v>
      </c>
      <c r="H6" s="34">
        <f>_xlfn.XLOOKUP($G6+1,sl[SL],sl[SRP Cost])/COUNT(G$2:G$7)</f>
        <v>5</v>
      </c>
      <c r="I6" s="5">
        <f t="shared" si="0"/>
        <v>12.5</v>
      </c>
      <c r="J6" s="5">
        <v>1</v>
      </c>
      <c r="K6" s="5">
        <f>_xlfn.XLOOKUP($J6+1,tech[Tech Level],tech[TRP Cost])/COUNT(H$2:H$7)</f>
        <v>5</v>
      </c>
      <c r="L6" s="5">
        <f>$K6*((5+4*$G6)/10+LOG(_xlfn.XLOOKUP($A6,growth[Turn],growth[GHP]))*0.25)</f>
        <v>8.3369659539135519</v>
      </c>
      <c r="M6" s="5">
        <v>1</v>
      </c>
      <c r="N6" s="5">
        <f>$K6*((5+4*$G6)/10+LOG(_xlfn.XLOOKUP($A6,growth[Turn],growth[GHP]))*0.25)</f>
        <v>8.3369659539135519</v>
      </c>
      <c r="O6" s="5">
        <v>1</v>
      </c>
      <c r="P6" s="5">
        <f>$K6*((5+4*$G6)/10+LOG(_xlfn.XLOOKUP($A6,growth[Turn],growth[GHP]))*0.25)</f>
        <v>8.3369659539135519</v>
      </c>
      <c r="Q6" s="5">
        <v>1</v>
      </c>
      <c r="R6" s="5">
        <f>$K6*((5+4*$G6)/10+LOG(_xlfn.XLOOKUP($A6,growth[Turn],growth[GHP]))*0.25)</f>
        <v>8.3369659539135519</v>
      </c>
      <c r="S6" s="5">
        <v>1</v>
      </c>
      <c r="T6" s="5">
        <f>$K6*((5+4*$G6)/10+LOG(_xlfn.XLOOKUP($A6,growth[Turn],growth[GHP]))*0.25)</f>
        <v>8.3369659539135519</v>
      </c>
      <c r="V6" s="5"/>
      <c r="X6" s="5"/>
      <c r="Y6" s="23">
        <f>SUM($F6,$I6,$L6,$N6,$P6,$R6,$T6,$V6,$X6)</f>
        <v>134.88055740087617</v>
      </c>
      <c r="Z6" s="23">
        <f>$C6-$Y6</f>
        <v>41.180790401150205</v>
      </c>
      <c r="AA6" t="b">
        <f>IF($Y6&lt;$C6,TRUE,FALSE)</f>
        <v>1</v>
      </c>
    </row>
    <row r="7" spans="1:31" x14ac:dyDescent="0.25">
      <c r="A7" s="13">
        <v>6</v>
      </c>
      <c r="B7" s="5">
        <f>_xlfn.XLOOKUP($A7,growth[Turn],growth[NHV])</f>
        <v>627.22894685664266</v>
      </c>
      <c r="C7" s="5">
        <f>$B7*_xlfn.XLOOKUP($A7,budget[Turn],budget[R&amp;D])</f>
        <v>188.16868405699279</v>
      </c>
      <c r="D7" s="5">
        <f>_xlfn.XLOOKUP($A7,growth[Turn],growth[EL])</f>
        <v>1</v>
      </c>
      <c r="E7" s="24">
        <f>_xlfn.XLOOKUP($D7+1,el[EL Level],el[ERP Cost])/COUNT(D$2:D$7)</f>
        <v>10</v>
      </c>
      <c r="F7" s="23">
        <f>$E7*(5+LOG(_xlfn.XLOOKUP($A7,growth[Turn],growth[GHP]),10))</f>
        <v>80.984560886599013</v>
      </c>
      <c r="G7" s="5">
        <f>_xlfn.XLOOKUP($A7,growth[Turn],growth[SL])</f>
        <v>1</v>
      </c>
      <c r="H7" s="34">
        <f>_xlfn.XLOOKUP($G7+1,sl[SL],sl[SRP Cost])/COUNT(G$2:G$7)</f>
        <v>5</v>
      </c>
      <c r="I7" s="5">
        <f t="shared" si="0"/>
        <v>12.5</v>
      </c>
      <c r="J7" s="5">
        <v>1</v>
      </c>
      <c r="K7" s="5">
        <f>_xlfn.XLOOKUP($J7+1,tech[Tech Level],tech[TRP Cost])/COUNT(H$2:H$7)</f>
        <v>5</v>
      </c>
      <c r="L7" s="5">
        <f>$K7*((5+4*$G7)/10+LOG(_xlfn.XLOOKUP($A7,growth[Turn],growth[GHP]))*0.25)</f>
        <v>8.3730701108248784</v>
      </c>
      <c r="M7" s="5">
        <v>1</v>
      </c>
      <c r="N7" s="5">
        <f>$K7*((5+4*$G7)/10+LOG(_xlfn.XLOOKUP($A7,growth[Turn],growth[GHP]))*0.25)</f>
        <v>8.3730701108248784</v>
      </c>
      <c r="O7" s="5">
        <v>1</v>
      </c>
      <c r="P7" s="5">
        <f>$K7*((5+4*$G7)/10+LOG(_xlfn.XLOOKUP($A7,growth[Turn],growth[GHP]))*0.25)</f>
        <v>8.3730701108248784</v>
      </c>
      <c r="Q7" s="5">
        <v>1</v>
      </c>
      <c r="R7" s="5">
        <f>$K7*((5+4*$G7)/10+LOG(_xlfn.XLOOKUP($A7,growth[Turn],growth[GHP]))*0.25)</f>
        <v>8.3730701108248784</v>
      </c>
      <c r="S7" s="5">
        <v>1</v>
      </c>
      <c r="T7" s="5">
        <f>$K7*((5+4*$G7)/10+LOG(_xlfn.XLOOKUP($A7,growth[Turn],growth[GHP]))*0.25)</f>
        <v>8.3730701108248784</v>
      </c>
      <c r="V7" s="5"/>
      <c r="X7" s="5"/>
      <c r="Y7" s="23">
        <f>SUM($F7,$I7,$L7,$N7,$P7,$R7,$T7,$V7,$X7)</f>
        <v>135.34991144072342</v>
      </c>
      <c r="Z7" s="23">
        <f>$C7-$Y7</f>
        <v>52.818772616269371</v>
      </c>
      <c r="AA7" t="b">
        <f>IF($Y7&lt;$C7,TRUE,FALSE)</f>
        <v>1</v>
      </c>
      <c r="AE7" s="5">
        <f>(5+4*3)/10+LOG(500,10)*0.25</f>
        <v>2.3747425010840044</v>
      </c>
    </row>
    <row r="8" spans="1:31" x14ac:dyDescent="0.25">
      <c r="A8" s="12">
        <v>7</v>
      </c>
      <c r="B8" s="5">
        <f>_xlfn.XLOOKUP($A8,growth[Turn],growth[NHV])</f>
        <v>701.79629064373751</v>
      </c>
      <c r="C8" s="5">
        <f>$B8*_xlfn.XLOOKUP($A8,budget[Turn],budget[R&amp;D])</f>
        <v>210.53888719312124</v>
      </c>
      <c r="D8" s="5">
        <f>_xlfn.XLOOKUP($A8,growth[Turn],growth[EL])</f>
        <v>2</v>
      </c>
      <c r="E8" s="25">
        <f>_xlfn.XLOOKUP($D8+1,el[EL Level],el[ERP Cost])/COUNT(D$8:D$14)</f>
        <v>10</v>
      </c>
      <c r="F8" s="23">
        <f>$E8*(5+LOG(_xlfn.XLOOKUP($A8,growth[Turn],growth[GHP]),10))</f>
        <v>81.472410640785441</v>
      </c>
      <c r="G8" s="5">
        <f>_xlfn.XLOOKUP($A8,growth[Turn],growth[SL])</f>
        <v>2</v>
      </c>
      <c r="H8" s="26">
        <f>_xlfn.XLOOKUP($G8+1,sl[SL],sl[SRP Cost])/COUNT(G$8:G$14)</f>
        <v>5</v>
      </c>
      <c r="I8" s="5">
        <f t="shared" si="0"/>
        <v>15</v>
      </c>
      <c r="J8" s="5">
        <v>2</v>
      </c>
      <c r="K8" s="5">
        <f>_xlfn.XLOOKUP($J8+1,tech[Tech Level],tech[TRP Cost])/COUNT(H$8:H$14)</f>
        <v>5</v>
      </c>
      <c r="L8" s="5">
        <f>$K8*((5+4*$G8)/10+LOG(_xlfn.XLOOKUP($A8,growth[Turn],growth[GHP]))*0.25)</f>
        <v>10.434051330098182</v>
      </c>
      <c r="M8" s="5">
        <v>2</v>
      </c>
      <c r="N8" s="5">
        <f>$K8*((5+4*$G8)/10+LOG(_xlfn.XLOOKUP($A8,growth[Turn],growth[GHP]))*0.25)</f>
        <v>10.434051330098182</v>
      </c>
      <c r="O8" s="5">
        <v>2</v>
      </c>
      <c r="P8" s="5">
        <f>$K8*((5+4*$G8)/10+LOG(_xlfn.XLOOKUP($A8,growth[Turn],growth[GHP]))*0.25)</f>
        <v>10.434051330098182</v>
      </c>
      <c r="Q8" s="5">
        <v>2</v>
      </c>
      <c r="R8" s="5">
        <f>$K8*((5+4*$G8)/10+LOG(_xlfn.XLOOKUP($A8,growth[Turn],growth[GHP]))*0.25)</f>
        <v>10.434051330098182</v>
      </c>
      <c r="S8" s="5">
        <v>2</v>
      </c>
      <c r="T8" s="5">
        <f>$K8*((5+4*$G8)/10+LOG(_xlfn.XLOOKUP($A8,growth[Turn],growth[GHP]))*0.25)</f>
        <v>10.434051330098182</v>
      </c>
      <c r="V8" s="5"/>
      <c r="X8" s="5"/>
      <c r="Y8" s="23">
        <f>SUM($F8,$I8,$L8,$N8,$P8,$R8,$T8,$V8,$X8)</f>
        <v>148.64266729127635</v>
      </c>
      <c r="Z8" s="23">
        <f>$C8-$Y8</f>
        <v>61.896219901844887</v>
      </c>
      <c r="AA8" t="b">
        <f>IF($Y8&lt;$C8,TRUE,FALSE)</f>
        <v>1</v>
      </c>
      <c r="AE8" s="5">
        <f>5*AE7</f>
        <v>11.873712505420022</v>
      </c>
    </row>
    <row r="9" spans="1:31" x14ac:dyDescent="0.25">
      <c r="A9" s="13">
        <v>8</v>
      </c>
      <c r="B9" s="5">
        <f>_xlfn.XLOOKUP($A9,growth[Turn],growth[NHV])</f>
        <v>750.80082738314252</v>
      </c>
      <c r="C9" s="5">
        <f>$B9*_xlfn.XLOOKUP($A9,budget[Turn],budget[R&amp;D])</f>
        <v>225.24024821494274</v>
      </c>
      <c r="D9" s="5">
        <f>_xlfn.XLOOKUP($A9,growth[Turn],growth[EL])</f>
        <v>2</v>
      </c>
      <c r="E9" s="25">
        <f>_xlfn.XLOOKUP($D9+1,el[EL Level],el[ERP Cost])/COUNT(D$8:D$14)</f>
        <v>10</v>
      </c>
      <c r="F9" s="23">
        <f>$E9*(5+LOG(_xlfn.XLOOKUP($A9,growth[Turn],growth[GHP]),10))</f>
        <v>81.765547382064369</v>
      </c>
      <c r="G9" s="5">
        <f>_xlfn.XLOOKUP($A9,growth[Turn],growth[SL])</f>
        <v>2</v>
      </c>
      <c r="H9" s="26">
        <f>_xlfn.XLOOKUP($G9+1,sl[SL],sl[SRP Cost])/COUNT(G$8:G$14)</f>
        <v>5</v>
      </c>
      <c r="I9" s="5">
        <f t="shared" si="0"/>
        <v>15</v>
      </c>
      <c r="J9" s="5">
        <v>2</v>
      </c>
      <c r="K9" s="5">
        <f>_xlfn.XLOOKUP($J9+1,tech[Tech Level],tech[TRP Cost])/COUNT(H$8:H$14)</f>
        <v>5</v>
      </c>
      <c r="L9" s="5">
        <f>$K9*((5+4*$G9)/10+LOG(_xlfn.XLOOKUP($A9,growth[Turn],growth[GHP]))*0.25)</f>
        <v>10.470693422758046</v>
      </c>
      <c r="M9" s="5">
        <v>2</v>
      </c>
      <c r="N9" s="5">
        <f>$K9*((5+4*$G9)/10+LOG(_xlfn.XLOOKUP($A9,growth[Turn],growth[GHP]))*0.25)</f>
        <v>10.470693422758046</v>
      </c>
      <c r="O9" s="5">
        <v>2</v>
      </c>
      <c r="P9" s="5">
        <f>$K9*((5+4*$G9)/10+LOG(_xlfn.XLOOKUP($A9,growth[Turn],growth[GHP]))*0.25)</f>
        <v>10.470693422758046</v>
      </c>
      <c r="Q9" s="5">
        <v>2</v>
      </c>
      <c r="R9" s="5">
        <f>$K9*((5+4*$G9)/10+LOG(_xlfn.XLOOKUP($A9,growth[Turn],growth[GHP]))*0.25)</f>
        <v>10.470693422758046</v>
      </c>
      <c r="S9" s="5">
        <v>2</v>
      </c>
      <c r="T9" s="5">
        <f>$K9*((5+4*$G9)/10+LOG(_xlfn.XLOOKUP($A9,growth[Turn],growth[GHP]))*0.25)</f>
        <v>10.470693422758046</v>
      </c>
      <c r="V9" s="5"/>
      <c r="X9" s="5"/>
      <c r="Y9" s="23">
        <f>SUM($F9,$I9,$L9,$N9,$P9,$R9,$T9,$V9,$X9)</f>
        <v>149.1190144958546</v>
      </c>
      <c r="Z9" s="23">
        <f>$C9-$Y9</f>
        <v>76.121233719088139</v>
      </c>
      <c r="AA9" t="b">
        <f>IF($Y9&lt;$C9,TRUE,FALSE)</f>
        <v>1</v>
      </c>
    </row>
    <row r="10" spans="1:31" x14ac:dyDescent="0.25">
      <c r="A10" s="13">
        <v>9</v>
      </c>
      <c r="B10" s="5">
        <f>_xlfn.XLOOKUP($A10,growth[Turn],growth[NHV])</f>
        <v>802.70872845829467</v>
      </c>
      <c r="C10" s="5">
        <f>$B10*_xlfn.XLOOKUP($A10,budget[Turn],budget[R&amp;D])</f>
        <v>240.81261853748839</v>
      </c>
      <c r="D10" s="5">
        <f>_xlfn.XLOOKUP($A10,growth[Turn],growth[EL])</f>
        <v>2</v>
      </c>
      <c r="E10" s="25">
        <f>_xlfn.XLOOKUP($D10+1,el[EL Level],el[ERP Cost])/COUNT(D$8:D$14)</f>
        <v>10</v>
      </c>
      <c r="F10" s="23">
        <f>$E10*(5+LOG(_xlfn.XLOOKUP($A10,growth[Turn],growth[GHP]),10))</f>
        <v>82.055879810783551</v>
      </c>
      <c r="G10" s="5">
        <f>_xlfn.XLOOKUP($A10,growth[Turn],growth[SL])</f>
        <v>2</v>
      </c>
      <c r="H10" s="26">
        <f>_xlfn.XLOOKUP($G10+1,sl[SL],sl[SRP Cost])/COUNT(G$8:G$14)</f>
        <v>5</v>
      </c>
      <c r="I10" s="5">
        <f t="shared" si="0"/>
        <v>15</v>
      </c>
      <c r="J10" s="5">
        <v>2</v>
      </c>
      <c r="K10" s="5">
        <f>_xlfn.XLOOKUP($J10+1,tech[Tech Level],tech[TRP Cost])/COUNT(H$8:H$14)</f>
        <v>5</v>
      </c>
      <c r="L10" s="5">
        <f>$K10*((5+4*$G10)/10+LOG(_xlfn.XLOOKUP($A10,growth[Turn],growth[GHP]))*0.25)</f>
        <v>10.506984976347944</v>
      </c>
      <c r="M10" s="5">
        <v>2</v>
      </c>
      <c r="N10" s="5">
        <f>$K10*((5+4*$G10)/10+LOG(_xlfn.XLOOKUP($A10,growth[Turn],growth[GHP]))*0.25)</f>
        <v>10.506984976347944</v>
      </c>
      <c r="O10" s="5">
        <v>2</v>
      </c>
      <c r="P10" s="5">
        <f>$K10*((5+4*$G10)/10+LOG(_xlfn.XLOOKUP($A10,growth[Turn],growth[GHP]))*0.25)</f>
        <v>10.506984976347944</v>
      </c>
      <c r="Q10" s="5">
        <v>2</v>
      </c>
      <c r="R10" s="5">
        <f>$K10*((5+4*$G10)/10+LOG(_xlfn.XLOOKUP($A10,growth[Turn],growth[GHP]))*0.25)</f>
        <v>10.506984976347944</v>
      </c>
      <c r="S10" s="5">
        <v>2</v>
      </c>
      <c r="T10" s="5">
        <f>$K10*((5+4*$G10)/10+LOG(_xlfn.XLOOKUP($A10,growth[Turn],growth[GHP]))*0.25)</f>
        <v>10.506984976347944</v>
      </c>
      <c r="V10" s="5"/>
      <c r="X10" s="5"/>
      <c r="Y10" s="23">
        <f>SUM($F10,$I10,$L10,$N10,$P10,$R10,$T10,$V10,$X10)</f>
        <v>149.59080469252331</v>
      </c>
      <c r="Z10" s="23">
        <f>$C10-$Y10</f>
        <v>91.221813844965084</v>
      </c>
      <c r="AA10" t="b">
        <f>IF($Y10&lt;$C10,TRUE,FALSE)</f>
        <v>1</v>
      </c>
    </row>
    <row r="11" spans="1:31" x14ac:dyDescent="0.25">
      <c r="A11" s="13">
        <v>10</v>
      </c>
      <c r="B11" s="5">
        <f>_xlfn.XLOOKUP($A11,growth[Turn],growth[NHV])</f>
        <v>828.19915005526161</v>
      </c>
      <c r="C11" s="5">
        <f>$B11*_xlfn.XLOOKUP($A11,budget[Turn],budget[R&amp;D])</f>
        <v>248.45974501657847</v>
      </c>
      <c r="D11" s="5">
        <f>_xlfn.XLOOKUP($A11,growth[Turn],growth[EL])</f>
        <v>2</v>
      </c>
      <c r="E11" s="25">
        <f>_xlfn.XLOOKUP($D11+1,el[EL Level],el[ERP Cost])/COUNT(D$8:D$14)</f>
        <v>10</v>
      </c>
      <c r="F11" s="23">
        <f>$E11*(5+LOG(_xlfn.XLOOKUP($A11,growth[Turn],growth[GHP]),10))</f>
        <v>82.191647761330444</v>
      </c>
      <c r="G11" s="5">
        <f>_xlfn.XLOOKUP($A11,growth[Turn],growth[SL])</f>
        <v>2</v>
      </c>
      <c r="H11" s="26">
        <f>_xlfn.XLOOKUP($G11+1,sl[SL],sl[SRP Cost])/COUNT(G$8:G$14)</f>
        <v>5</v>
      </c>
      <c r="I11" s="5">
        <f t="shared" si="0"/>
        <v>15</v>
      </c>
      <c r="J11" s="5">
        <v>2</v>
      </c>
      <c r="K11" s="5">
        <f>_xlfn.XLOOKUP($J11+1,tech[Tech Level],tech[TRP Cost])/COUNT(H$8:H$14)</f>
        <v>5</v>
      </c>
      <c r="L11" s="5">
        <f>$K11*((5+4*$G11)/10+LOG(_xlfn.XLOOKUP($A11,growth[Turn],growth[GHP]))*0.25)</f>
        <v>10.523955970166307</v>
      </c>
      <c r="M11" s="5">
        <v>2</v>
      </c>
      <c r="N11" s="5">
        <f>$K11*((5+4*$G11)/10+LOG(_xlfn.XLOOKUP($A11,growth[Turn],growth[GHP]))*0.25)</f>
        <v>10.523955970166307</v>
      </c>
      <c r="O11" s="5">
        <v>2</v>
      </c>
      <c r="P11" s="5">
        <f>$K11*((5+4*$G11)/10+LOG(_xlfn.XLOOKUP($A11,growth[Turn],growth[GHP]))*0.25)</f>
        <v>10.523955970166307</v>
      </c>
      <c r="Q11" s="5">
        <v>2</v>
      </c>
      <c r="R11" s="5">
        <f>$K11*((5+4*$G11)/10+LOG(_xlfn.XLOOKUP($A11,growth[Turn],growth[GHP]))*0.25)</f>
        <v>10.523955970166307</v>
      </c>
      <c r="S11" s="5">
        <v>2</v>
      </c>
      <c r="T11" s="5">
        <f>$K11*((5+4*$G11)/10+LOG(_xlfn.XLOOKUP($A11,growth[Turn],growth[GHP]))*0.25)</f>
        <v>10.523955970166307</v>
      </c>
      <c r="V11" s="5"/>
      <c r="X11" s="5"/>
      <c r="Y11" s="23">
        <f>SUM($F11,$I11,$L11,$N11,$P11,$R11,$T11,$V11,$X11)</f>
        <v>149.81142761216196</v>
      </c>
      <c r="Z11" s="23">
        <f>$C11-$Y11</f>
        <v>98.648317404416503</v>
      </c>
      <c r="AA11" t="b">
        <f>IF($Y11&lt;$C11,TRUE,FALSE)</f>
        <v>1</v>
      </c>
    </row>
    <row r="12" spans="1:31" x14ac:dyDescent="0.25">
      <c r="A12" s="13">
        <v>11</v>
      </c>
      <c r="B12" s="5">
        <f>_xlfn.XLOOKUP($A12,growth[Turn],growth[NHV])</f>
        <v>844.76313305636688</v>
      </c>
      <c r="C12" s="5">
        <f>$B12*_xlfn.XLOOKUP($A12,budget[Turn],budget[R&amp;D])</f>
        <v>253.42893991691005</v>
      </c>
      <c r="D12" s="5">
        <f>_xlfn.XLOOKUP($A12,growth[Turn],growth[EL])</f>
        <v>2</v>
      </c>
      <c r="E12" s="25">
        <f>_xlfn.XLOOKUP($D12+1,el[EL Level],el[ERP Cost])/COUNT(D$8:D$14)</f>
        <v>10</v>
      </c>
      <c r="F12" s="23">
        <f>$E12*(5+LOG(_xlfn.XLOOKUP($A12,growth[Turn],growth[GHP]),10))</f>
        <v>82.277649478949627</v>
      </c>
      <c r="G12" s="5">
        <f>_xlfn.XLOOKUP($A12,growth[Turn],growth[SL])</f>
        <v>2</v>
      </c>
      <c r="H12" s="26">
        <f>_xlfn.XLOOKUP($G12+1,sl[SL],sl[SRP Cost])/COUNT(G$8:G$14)</f>
        <v>5</v>
      </c>
      <c r="I12" s="5">
        <f t="shared" si="0"/>
        <v>15</v>
      </c>
      <c r="J12" s="5">
        <v>2</v>
      </c>
      <c r="K12" s="5">
        <f>_xlfn.XLOOKUP($J12+1,tech[Tech Level],tech[TRP Cost])/COUNT(H$8:H$14)</f>
        <v>5</v>
      </c>
      <c r="L12" s="5">
        <f>$K12*((5+4*$G12)/10+LOG(_xlfn.XLOOKUP($A12,growth[Turn],growth[GHP]))*0.25)</f>
        <v>10.534706184868705</v>
      </c>
      <c r="M12" s="5">
        <v>2</v>
      </c>
      <c r="N12" s="5">
        <f>$K12*((5+4*$G12)/10+LOG(_xlfn.XLOOKUP($A12,growth[Turn],growth[GHP]))*0.25)</f>
        <v>10.534706184868705</v>
      </c>
      <c r="O12" s="5">
        <v>2</v>
      </c>
      <c r="P12" s="5">
        <f>$K12*((5+4*$G12)/10+LOG(_xlfn.XLOOKUP($A12,growth[Turn],growth[GHP]))*0.25)</f>
        <v>10.534706184868705</v>
      </c>
      <c r="Q12" s="5">
        <v>2</v>
      </c>
      <c r="R12" s="5">
        <f>$K12*((5+4*$G12)/10+LOG(_xlfn.XLOOKUP($A12,growth[Turn],growth[GHP]))*0.25)</f>
        <v>10.534706184868705</v>
      </c>
      <c r="S12" s="5">
        <v>2</v>
      </c>
      <c r="T12" s="5">
        <f>$K12*((5+4*$G12)/10+LOG(_xlfn.XLOOKUP($A12,growth[Turn],growth[GHP]))*0.25)</f>
        <v>10.534706184868705</v>
      </c>
      <c r="V12" s="5"/>
      <c r="X12" s="5"/>
      <c r="Y12" s="23">
        <f>SUM($F12,$I12,$L12,$N12,$P12,$R12,$T12,$V12,$X12)</f>
        <v>149.95118040329314</v>
      </c>
      <c r="Z12" s="23">
        <f>$C12-$Y12</f>
        <v>103.47775951361692</v>
      </c>
      <c r="AA12" t="b">
        <f>IF($Y12&lt;$C12,TRUE,FALSE)</f>
        <v>1</v>
      </c>
    </row>
    <row r="13" spans="1:31" x14ac:dyDescent="0.25">
      <c r="A13" s="13">
        <v>12</v>
      </c>
      <c r="B13" s="5">
        <f>_xlfn.XLOOKUP($A13,growth[Turn],growth[NHV])</f>
        <v>861.65839571749416</v>
      </c>
      <c r="C13" s="5">
        <f>$B13*_xlfn.XLOOKUP($A13,budget[Turn],budget[R&amp;D])</f>
        <v>258.49751871524825</v>
      </c>
      <c r="D13" s="5">
        <f>_xlfn.XLOOKUP($A13,growth[Turn],growth[EL])</f>
        <v>2</v>
      </c>
      <c r="E13" s="25">
        <f>_xlfn.XLOOKUP($D13+1,el[EL Level],el[ERP Cost])/COUNT(D$8:D$14)</f>
        <v>10</v>
      </c>
      <c r="F13" s="23">
        <f>$E13*(5+LOG(_xlfn.XLOOKUP($A13,growth[Turn],growth[GHP]),10))</f>
        <v>82.36365119656881</v>
      </c>
      <c r="G13" s="5">
        <f>_xlfn.XLOOKUP($A13,growth[Turn],growth[SL])</f>
        <v>2</v>
      </c>
      <c r="H13" s="26">
        <f>_xlfn.XLOOKUP($G13+1,sl[SL],sl[SRP Cost])/COUNT(G$8:G$14)</f>
        <v>5</v>
      </c>
      <c r="I13" s="5">
        <f t="shared" si="0"/>
        <v>15</v>
      </c>
      <c r="J13" s="5">
        <v>2</v>
      </c>
      <c r="K13" s="5">
        <f>_xlfn.XLOOKUP($J13+1,tech[Tech Level],tech[TRP Cost])/COUNT(H$8:H$14)</f>
        <v>5</v>
      </c>
      <c r="L13" s="5">
        <f>$K13*((5+4*$G13)/10+LOG(_xlfn.XLOOKUP($A13,growth[Turn],growth[GHP]))*0.25)</f>
        <v>10.545456399571101</v>
      </c>
      <c r="M13" s="5">
        <v>2</v>
      </c>
      <c r="N13" s="5">
        <f>$K13*((5+4*$G13)/10+LOG(_xlfn.XLOOKUP($A13,growth[Turn],growth[GHP]))*0.25)</f>
        <v>10.545456399571101</v>
      </c>
      <c r="O13" s="5">
        <v>2</v>
      </c>
      <c r="P13" s="5">
        <f>$K13*((5+4*$G13)/10+LOG(_xlfn.XLOOKUP($A13,growth[Turn],growth[GHP]))*0.25)</f>
        <v>10.545456399571101</v>
      </c>
      <c r="Q13" s="5">
        <v>2</v>
      </c>
      <c r="R13" s="5">
        <f>$K13*((5+4*$G13)/10+LOG(_xlfn.XLOOKUP($A13,growth[Turn],growth[GHP]))*0.25)</f>
        <v>10.545456399571101</v>
      </c>
      <c r="S13" s="5">
        <v>2</v>
      </c>
      <c r="T13" s="5">
        <f>$K13*((5+4*$G13)/10+LOG(_xlfn.XLOOKUP($A13,growth[Turn],growth[GHP]))*0.25)</f>
        <v>10.545456399571101</v>
      </c>
      <c r="V13" s="5"/>
      <c r="X13" s="5"/>
      <c r="Y13" s="23">
        <f>SUM($F13,$I13,$L13,$N13,$P13,$R13,$T13,$V13,$X13)</f>
        <v>150.09093319442428</v>
      </c>
      <c r="Z13" s="23">
        <f>$C13-$Y13</f>
        <v>108.40658552082397</v>
      </c>
      <c r="AA13" t="b">
        <f>IF($Y13&lt;$C13,TRUE,FALSE)</f>
        <v>1</v>
      </c>
    </row>
    <row r="14" spans="1:31" x14ac:dyDescent="0.25">
      <c r="A14" s="13">
        <v>13</v>
      </c>
      <c r="B14" s="5">
        <f>_xlfn.XLOOKUP($A14,growth[Turn],growth[NHV])</f>
        <v>878.89156363184406</v>
      </c>
      <c r="C14" s="5">
        <f>$B14*_xlfn.XLOOKUP($A14,budget[Turn],budget[R&amp;D])</f>
        <v>263.66746908955321</v>
      </c>
      <c r="D14" s="5">
        <f>_xlfn.XLOOKUP($A14,growth[Turn],growth[EL])</f>
        <v>2</v>
      </c>
      <c r="E14" s="25">
        <f>_xlfn.XLOOKUP($D14+1,el[EL Level],el[ERP Cost])/COUNT(D$8:D$14)</f>
        <v>10</v>
      </c>
      <c r="F14" s="23">
        <f>$E14*(5+LOG(_xlfn.XLOOKUP($A14,growth[Turn],growth[GHP]),10))</f>
        <v>82.449652914187965</v>
      </c>
      <c r="G14" s="5">
        <f>_xlfn.XLOOKUP($A14,growth[Turn],growth[SL])</f>
        <v>2</v>
      </c>
      <c r="H14" s="26">
        <f>_xlfn.XLOOKUP($G14+1,sl[SL],sl[SRP Cost])/COUNT(G$8:G$14)</f>
        <v>5</v>
      </c>
      <c r="I14" s="5">
        <f t="shared" si="0"/>
        <v>15</v>
      </c>
      <c r="J14" s="5">
        <v>2</v>
      </c>
      <c r="K14" s="5">
        <f>_xlfn.XLOOKUP($J14+1,tech[Tech Level],tech[TRP Cost])/COUNT(H$8:H$14)</f>
        <v>5</v>
      </c>
      <c r="L14" s="5">
        <f>$K14*((5+4*$G14)/10+LOG(_xlfn.XLOOKUP($A14,growth[Turn],growth[GHP]))*0.25)</f>
        <v>10.556206614273499</v>
      </c>
      <c r="M14" s="5">
        <v>2</v>
      </c>
      <c r="N14" s="5">
        <f>$K14*((5+4*$G14)/10+LOG(_xlfn.XLOOKUP($A14,growth[Turn],growth[GHP]))*0.25)</f>
        <v>10.556206614273499</v>
      </c>
      <c r="O14" s="5">
        <v>2</v>
      </c>
      <c r="P14" s="5">
        <f>$K14*((5+4*$G14)/10+LOG(_xlfn.XLOOKUP($A14,growth[Turn],growth[GHP]))*0.25)</f>
        <v>10.556206614273499</v>
      </c>
      <c r="Q14" s="5">
        <v>2</v>
      </c>
      <c r="R14" s="5">
        <f>$K14*((5+4*$G14)/10+LOG(_xlfn.XLOOKUP($A14,growth[Turn],growth[GHP]))*0.25)</f>
        <v>10.556206614273499</v>
      </c>
      <c r="S14" s="5">
        <v>2</v>
      </c>
      <c r="T14" s="5">
        <f>$K14*((5+4*$G14)/10+LOG(_xlfn.XLOOKUP($A14,growth[Turn],growth[GHP]))*0.25)</f>
        <v>10.556206614273499</v>
      </c>
      <c r="V14" s="5"/>
      <c r="X14" s="5"/>
      <c r="Y14" s="23">
        <f>SUM($F14,$I14,$L14,$N14,$P14,$R14,$T14,$V14,$X14)</f>
        <v>150.23068598555543</v>
      </c>
      <c r="Z14" s="23">
        <f>$C14-$Y14</f>
        <v>113.43678310399778</v>
      </c>
      <c r="AA14" t="b">
        <f>IF($Y14&lt;$C14,TRUE,FALSE)</f>
        <v>1</v>
      </c>
    </row>
    <row r="15" spans="1:31" x14ac:dyDescent="0.25">
      <c r="A15" s="12">
        <v>14</v>
      </c>
      <c r="B15" s="5">
        <f>_xlfn.XLOOKUP($A15,growth[Turn],growth[NHV])</f>
        <v>937.21800376377541</v>
      </c>
      <c r="C15" s="5">
        <f>$B15*_xlfn.XLOOKUP($A15,budget[Turn],budget[R&amp;D])</f>
        <v>281.16540112913259</v>
      </c>
      <c r="D15" s="5">
        <f>_xlfn.XLOOKUP($A15,growth[Turn],growth[EL])</f>
        <v>3</v>
      </c>
      <c r="E15" s="24">
        <f>_xlfn.XLOOKUP($D15+1,el[EL Level],el[ERP Cost])/COUNT(D$15:D$20)</f>
        <v>13.333333333333334</v>
      </c>
      <c r="F15" s="23">
        <f>$E15*(5+LOG(_xlfn.XLOOKUP($A15,growth[Turn],growth[GHP]),10))</f>
        <v>110.30494157834805</v>
      </c>
      <c r="G15" s="5">
        <f>_xlfn.XLOOKUP($A15,growth[Turn],growth[SL])</f>
        <v>3</v>
      </c>
      <c r="H15" s="34">
        <f>_xlfn.XLOOKUP($G15+1,sl[SL],sl[SRP Cost])/COUNT(G$15:G$20)</f>
        <v>6.666666666666667</v>
      </c>
      <c r="I15" s="5">
        <f t="shared" si="0"/>
        <v>23.333333333333336</v>
      </c>
      <c r="J15" s="5">
        <v>3</v>
      </c>
      <c r="K15" s="5">
        <f>_xlfn.XLOOKUP($J15+1,tech[Tech Level],tech[TRP Cost])/COUNT(H$15:H$20)</f>
        <v>6.666666666666667</v>
      </c>
      <c r="L15" s="5">
        <f>$K15*((5+4*$G15)/10+LOG(_xlfn.XLOOKUP($A15,growth[Turn],growth[GHP]))*0.25)</f>
        <v>16.788117697293504</v>
      </c>
      <c r="M15" s="5">
        <v>3</v>
      </c>
      <c r="N15" s="5">
        <f>$K15*((5+4*$G15)/10+LOG(_xlfn.XLOOKUP($A15,growth[Turn],growth[GHP]))*0.25)</f>
        <v>16.788117697293504</v>
      </c>
      <c r="O15" s="5">
        <v>3</v>
      </c>
      <c r="P15" s="5">
        <f>$K15*((5+4*$G15)/10+LOG(_xlfn.XLOOKUP($A15,growth[Turn],growth[GHP]))*0.25)</f>
        <v>16.788117697293504</v>
      </c>
      <c r="Q15" s="5">
        <v>3</v>
      </c>
      <c r="R15" s="5">
        <f>$K15*((5+4*$G15)/10+LOG(_xlfn.XLOOKUP($A15,growth[Turn],growth[GHP]))*0.25)</f>
        <v>16.788117697293504</v>
      </c>
      <c r="S15" s="5">
        <v>3</v>
      </c>
      <c r="T15" s="5">
        <f>$K15*((5+4*$G15)/10+LOG(_xlfn.XLOOKUP($A15,growth[Turn],growth[GHP]))*0.25)</f>
        <v>16.788117697293504</v>
      </c>
      <c r="U15" s="5">
        <v>1</v>
      </c>
      <c r="V15" s="5">
        <f>$K15*((5+4*$G15)/10+LOG(_xlfn.XLOOKUP($A15,growth[Turn],growth[GHP]))*0.25)</f>
        <v>16.788117697293504</v>
      </c>
      <c r="W15" s="5">
        <v>1</v>
      </c>
      <c r="X15" s="5">
        <f>$K15*((5+4*$G15)/10+LOG(_xlfn.XLOOKUP($A15,growth[Turn],growth[GHP]))*0.25)</f>
        <v>16.788117697293504</v>
      </c>
      <c r="Y15" s="23">
        <f>SUM($F15,$I15,$L15,$N15,$P15,$R15,$T15,$V15,$X15)</f>
        <v>251.15509879273588</v>
      </c>
      <c r="Z15" s="23">
        <f>$C15-$Y15</f>
        <v>30.010302336396705</v>
      </c>
      <c r="AA15" t="b">
        <f>IF($Y15&lt;$C15,TRUE,FALSE)</f>
        <v>1</v>
      </c>
    </row>
    <row r="16" spans="1:31" x14ac:dyDescent="0.25">
      <c r="A16" s="13">
        <v>15</v>
      </c>
      <c r="B16" s="5">
        <f>_xlfn.XLOOKUP($A16,growth[Turn],growth[NHV])</f>
        <v>955.96236383905091</v>
      </c>
      <c r="C16" s="5">
        <f>$B16*_xlfn.XLOOKUP($A16,budget[Turn],budget[R&amp;D])</f>
        <v>286.78870915171524</v>
      </c>
      <c r="D16" s="5">
        <f>_xlfn.XLOOKUP($A16,growth[Turn],growth[EL])</f>
        <v>3</v>
      </c>
      <c r="E16" s="24">
        <f>_xlfn.XLOOKUP($D16+1,el[EL Level],el[ERP Cost])/COUNT(D$15:D$20)</f>
        <v>13.333333333333334</v>
      </c>
      <c r="F16" s="23">
        <f>$E16*(5+LOG(_xlfn.XLOOKUP($A16,growth[Turn],growth[GHP]),10))</f>
        <v>110.4196105351736</v>
      </c>
      <c r="G16" s="5">
        <f>_xlfn.XLOOKUP($A16,growth[Turn],growth[SL])</f>
        <v>3</v>
      </c>
      <c r="H16" s="34">
        <f>_xlfn.XLOOKUP($G16+1,sl[SL],sl[SRP Cost])/COUNT(G$15:G$20)</f>
        <v>6.666666666666667</v>
      </c>
      <c r="I16" s="5">
        <f t="shared" si="0"/>
        <v>23.333333333333336</v>
      </c>
      <c r="J16" s="5">
        <v>3</v>
      </c>
      <c r="K16" s="5">
        <f>_xlfn.XLOOKUP($J16+1,tech[Tech Level],tech[TRP Cost])/COUNT(H$15:H$20)</f>
        <v>6.666666666666667</v>
      </c>
      <c r="L16" s="5">
        <f>$K16*((5+4*$G16)/10+LOG(_xlfn.XLOOKUP($A16,growth[Turn],growth[GHP]))*0.25)</f>
        <v>16.8024513168967</v>
      </c>
      <c r="M16" s="5">
        <v>3</v>
      </c>
      <c r="N16" s="5">
        <f>$K16*((5+4*$G16)/10+LOG(_xlfn.XLOOKUP($A16,growth[Turn],growth[GHP]))*0.25)</f>
        <v>16.8024513168967</v>
      </c>
      <c r="O16" s="5">
        <v>3</v>
      </c>
      <c r="P16" s="5">
        <f>$K16*((5+4*$G16)/10+LOG(_xlfn.XLOOKUP($A16,growth[Turn],growth[GHP]))*0.25)</f>
        <v>16.8024513168967</v>
      </c>
      <c r="Q16" s="5">
        <v>3</v>
      </c>
      <c r="R16" s="5">
        <f>$K16*((5+4*$G16)/10+LOG(_xlfn.XLOOKUP($A16,growth[Turn],growth[GHP]))*0.25)</f>
        <v>16.8024513168967</v>
      </c>
      <c r="S16" s="5">
        <v>3</v>
      </c>
      <c r="T16" s="5">
        <f>$K16*((5+4*$G16)/10+LOG(_xlfn.XLOOKUP($A16,growth[Turn],growth[GHP]))*0.25)</f>
        <v>16.8024513168967</v>
      </c>
      <c r="U16" s="5">
        <v>1</v>
      </c>
      <c r="V16" s="5">
        <f>$K16*((5+4*$G16)/10+LOG(_xlfn.XLOOKUP($A16,growth[Turn],growth[GHP]))*0.25)</f>
        <v>16.8024513168967</v>
      </c>
      <c r="W16" s="5">
        <v>1</v>
      </c>
      <c r="X16" s="5">
        <f>$K16*((5+4*$G16)/10+LOG(_xlfn.XLOOKUP($A16,growth[Turn],growth[GHP]))*0.25)</f>
        <v>16.8024513168967</v>
      </c>
      <c r="Y16" s="23">
        <f>SUM($F16,$I16,$L16,$N16,$P16,$R16,$T16,$V16,$X16)</f>
        <v>251.3701030867839</v>
      </c>
      <c r="Z16" s="23">
        <f>$C16-$Y16</f>
        <v>35.418606064931339</v>
      </c>
      <c r="AA16" t="b">
        <f>IF($Y16&lt;$C16,TRUE,FALSE)</f>
        <v>1</v>
      </c>
    </row>
    <row r="17" spans="1:27" x14ac:dyDescent="0.25">
      <c r="A17" s="13">
        <v>16</v>
      </c>
      <c r="B17" s="5">
        <f>_xlfn.XLOOKUP($A17,growth[Turn],growth[NHV])</f>
        <v>975.08161111583183</v>
      </c>
      <c r="C17" s="5">
        <f>$B17*_xlfn.XLOOKUP($A17,budget[Turn],budget[R&amp;D])</f>
        <v>292.52448333474956</v>
      </c>
      <c r="D17" s="5">
        <f>_xlfn.XLOOKUP($A17,growth[Turn],growth[EL])</f>
        <v>3</v>
      </c>
      <c r="E17" s="24">
        <f>_xlfn.XLOOKUP($D17+1,el[EL Level],el[ERP Cost])/COUNT(D$15:D$20)</f>
        <v>13.333333333333334</v>
      </c>
      <c r="F17" s="23">
        <f>$E17*(5+LOG(_xlfn.XLOOKUP($A17,growth[Turn],growth[GHP]),10))</f>
        <v>110.53427949199917</v>
      </c>
      <c r="G17" s="5">
        <f>_xlfn.XLOOKUP($A17,growth[Turn],growth[SL])</f>
        <v>3</v>
      </c>
      <c r="H17" s="34">
        <f>_xlfn.XLOOKUP($G17+1,sl[SL],sl[SRP Cost])/COUNT(G$15:G$20)</f>
        <v>6.666666666666667</v>
      </c>
      <c r="I17" s="5">
        <f t="shared" si="0"/>
        <v>23.333333333333336</v>
      </c>
      <c r="J17" s="5">
        <v>3</v>
      </c>
      <c r="K17" s="5">
        <f>_xlfn.XLOOKUP($J17+1,tech[Tech Level],tech[TRP Cost])/COUNT(H$15:H$20)</f>
        <v>6.666666666666667</v>
      </c>
      <c r="L17" s="5">
        <f>$K17*((5+4*$G17)/10+LOG(_xlfn.XLOOKUP($A17,growth[Turn],growth[GHP]))*0.25)</f>
        <v>16.816784936499896</v>
      </c>
      <c r="M17" s="5">
        <v>3</v>
      </c>
      <c r="N17" s="5">
        <f>$K17*((5+4*$G17)/10+LOG(_xlfn.XLOOKUP($A17,growth[Turn],growth[GHP]))*0.25)</f>
        <v>16.816784936499896</v>
      </c>
      <c r="O17" s="5">
        <v>3</v>
      </c>
      <c r="P17" s="5">
        <f>$K17*((5+4*$G17)/10+LOG(_xlfn.XLOOKUP($A17,growth[Turn],growth[GHP]))*0.25)</f>
        <v>16.816784936499896</v>
      </c>
      <c r="Q17" s="5">
        <v>3</v>
      </c>
      <c r="R17" s="5">
        <f>$K17*((5+4*$G17)/10+LOG(_xlfn.XLOOKUP($A17,growth[Turn],growth[GHP]))*0.25)</f>
        <v>16.816784936499896</v>
      </c>
      <c r="S17" s="5">
        <v>3</v>
      </c>
      <c r="T17" s="5">
        <f>$K17*((5+4*$G17)/10+LOG(_xlfn.XLOOKUP($A17,growth[Turn],growth[GHP]))*0.25)</f>
        <v>16.816784936499896</v>
      </c>
      <c r="U17" s="5">
        <v>1</v>
      </c>
      <c r="V17" s="5">
        <f>$K17*((5+4*$G17)/10+LOG(_xlfn.XLOOKUP($A17,growth[Turn],growth[GHP]))*0.25)</f>
        <v>16.816784936499896</v>
      </c>
      <c r="W17" s="5">
        <v>1</v>
      </c>
      <c r="X17" s="5">
        <f>$K17*((5+4*$G17)/10+LOG(_xlfn.XLOOKUP($A17,growth[Turn],growth[GHP]))*0.25)</f>
        <v>16.816784936499896</v>
      </c>
      <c r="Y17" s="23">
        <f>SUM($F17,$I17,$L17,$N17,$P17,$R17,$T17,$V17,$X17)</f>
        <v>251.58510738083172</v>
      </c>
      <c r="Z17" s="23">
        <f>$C17-$Y17</f>
        <v>40.939375953917846</v>
      </c>
      <c r="AA17" t="b">
        <f>IF($Y17&lt;$C17,TRUE,FALSE)</f>
        <v>1</v>
      </c>
    </row>
    <row r="18" spans="1:27" x14ac:dyDescent="0.25">
      <c r="A18" s="13">
        <v>17</v>
      </c>
      <c r="B18" s="5">
        <f>_xlfn.XLOOKUP($A18,growth[Turn],growth[NHV])</f>
        <v>994.58324333814846</v>
      </c>
      <c r="C18" s="5">
        <f>$B18*_xlfn.XLOOKUP($A18,budget[Turn],budget[R&amp;D])</f>
        <v>298.37497300144452</v>
      </c>
      <c r="D18" s="5">
        <f>_xlfn.XLOOKUP($A18,growth[Turn],growth[EL])</f>
        <v>3</v>
      </c>
      <c r="E18" s="24">
        <f>_xlfn.XLOOKUP($D18+1,el[EL Level],el[ERP Cost])/COUNT(D$15:D$20)</f>
        <v>13.333333333333334</v>
      </c>
      <c r="F18" s="23">
        <f>$E18*(5+LOG(_xlfn.XLOOKUP($A18,growth[Turn],growth[GHP]),10))</f>
        <v>110.64894844882474</v>
      </c>
      <c r="G18" s="5">
        <f>_xlfn.XLOOKUP($A18,growth[Turn],growth[SL])</f>
        <v>3</v>
      </c>
      <c r="H18" s="34">
        <f>_xlfn.XLOOKUP($G18+1,sl[SL],sl[SRP Cost])/COUNT(G$15:G$20)</f>
        <v>6.666666666666667</v>
      </c>
      <c r="I18" s="5">
        <f t="shared" si="0"/>
        <v>23.333333333333336</v>
      </c>
      <c r="J18" s="5">
        <v>3</v>
      </c>
      <c r="K18" s="5">
        <f>_xlfn.XLOOKUP($J18+1,tech[Tech Level],tech[TRP Cost])/COUNT(H$15:H$20)</f>
        <v>6.666666666666667</v>
      </c>
      <c r="L18" s="5">
        <f>$K18*((5+4*$G18)/10+LOG(_xlfn.XLOOKUP($A18,growth[Turn],growth[GHP]))*0.25)</f>
        <v>16.831118556103096</v>
      </c>
      <c r="M18" s="5">
        <v>3</v>
      </c>
      <c r="N18" s="5">
        <f>$K18*((5+4*$G18)/10+LOG(_xlfn.XLOOKUP($A18,growth[Turn],growth[GHP]))*0.25)</f>
        <v>16.831118556103096</v>
      </c>
      <c r="O18" s="5">
        <v>3</v>
      </c>
      <c r="P18" s="5">
        <f>$K18*((5+4*$G18)/10+LOG(_xlfn.XLOOKUP($A18,growth[Turn],growth[GHP]))*0.25)</f>
        <v>16.831118556103096</v>
      </c>
      <c r="Q18" s="5">
        <v>3</v>
      </c>
      <c r="R18" s="5">
        <f>$K18*((5+4*$G18)/10+LOG(_xlfn.XLOOKUP($A18,growth[Turn],growth[GHP]))*0.25)</f>
        <v>16.831118556103096</v>
      </c>
      <c r="S18" s="5">
        <v>3</v>
      </c>
      <c r="T18" s="5">
        <f>$K18*((5+4*$G18)/10+LOG(_xlfn.XLOOKUP($A18,growth[Turn],growth[GHP]))*0.25)</f>
        <v>16.831118556103096</v>
      </c>
      <c r="U18" s="5">
        <v>1</v>
      </c>
      <c r="V18" s="5">
        <f>$K18*((5+4*$G18)/10+LOG(_xlfn.XLOOKUP($A18,growth[Turn],growth[GHP]))*0.25)</f>
        <v>16.831118556103096</v>
      </c>
      <c r="W18" s="5">
        <v>1</v>
      </c>
      <c r="X18" s="5">
        <f>$K18*((5+4*$G18)/10+LOG(_xlfn.XLOOKUP($A18,growth[Turn],growth[GHP]))*0.25)</f>
        <v>16.831118556103096</v>
      </c>
      <c r="Y18" s="23">
        <f>SUM($F18,$I18,$L18,$N18,$P18,$R18,$T18,$V18,$X18)</f>
        <v>251.80011167487973</v>
      </c>
      <c r="Z18" s="23">
        <f>$C18-$Y18</f>
        <v>46.574861326564786</v>
      </c>
      <c r="AA18" t="b">
        <f>IF($Y18&lt;$C18,TRUE,FALSE)</f>
        <v>1</v>
      </c>
    </row>
    <row r="19" spans="1:27" x14ac:dyDescent="0.25">
      <c r="A19" s="13">
        <v>18</v>
      </c>
      <c r="B19" s="5">
        <f>_xlfn.XLOOKUP($A19,growth[Turn],growth[NHV])</f>
        <v>1014.4749082049113</v>
      </c>
      <c r="C19" s="5">
        <f>$B19*_xlfn.XLOOKUP($A19,budget[Turn],budget[R&amp;D])</f>
        <v>304.34247246147339</v>
      </c>
      <c r="D19" s="5">
        <f>_xlfn.XLOOKUP($A19,growth[Turn],growth[EL])</f>
        <v>3</v>
      </c>
      <c r="E19" s="24">
        <f>_xlfn.XLOOKUP($D19+1,el[EL Level],el[ERP Cost])/COUNT(D$15:D$20)</f>
        <v>13.333333333333334</v>
      </c>
      <c r="F19" s="23">
        <f>$E19*(5+LOG(_xlfn.XLOOKUP($A19,growth[Turn],growth[GHP]),10))</f>
        <v>110.76361740565029</v>
      </c>
      <c r="G19" s="5">
        <f>_xlfn.XLOOKUP($A19,growth[Turn],growth[SL])</f>
        <v>3</v>
      </c>
      <c r="H19" s="34">
        <f>_xlfn.XLOOKUP($G19+1,sl[SL],sl[SRP Cost])/COUNT(G$15:G$20)</f>
        <v>6.666666666666667</v>
      </c>
      <c r="I19" s="5">
        <f t="shared" si="0"/>
        <v>23.333333333333336</v>
      </c>
      <c r="J19" s="5">
        <v>3</v>
      </c>
      <c r="K19" s="5">
        <f>_xlfn.XLOOKUP($J19+1,tech[Tech Level],tech[TRP Cost])/COUNT(H$15:H$20)</f>
        <v>6.666666666666667</v>
      </c>
      <c r="L19" s="5">
        <f>$K19*((5+4*$G19)/10+LOG(_xlfn.XLOOKUP($A19,growth[Turn],growth[GHP]))*0.25)</f>
        <v>16.845452175706289</v>
      </c>
      <c r="M19" s="5">
        <v>3</v>
      </c>
      <c r="N19" s="5">
        <f>$K19*((5+4*$G19)/10+LOG(_xlfn.XLOOKUP($A19,growth[Turn],growth[GHP]))*0.25)</f>
        <v>16.845452175706289</v>
      </c>
      <c r="O19" s="5">
        <v>3</v>
      </c>
      <c r="P19" s="5">
        <f>$K19*((5+4*$G19)/10+LOG(_xlfn.XLOOKUP($A19,growth[Turn],growth[GHP]))*0.25)</f>
        <v>16.845452175706289</v>
      </c>
      <c r="Q19" s="5">
        <v>3</v>
      </c>
      <c r="R19" s="5">
        <f>$K19*((5+4*$G19)/10+LOG(_xlfn.XLOOKUP($A19,growth[Turn],growth[GHP]))*0.25)</f>
        <v>16.845452175706289</v>
      </c>
      <c r="S19" s="5">
        <v>3</v>
      </c>
      <c r="T19" s="5">
        <f>$K19*((5+4*$G19)/10+LOG(_xlfn.XLOOKUP($A19,growth[Turn],growth[GHP]))*0.25)</f>
        <v>16.845452175706289</v>
      </c>
      <c r="U19" s="5">
        <v>1</v>
      </c>
      <c r="V19" s="5">
        <f>$K19*((5+4*$G19)/10+LOG(_xlfn.XLOOKUP($A19,growth[Turn],growth[GHP]))*0.25)</f>
        <v>16.845452175706289</v>
      </c>
      <c r="W19" s="5">
        <v>1</v>
      </c>
      <c r="X19" s="5">
        <f>$K19*((5+4*$G19)/10+LOG(_xlfn.XLOOKUP($A19,growth[Turn],growth[GHP]))*0.25)</f>
        <v>16.845452175706289</v>
      </c>
      <c r="Y19" s="23">
        <f>SUM($F19,$I19,$L19,$N19,$P19,$R19,$T19,$V19,$X19)</f>
        <v>252.01511596892772</v>
      </c>
      <c r="Z19" s="23">
        <f>$C19-$Y19</f>
        <v>52.327356492545675</v>
      </c>
      <c r="AA19" t="b">
        <f>IF($Y19&lt;$C19,TRUE,FALSE)</f>
        <v>1</v>
      </c>
    </row>
    <row r="20" spans="1:27" x14ac:dyDescent="0.25">
      <c r="A20" s="13">
        <v>19</v>
      </c>
      <c r="B20" s="5">
        <f>_xlfn.XLOOKUP($A20,growth[Turn],growth[NHV])</f>
        <v>1034.7644063690097</v>
      </c>
      <c r="C20" s="5">
        <f>$B20*_xlfn.XLOOKUP($A20,budget[Turn],budget[R&amp;D])</f>
        <v>310.42932191070292</v>
      </c>
      <c r="D20" s="5">
        <f>_xlfn.XLOOKUP($A20,growth[Turn],growth[EL])</f>
        <v>3</v>
      </c>
      <c r="E20" s="24">
        <f>_xlfn.XLOOKUP($D20+1,el[EL Level],el[ERP Cost])/COUNT(D$15:D$20)</f>
        <v>13.333333333333334</v>
      </c>
      <c r="F20" s="23">
        <f>$E20*(5+LOG(_xlfn.XLOOKUP($A20,growth[Turn],growth[GHP]),10))</f>
        <v>110.87828636247589</v>
      </c>
      <c r="G20" s="5">
        <f>_xlfn.XLOOKUP($A20,growth[Turn],growth[SL])</f>
        <v>3</v>
      </c>
      <c r="H20" s="34">
        <f>_xlfn.XLOOKUP($G20+1,sl[SL],sl[SRP Cost])/COUNT(G$15:G$20)</f>
        <v>6.666666666666667</v>
      </c>
      <c r="I20" s="5">
        <f t="shared" si="0"/>
        <v>23.333333333333336</v>
      </c>
      <c r="J20" s="5">
        <v>3</v>
      </c>
      <c r="K20" s="5">
        <f>_xlfn.XLOOKUP($J20+1,tech[Tech Level],tech[TRP Cost])/COUNT(H$15:H$20)</f>
        <v>6.666666666666667</v>
      </c>
      <c r="L20" s="5">
        <f>$K20*((5+4*$G20)/10+LOG(_xlfn.XLOOKUP($A20,growth[Turn],growth[GHP]))*0.25)</f>
        <v>16.859785795309485</v>
      </c>
      <c r="M20" s="5">
        <v>3</v>
      </c>
      <c r="N20" s="5">
        <f>$K20*((5+4*$G20)/10+LOG(_xlfn.XLOOKUP($A20,growth[Turn],growth[GHP]))*0.25)</f>
        <v>16.859785795309485</v>
      </c>
      <c r="O20" s="5">
        <v>3</v>
      </c>
      <c r="P20" s="5">
        <f>$K20*((5+4*$G20)/10+LOG(_xlfn.XLOOKUP($A20,growth[Turn],growth[GHP]))*0.25)</f>
        <v>16.859785795309485</v>
      </c>
      <c r="Q20" s="5">
        <v>3</v>
      </c>
      <c r="R20" s="5">
        <f>$K20*((5+4*$G20)/10+LOG(_xlfn.XLOOKUP($A20,growth[Turn],growth[GHP]))*0.25)</f>
        <v>16.859785795309485</v>
      </c>
      <c r="S20" s="5">
        <v>3</v>
      </c>
      <c r="T20" s="5">
        <f>$K20*((5+4*$G20)/10+LOG(_xlfn.XLOOKUP($A20,growth[Turn],growth[GHP]))*0.25)</f>
        <v>16.859785795309485</v>
      </c>
      <c r="U20" s="5">
        <v>1</v>
      </c>
      <c r="V20" s="5">
        <f>$K20*((5+4*$G20)/10+LOG(_xlfn.XLOOKUP($A20,growth[Turn],growth[GHP]))*0.25)</f>
        <v>16.859785795309485</v>
      </c>
      <c r="W20" s="5">
        <v>1</v>
      </c>
      <c r="X20" s="5">
        <f>$K20*((5+4*$G20)/10+LOG(_xlfn.XLOOKUP($A20,growth[Turn],growth[GHP]))*0.25)</f>
        <v>16.859785795309485</v>
      </c>
      <c r="Y20" s="23">
        <f>SUM($F20,$I20,$L20,$N20,$P20,$R20,$T20,$V20,$X20)</f>
        <v>252.23012026297556</v>
      </c>
      <c r="Z20" s="23">
        <f>$C20-$Y20</f>
        <v>58.199201647727364</v>
      </c>
      <c r="AA20" t="b">
        <f>IF($Y20&lt;$C20,TRUE,FALSE)</f>
        <v>1</v>
      </c>
    </row>
    <row r="21" spans="1:27" x14ac:dyDescent="0.25">
      <c r="A21" s="12">
        <v>20</v>
      </c>
      <c r="B21" s="5">
        <f>_xlfn.XLOOKUP($A21,growth[Turn],growth[NHV])</f>
        <v>1101.3492464310157</v>
      </c>
      <c r="C21" s="5">
        <f>$B21*_xlfn.XLOOKUP($A21,budget[Turn],budget[R&amp;D])</f>
        <v>330.40477392930467</v>
      </c>
      <c r="D21" s="5">
        <f>_xlfn.XLOOKUP($A21,growth[Turn],growth[EL])</f>
        <v>4</v>
      </c>
      <c r="E21" s="25">
        <f>_xlfn.XLOOKUP($D21+1,el[EL Level],el[ERP Cost])/COUNT(D$21:D$27)</f>
        <v>12.857142857142858</v>
      </c>
      <c r="F21" s="23">
        <f>$E21*(5+LOG(_xlfn.XLOOKUP($A21,growth[Turn],growth[GHP]),10))</f>
        <v>107.26656498824941</v>
      </c>
      <c r="G21" s="5">
        <f>_xlfn.XLOOKUP($A21,growth[Turn],growth[SL])</f>
        <v>4</v>
      </c>
      <c r="H21" s="26">
        <f>_xlfn.XLOOKUP($G21+1,sl[SL],sl[SRP Cost])/COUNT(G$21:G$27)</f>
        <v>6.4285714285714288</v>
      </c>
      <c r="I21" s="5">
        <f t="shared" si="0"/>
        <v>25.714285714285715</v>
      </c>
      <c r="J21" s="5">
        <v>4</v>
      </c>
      <c r="K21" s="5">
        <f>_xlfn.XLOOKUP($J21+1,tech[Tech Level],tech[TRP Cost])/COUNT(H$21:H$27)</f>
        <v>6.4285714285714288</v>
      </c>
      <c r="L21" s="5">
        <f>$K21*((5+4*$G21)/10+LOG(_xlfn.XLOOKUP($A21,growth[Turn],growth[GHP]))*0.25)</f>
        <v>18.872606337816894</v>
      </c>
      <c r="M21" s="5">
        <v>4</v>
      </c>
      <c r="N21" s="5">
        <f>$K21*((5+4*$G21)/10+LOG(_xlfn.XLOOKUP($A21,growth[Turn],growth[GHP]))*0.25)</f>
        <v>18.872606337816894</v>
      </c>
      <c r="O21" s="5">
        <v>4</v>
      </c>
      <c r="P21" s="5">
        <f>$K21*((5+4*$G21)/10+LOG(_xlfn.XLOOKUP($A21,growth[Turn],growth[GHP]))*0.25)</f>
        <v>18.872606337816894</v>
      </c>
      <c r="Q21" s="5">
        <v>4</v>
      </c>
      <c r="R21" s="5">
        <f>$K21*((5+4*$G21)/10+LOG(_xlfn.XLOOKUP($A21,growth[Turn],growth[GHP]))*0.25)</f>
        <v>18.872606337816894</v>
      </c>
      <c r="S21" s="5">
        <v>4</v>
      </c>
      <c r="T21" s="5">
        <f>$K21*((5+4*$G21)/10+LOG(_xlfn.XLOOKUP($A21,growth[Turn],growth[GHP]))*0.25)</f>
        <v>18.872606337816894</v>
      </c>
      <c r="U21" s="5">
        <v>2</v>
      </c>
      <c r="V21" s="5">
        <f>$K21*((5+4*$G21)/10+LOG(_xlfn.XLOOKUP($A21,growth[Turn],growth[GHP]))*0.25)</f>
        <v>18.872606337816894</v>
      </c>
      <c r="W21" s="5">
        <v>2</v>
      </c>
      <c r="X21" s="5">
        <f>$K21*((5+4*$G21)/10+LOG(_xlfn.XLOOKUP($A21,growth[Turn],growth[GHP]))*0.25)</f>
        <v>18.872606337816894</v>
      </c>
      <c r="Y21" s="23">
        <f>SUM($F21,$I21,$L21,$N21,$P21,$R21,$T21,$V21,$X21)</f>
        <v>265.08909506725342</v>
      </c>
      <c r="Z21" s="23">
        <f>$C21-$Y21</f>
        <v>65.315678862051243</v>
      </c>
      <c r="AA21" t="b">
        <f>IF($Y21&lt;$C21,TRUE,FALSE)</f>
        <v>1</v>
      </c>
    </row>
    <row r="22" spans="1:27" x14ac:dyDescent="0.25">
      <c r="A22" s="13">
        <v>21</v>
      </c>
      <c r="B22" s="5">
        <f>_xlfn.XLOOKUP($A22,growth[Turn],growth[NHV])</f>
        <v>1123.376231359636</v>
      </c>
      <c r="C22" s="5">
        <f>$B22*_xlfn.XLOOKUP($A22,budget[Turn],budget[R&amp;D])</f>
        <v>337.01286940789078</v>
      </c>
      <c r="D22" s="5">
        <f>_xlfn.XLOOKUP($A22,growth[Turn],growth[EL])</f>
        <v>4</v>
      </c>
      <c r="E22" s="25">
        <f>_xlfn.XLOOKUP($D22+1,el[EL Level],el[ERP Cost])/COUNT(D$21:D$27)</f>
        <v>12.857142857142858</v>
      </c>
      <c r="F22" s="23">
        <f>$E22*(5+LOG(_xlfn.XLOOKUP($A22,growth[Turn],growth[GHP]),10))</f>
        <v>107.37713862518837</v>
      </c>
      <c r="G22" s="5">
        <f>_xlfn.XLOOKUP($A22,growth[Turn],growth[SL])</f>
        <v>4</v>
      </c>
      <c r="H22" s="26">
        <f>_xlfn.XLOOKUP($G22+1,sl[SL],sl[SRP Cost])/COUNT(G$21:G$27)</f>
        <v>6.4285714285714288</v>
      </c>
      <c r="I22" s="5">
        <f t="shared" si="0"/>
        <v>25.714285714285715</v>
      </c>
      <c r="J22" s="5">
        <v>4</v>
      </c>
      <c r="K22" s="5">
        <f>_xlfn.XLOOKUP($J22+1,tech[Tech Level],tech[TRP Cost])/COUNT(H$21:H$27)</f>
        <v>6.4285714285714288</v>
      </c>
      <c r="L22" s="5">
        <f>$K22*((5+4*$G22)/10+LOG(_xlfn.XLOOKUP($A22,growth[Turn],growth[GHP]))*0.25)</f>
        <v>18.886428042434261</v>
      </c>
      <c r="M22" s="5">
        <v>4</v>
      </c>
      <c r="N22" s="5">
        <f>$K22*((5+4*$G22)/10+LOG(_xlfn.XLOOKUP($A22,growth[Turn],growth[GHP]))*0.25)</f>
        <v>18.886428042434261</v>
      </c>
      <c r="O22" s="5">
        <v>4</v>
      </c>
      <c r="P22" s="5">
        <f>$K22*((5+4*$G22)/10+LOG(_xlfn.XLOOKUP($A22,growth[Turn],growth[GHP]))*0.25)</f>
        <v>18.886428042434261</v>
      </c>
      <c r="Q22" s="5">
        <v>4</v>
      </c>
      <c r="R22" s="5">
        <f>$K22*((5+4*$G22)/10+LOG(_xlfn.XLOOKUP($A22,growth[Turn],growth[GHP]))*0.25)</f>
        <v>18.886428042434261</v>
      </c>
      <c r="S22" s="5">
        <v>4</v>
      </c>
      <c r="T22" s="5">
        <f>$K22*((5+4*$G22)/10+LOG(_xlfn.XLOOKUP($A22,growth[Turn],growth[GHP]))*0.25)</f>
        <v>18.886428042434261</v>
      </c>
      <c r="U22" s="5">
        <v>2</v>
      </c>
      <c r="V22" s="5">
        <f>$K22*((5+4*$G22)/10+LOG(_xlfn.XLOOKUP($A22,growth[Turn],growth[GHP]))*0.25)</f>
        <v>18.886428042434261</v>
      </c>
      <c r="W22" s="5">
        <v>2</v>
      </c>
      <c r="X22" s="5">
        <f>$K22*((5+4*$G22)/10+LOG(_xlfn.XLOOKUP($A22,growth[Turn],growth[GHP]))*0.25)</f>
        <v>18.886428042434261</v>
      </c>
      <c r="Y22" s="23">
        <f>SUM($F22,$I22,$L22,$N22,$P22,$R22,$T22,$V22,$X22)</f>
        <v>265.29642063651391</v>
      </c>
      <c r="Z22" s="23">
        <f>$C22-$Y22</f>
        <v>71.716448771376861</v>
      </c>
      <c r="AA22" t="b">
        <f>IF($Y22&lt;$C22,TRUE,FALSE)</f>
        <v>1</v>
      </c>
    </row>
    <row r="23" spans="1:27" x14ac:dyDescent="0.25">
      <c r="A23" s="13">
        <v>22</v>
      </c>
      <c r="B23" s="5">
        <f>_xlfn.XLOOKUP($A23,growth[Turn],growth[NHV])</f>
        <v>1145.8437559868287</v>
      </c>
      <c r="C23" s="5">
        <f>$B23*_xlfn.XLOOKUP($A23,budget[Turn],budget[R&amp;D])</f>
        <v>343.7531267960486</v>
      </c>
      <c r="D23" s="5">
        <f>_xlfn.XLOOKUP($A23,growth[Turn],growth[EL])</f>
        <v>4</v>
      </c>
      <c r="E23" s="25">
        <f>_xlfn.XLOOKUP($D23+1,el[EL Level],el[ERP Cost])/COUNT(D$21:D$27)</f>
        <v>12.857142857142858</v>
      </c>
      <c r="F23" s="23">
        <f>$E23*(5+LOG(_xlfn.XLOOKUP($A23,growth[Turn],growth[GHP]),10))</f>
        <v>107.4877122621273</v>
      </c>
      <c r="G23" s="5">
        <f>_xlfn.XLOOKUP($A23,growth[Turn],growth[SL])</f>
        <v>4</v>
      </c>
      <c r="H23" s="26">
        <f>_xlfn.XLOOKUP($G23+1,sl[SL],sl[SRP Cost])/COUNT(G$21:G$27)</f>
        <v>6.4285714285714288</v>
      </c>
      <c r="I23" s="5">
        <f t="shared" si="0"/>
        <v>25.714285714285715</v>
      </c>
      <c r="J23" s="5">
        <v>4</v>
      </c>
      <c r="K23" s="5">
        <f>_xlfn.XLOOKUP($J23+1,tech[Tech Level],tech[TRP Cost])/COUNT(H$21:H$27)</f>
        <v>6.4285714285714288</v>
      </c>
      <c r="L23" s="5">
        <f>$K23*((5+4*$G23)/10+LOG(_xlfn.XLOOKUP($A23,growth[Turn],growth[GHP]))*0.25)</f>
        <v>18.900249747051628</v>
      </c>
      <c r="M23" s="5">
        <v>4</v>
      </c>
      <c r="N23" s="5">
        <f>$K23*((5+4*$G23)/10+LOG(_xlfn.XLOOKUP($A23,growth[Turn],growth[GHP]))*0.25)</f>
        <v>18.900249747051628</v>
      </c>
      <c r="O23" s="5">
        <v>4</v>
      </c>
      <c r="P23" s="5">
        <f>$K23*((5+4*$G23)/10+LOG(_xlfn.XLOOKUP($A23,growth[Turn],growth[GHP]))*0.25)</f>
        <v>18.900249747051628</v>
      </c>
      <c r="Q23" s="5">
        <v>4</v>
      </c>
      <c r="R23" s="5">
        <f>$K23*((5+4*$G23)/10+LOG(_xlfn.XLOOKUP($A23,growth[Turn],growth[GHP]))*0.25)</f>
        <v>18.900249747051628</v>
      </c>
      <c r="S23" s="5">
        <v>4</v>
      </c>
      <c r="T23" s="5">
        <f>$K23*((5+4*$G23)/10+LOG(_xlfn.XLOOKUP($A23,growth[Turn],growth[GHP]))*0.25)</f>
        <v>18.900249747051628</v>
      </c>
      <c r="U23" s="5">
        <v>2</v>
      </c>
      <c r="V23" s="5">
        <f>$K23*((5+4*$G23)/10+LOG(_xlfn.XLOOKUP($A23,growth[Turn],growth[GHP]))*0.25)</f>
        <v>18.900249747051628</v>
      </c>
      <c r="W23" s="5">
        <v>2</v>
      </c>
      <c r="X23" s="5">
        <f>$K23*((5+4*$G23)/10+LOG(_xlfn.XLOOKUP($A23,growth[Turn],growth[GHP]))*0.25)</f>
        <v>18.900249747051628</v>
      </c>
      <c r="Y23" s="23">
        <f>SUM($F23,$I23,$L23,$N23,$P23,$R23,$T23,$V23,$X23)</f>
        <v>265.50374620577435</v>
      </c>
      <c r="Z23" s="23">
        <f>$C23-$Y23</f>
        <v>78.249380590274257</v>
      </c>
      <c r="AA23" t="b">
        <f>IF($Y23&lt;$C23,TRUE,FALSE)</f>
        <v>1</v>
      </c>
    </row>
    <row r="24" spans="1:27" x14ac:dyDescent="0.25">
      <c r="A24" s="13">
        <v>23</v>
      </c>
      <c r="B24" s="5">
        <f>_xlfn.XLOOKUP($A24,growth[Turn],growth[NHV])</f>
        <v>1168.7606311065654</v>
      </c>
      <c r="C24" s="5">
        <f>$B24*_xlfn.XLOOKUP($A24,budget[Turn],budget[R&amp;D])</f>
        <v>350.62818933196962</v>
      </c>
      <c r="D24" s="5">
        <f>_xlfn.XLOOKUP($A24,growth[Turn],growth[EL])</f>
        <v>4</v>
      </c>
      <c r="E24" s="25">
        <f>_xlfn.XLOOKUP($D24+1,el[EL Level],el[ERP Cost])/COUNT(D$21:D$27)</f>
        <v>12.857142857142858</v>
      </c>
      <c r="F24" s="23">
        <f>$E24*(5+LOG(_xlfn.XLOOKUP($A24,growth[Turn],growth[GHP]),10))</f>
        <v>107.59828589906623</v>
      </c>
      <c r="G24" s="5">
        <f>_xlfn.XLOOKUP($A24,growth[Turn],growth[SL])</f>
        <v>4</v>
      </c>
      <c r="H24" s="26">
        <f>_xlfn.XLOOKUP($G24+1,sl[SL],sl[SRP Cost])/COUNT(G$21:G$27)</f>
        <v>6.4285714285714288</v>
      </c>
      <c r="I24" s="5">
        <f t="shared" si="0"/>
        <v>25.714285714285715</v>
      </c>
      <c r="J24" s="5">
        <v>4</v>
      </c>
      <c r="K24" s="5">
        <f>_xlfn.XLOOKUP($J24+1,tech[Tech Level],tech[TRP Cost])/COUNT(H$21:H$27)</f>
        <v>6.4285714285714288</v>
      </c>
      <c r="L24" s="5">
        <f>$K24*((5+4*$G24)/10+LOG(_xlfn.XLOOKUP($A24,growth[Turn],growth[GHP]))*0.25)</f>
        <v>18.914071451668995</v>
      </c>
      <c r="M24" s="5">
        <v>4</v>
      </c>
      <c r="N24" s="5">
        <f>$K24*((5+4*$G24)/10+LOG(_xlfn.XLOOKUP($A24,growth[Turn],growth[GHP]))*0.25)</f>
        <v>18.914071451668995</v>
      </c>
      <c r="O24" s="5">
        <v>4</v>
      </c>
      <c r="P24" s="5">
        <f>$K24*((5+4*$G24)/10+LOG(_xlfn.XLOOKUP($A24,growth[Turn],growth[GHP]))*0.25)</f>
        <v>18.914071451668995</v>
      </c>
      <c r="Q24" s="5">
        <v>4</v>
      </c>
      <c r="R24" s="5">
        <f>$K24*((5+4*$G24)/10+LOG(_xlfn.XLOOKUP($A24,growth[Turn],growth[GHP]))*0.25)</f>
        <v>18.914071451668995</v>
      </c>
      <c r="S24" s="5">
        <v>4</v>
      </c>
      <c r="T24" s="5">
        <f>$K24*((5+4*$G24)/10+LOG(_xlfn.XLOOKUP($A24,growth[Turn],growth[GHP]))*0.25)</f>
        <v>18.914071451668995</v>
      </c>
      <c r="U24" s="5">
        <v>2</v>
      </c>
      <c r="V24" s="5">
        <f>$K24*((5+4*$G24)/10+LOG(_xlfn.XLOOKUP($A24,growth[Turn],growth[GHP]))*0.25)</f>
        <v>18.914071451668995</v>
      </c>
      <c r="W24" s="5">
        <v>2</v>
      </c>
      <c r="X24" s="5">
        <f>$K24*((5+4*$G24)/10+LOG(_xlfn.XLOOKUP($A24,growth[Turn],growth[GHP]))*0.25)</f>
        <v>18.914071451668995</v>
      </c>
      <c r="Y24" s="23">
        <f>SUM($F24,$I24,$L24,$N24,$P24,$R24,$T24,$V24,$X24)</f>
        <v>265.71107177503495</v>
      </c>
      <c r="Z24" s="23">
        <f>$C24-$Y24</f>
        <v>84.91711755693467</v>
      </c>
      <c r="AA24" t="b">
        <f>IF($Y24&lt;$C24,TRUE,FALSE)</f>
        <v>1</v>
      </c>
    </row>
    <row r="25" spans="1:27" x14ac:dyDescent="0.25">
      <c r="A25" s="13">
        <v>24</v>
      </c>
      <c r="B25" s="5">
        <f>_xlfn.XLOOKUP($A25,growth[Turn],growth[NHV])</f>
        <v>1192.1358437286965</v>
      </c>
      <c r="C25" s="5">
        <f>$B25*_xlfn.XLOOKUP($A25,budget[Turn],budget[R&amp;D])</f>
        <v>357.64075311860893</v>
      </c>
      <c r="D25" s="5">
        <f>_xlfn.XLOOKUP($A25,growth[Turn],growth[EL])</f>
        <v>4</v>
      </c>
      <c r="E25" s="25">
        <f>_xlfn.XLOOKUP($D25+1,el[EL Level],el[ERP Cost])/COUNT(D$21:D$27)</f>
        <v>12.857142857142858</v>
      </c>
      <c r="F25" s="23">
        <f>$E25*(5+LOG(_xlfn.XLOOKUP($A25,growth[Turn],growth[GHP]),10))</f>
        <v>107.70885953600518</v>
      </c>
      <c r="G25" s="5">
        <f>_xlfn.XLOOKUP($A25,growth[Turn],growth[SL])</f>
        <v>4</v>
      </c>
      <c r="H25" s="26">
        <f>_xlfn.XLOOKUP($G25+1,sl[SL],sl[SRP Cost])/COUNT(G$21:G$27)</f>
        <v>6.4285714285714288</v>
      </c>
      <c r="I25" s="5">
        <f t="shared" si="0"/>
        <v>25.714285714285715</v>
      </c>
      <c r="J25" s="5">
        <v>4</v>
      </c>
      <c r="K25" s="5">
        <f>_xlfn.XLOOKUP($J25+1,tech[Tech Level],tech[TRP Cost])/COUNT(H$21:H$27)</f>
        <v>6.4285714285714288</v>
      </c>
      <c r="L25" s="5">
        <f>$K25*((5+4*$G25)/10+LOG(_xlfn.XLOOKUP($A25,growth[Turn],growth[GHP]))*0.25)</f>
        <v>18.927893156286363</v>
      </c>
      <c r="M25" s="5">
        <v>4</v>
      </c>
      <c r="N25" s="5">
        <f>$K25*((5+4*$G25)/10+LOG(_xlfn.XLOOKUP($A25,growth[Turn],growth[GHP]))*0.25)</f>
        <v>18.927893156286363</v>
      </c>
      <c r="O25" s="5">
        <v>4</v>
      </c>
      <c r="P25" s="5">
        <f>$K25*((5+4*$G25)/10+LOG(_xlfn.XLOOKUP($A25,growth[Turn],growth[GHP]))*0.25)</f>
        <v>18.927893156286363</v>
      </c>
      <c r="Q25" s="5">
        <v>4</v>
      </c>
      <c r="R25" s="5">
        <f>$K25*((5+4*$G25)/10+LOG(_xlfn.XLOOKUP($A25,growth[Turn],growth[GHP]))*0.25)</f>
        <v>18.927893156286363</v>
      </c>
      <c r="S25" s="5">
        <v>4</v>
      </c>
      <c r="T25" s="5">
        <f>$K25*((5+4*$G25)/10+LOG(_xlfn.XLOOKUP($A25,growth[Turn],growth[GHP]))*0.25)</f>
        <v>18.927893156286363</v>
      </c>
      <c r="U25" s="5">
        <v>2</v>
      </c>
      <c r="V25" s="5">
        <f>$K25*((5+4*$G25)/10+LOG(_xlfn.XLOOKUP($A25,growth[Turn],growth[GHP]))*0.25)</f>
        <v>18.927893156286363</v>
      </c>
      <c r="W25" s="5">
        <v>2</v>
      </c>
      <c r="X25" s="5">
        <f>$K25*((5+4*$G25)/10+LOG(_xlfn.XLOOKUP($A25,growth[Turn],growth[GHP]))*0.25)</f>
        <v>18.927893156286363</v>
      </c>
      <c r="Y25" s="23">
        <f>SUM($F25,$I25,$L25,$N25,$P25,$R25,$T25,$V25,$X25)</f>
        <v>265.91839734429544</v>
      </c>
      <c r="Z25" s="23">
        <f>$C25-$Y25</f>
        <v>91.722355774313485</v>
      </c>
      <c r="AA25" t="b">
        <f>IF($Y25&lt;$C25,TRUE,FALSE)</f>
        <v>1</v>
      </c>
    </row>
    <row r="26" spans="1:27" x14ac:dyDescent="0.25">
      <c r="A26" s="13">
        <v>25</v>
      </c>
      <c r="B26" s="5">
        <f>_xlfn.XLOOKUP($A26,growth[Turn],growth[NHV])</f>
        <v>1215.9785606032706</v>
      </c>
      <c r="C26" s="5">
        <f>$B26*_xlfn.XLOOKUP($A26,budget[Turn],budget[R&amp;D])</f>
        <v>364.79356818098114</v>
      </c>
      <c r="D26" s="5">
        <f>_xlfn.XLOOKUP($A26,growth[Turn],growth[EL])</f>
        <v>4</v>
      </c>
      <c r="E26" s="25">
        <f>_xlfn.XLOOKUP($D26+1,el[EL Level],el[ERP Cost])/COUNT(D$21:D$27)</f>
        <v>12.857142857142858</v>
      </c>
      <c r="F26" s="23">
        <f>$E26*(5+LOG(_xlfn.XLOOKUP($A26,growth[Turn],growth[GHP]),10))</f>
        <v>107.81943317294412</v>
      </c>
      <c r="G26" s="5">
        <f>_xlfn.XLOOKUP($A26,growth[Turn],growth[SL])</f>
        <v>4</v>
      </c>
      <c r="H26" s="26">
        <f>_xlfn.XLOOKUP($G26+1,sl[SL],sl[SRP Cost])/COUNT(G$21:G$27)</f>
        <v>6.4285714285714288</v>
      </c>
      <c r="I26" s="5">
        <f t="shared" si="0"/>
        <v>25.714285714285715</v>
      </c>
      <c r="J26" s="5">
        <v>4</v>
      </c>
      <c r="K26" s="5">
        <f>_xlfn.XLOOKUP($J26+1,tech[Tech Level],tech[TRP Cost])/COUNT(H$21:H$27)</f>
        <v>6.4285714285714288</v>
      </c>
      <c r="L26" s="5">
        <f>$K26*((5+4*$G26)/10+LOG(_xlfn.XLOOKUP($A26,growth[Turn],growth[GHP]))*0.25)</f>
        <v>18.94171486090373</v>
      </c>
      <c r="M26" s="5">
        <v>4</v>
      </c>
      <c r="N26" s="5">
        <f>$K26*((5+4*$G26)/10+LOG(_xlfn.XLOOKUP($A26,growth[Turn],growth[GHP]))*0.25)</f>
        <v>18.94171486090373</v>
      </c>
      <c r="O26" s="5">
        <v>4</v>
      </c>
      <c r="P26" s="5">
        <f>$K26*((5+4*$G26)/10+LOG(_xlfn.XLOOKUP($A26,growth[Turn],growth[GHP]))*0.25)</f>
        <v>18.94171486090373</v>
      </c>
      <c r="Q26" s="5">
        <v>4</v>
      </c>
      <c r="R26" s="5">
        <f>$K26*((5+4*$G26)/10+LOG(_xlfn.XLOOKUP($A26,growth[Turn],growth[GHP]))*0.25)</f>
        <v>18.94171486090373</v>
      </c>
      <c r="S26" s="5">
        <v>4</v>
      </c>
      <c r="T26" s="5">
        <f>$K26*((5+4*$G26)/10+LOG(_xlfn.XLOOKUP($A26,growth[Turn],growth[GHP]))*0.25)</f>
        <v>18.94171486090373</v>
      </c>
      <c r="U26" s="5">
        <v>2</v>
      </c>
      <c r="V26" s="5">
        <f>$K26*((5+4*$G26)/10+LOG(_xlfn.XLOOKUP($A26,growth[Turn],growth[GHP]))*0.25)</f>
        <v>18.94171486090373</v>
      </c>
      <c r="W26" s="5">
        <v>2</v>
      </c>
      <c r="X26" s="5">
        <f>$K26*((5+4*$G26)/10+LOG(_xlfn.XLOOKUP($A26,growth[Turn],growth[GHP]))*0.25)</f>
        <v>18.94171486090373</v>
      </c>
      <c r="Y26" s="23">
        <f>SUM($F26,$I26,$L26,$N26,$P26,$R26,$T26,$V26,$X26)</f>
        <v>266.12572291355605</v>
      </c>
      <c r="Z26" s="23">
        <f>$C26-$Y26</f>
        <v>98.667845267425093</v>
      </c>
      <c r="AA26" t="b">
        <f>IF($Y26&lt;$C26,TRUE,FALSE)</f>
        <v>1</v>
      </c>
    </row>
    <row r="27" spans="1:27" x14ac:dyDescent="0.25">
      <c r="A27" s="13">
        <v>26</v>
      </c>
      <c r="B27" s="5">
        <f>_xlfn.XLOOKUP($A27,growth[Turn],growth[NHV])</f>
        <v>1240.2981318153361</v>
      </c>
      <c r="C27" s="5">
        <f>$B27*_xlfn.XLOOKUP($A27,budget[Turn],budget[R&amp;D])</f>
        <v>372.08943954460079</v>
      </c>
      <c r="D27" s="5">
        <f>_xlfn.XLOOKUP($A27,growth[Turn],growth[EL])</f>
        <v>4</v>
      </c>
      <c r="E27" s="25">
        <f>_xlfn.XLOOKUP($D27+1,el[EL Level],el[ERP Cost])/COUNT(D$21:D$27)</f>
        <v>12.857142857142858</v>
      </c>
      <c r="F27" s="23">
        <f>$E27*(5+LOG(_xlfn.XLOOKUP($A27,growth[Turn],growth[GHP]),10))</f>
        <v>107.93000680988307</v>
      </c>
      <c r="G27" s="5">
        <f>_xlfn.XLOOKUP($A27,growth[Turn],growth[SL])</f>
        <v>4</v>
      </c>
      <c r="H27" s="26">
        <f>_xlfn.XLOOKUP($G27+1,sl[SL],sl[SRP Cost])/COUNT(G$21:G$27)</f>
        <v>6.4285714285714288</v>
      </c>
      <c r="I27" s="5">
        <f t="shared" si="0"/>
        <v>25.714285714285715</v>
      </c>
      <c r="J27" s="5">
        <v>4</v>
      </c>
      <c r="K27" s="5">
        <f>_xlfn.XLOOKUP($J27+1,tech[Tech Level],tech[TRP Cost])/COUNT(H$21:H$27)</f>
        <v>6.4285714285714288</v>
      </c>
      <c r="L27" s="5">
        <f>$K27*((5+4*$G27)/10+LOG(_xlfn.XLOOKUP($A27,growth[Turn],growth[GHP]))*0.25)</f>
        <v>18.955536565521097</v>
      </c>
      <c r="M27" s="5">
        <v>4</v>
      </c>
      <c r="N27" s="5">
        <f>$K27*((5+4*$G27)/10+LOG(_xlfn.XLOOKUP($A27,growth[Turn],growth[GHP]))*0.25)</f>
        <v>18.955536565521097</v>
      </c>
      <c r="O27" s="5">
        <v>4</v>
      </c>
      <c r="P27" s="5">
        <f>$K27*((5+4*$G27)/10+LOG(_xlfn.XLOOKUP($A27,growth[Turn],growth[GHP]))*0.25)</f>
        <v>18.955536565521097</v>
      </c>
      <c r="Q27" s="5">
        <v>4</v>
      </c>
      <c r="R27" s="5">
        <f>$K27*((5+4*$G27)/10+LOG(_xlfn.XLOOKUP($A27,growth[Turn],growth[GHP]))*0.25)</f>
        <v>18.955536565521097</v>
      </c>
      <c r="S27" s="5">
        <v>4</v>
      </c>
      <c r="T27" s="5">
        <f>$K27*((5+4*$G27)/10+LOG(_xlfn.XLOOKUP($A27,growth[Turn],growth[GHP]))*0.25)</f>
        <v>18.955536565521097</v>
      </c>
      <c r="U27" s="5">
        <v>2</v>
      </c>
      <c r="V27" s="5">
        <f>$K27*((5+4*$G27)/10+LOG(_xlfn.XLOOKUP($A27,growth[Turn],growth[GHP]))*0.25)</f>
        <v>18.955536565521097</v>
      </c>
      <c r="W27" s="5">
        <v>2</v>
      </c>
      <c r="X27" s="5">
        <f>$K27*((5+4*$G27)/10+LOG(_xlfn.XLOOKUP($A27,growth[Turn],growth[GHP]))*0.25)</f>
        <v>18.955536565521097</v>
      </c>
      <c r="Y27" s="23">
        <f>SUM($F27,$I27,$L27,$N27,$P27,$R27,$T27,$V27,$X27)</f>
        <v>266.33304848281648</v>
      </c>
      <c r="Z27" s="23">
        <f>$C27-$Y27</f>
        <v>105.75639106178431</v>
      </c>
      <c r="AA27" t="b">
        <f>IF($Y27&lt;$C27,TRUE,FALSE)</f>
        <v>1</v>
      </c>
    </row>
    <row r="28" spans="1:27" x14ac:dyDescent="0.25">
      <c r="A28" s="12">
        <v>27</v>
      </c>
      <c r="B28" s="5">
        <f>_xlfn.XLOOKUP($A28,growth[Turn],growth[NHV])</f>
        <v>1317.8167650537946</v>
      </c>
      <c r="C28" s="5">
        <f>$B28*_xlfn.XLOOKUP($A28,budget[Turn],budget[R&amp;D])</f>
        <v>395.34502951613837</v>
      </c>
      <c r="D28" s="5">
        <f>_xlfn.XLOOKUP($A28,growth[Turn],growth[EL])</f>
        <v>5</v>
      </c>
      <c r="E28" s="24">
        <f>_xlfn.XLOOKUP($D28+1,el[EL Level],el[ERP Cost])/COUNT(D$28:D$33)</f>
        <v>16.666666666666668</v>
      </c>
      <c r="F28" s="23">
        <f>$E28*(5+LOG(_xlfn.XLOOKUP($A28,growth[Turn],growth[GHP]),10))</f>
        <v>140.34808373225795</v>
      </c>
      <c r="G28" s="5">
        <f>_xlfn.XLOOKUP($A28,growth[Turn],growth[SL])</f>
        <v>5</v>
      </c>
      <c r="H28" s="34">
        <f>_xlfn.XLOOKUP($G28+1,sl[SL],sl[SRP Cost])/COUNT(G$28:G$33)</f>
        <v>8.3333333333333339</v>
      </c>
      <c r="I28" s="5">
        <f t="shared" si="0"/>
        <v>37.5</v>
      </c>
      <c r="J28" s="5">
        <v>5</v>
      </c>
      <c r="K28" s="5">
        <f>_xlfn.XLOOKUP($J28+1,tech[Tech Level],tech[TRP Cost])/COUNT(H$28:H$33)</f>
        <v>8.3333333333333339</v>
      </c>
      <c r="L28" s="5">
        <f>$K28*((5+4*$G28)/10+LOG(_xlfn.XLOOKUP($A28,growth[Turn],growth[GHP]))*0.25)</f>
        <v>27.960177133198911</v>
      </c>
      <c r="M28" s="5">
        <v>5</v>
      </c>
      <c r="N28" s="5">
        <f>$K28*((5+4*$G28)/10+LOG(_xlfn.XLOOKUP($A28,growth[Turn],growth[GHP]))*0.25)</f>
        <v>27.960177133198911</v>
      </c>
      <c r="O28" s="5">
        <v>5</v>
      </c>
      <c r="P28" s="5"/>
      <c r="Q28" s="5">
        <v>5</v>
      </c>
      <c r="R28" s="5"/>
      <c r="S28" s="5">
        <v>5</v>
      </c>
      <c r="T28" s="5">
        <f>$K28*((5+4*$G28)/10+LOG(_xlfn.XLOOKUP($A28,growth[Turn],growth[GHP]))*0.25)</f>
        <v>27.960177133198911</v>
      </c>
      <c r="U28" s="5">
        <v>3</v>
      </c>
      <c r="V28" s="5">
        <f>$K28*((5+4*$G28)/10+LOG(_xlfn.XLOOKUP($A28,growth[Turn],growth[GHP]))*0.25)</f>
        <v>27.960177133198911</v>
      </c>
      <c r="W28" s="5">
        <v>3</v>
      </c>
      <c r="X28" s="5">
        <f>$K28*((5+4*$G28)/10+LOG(_xlfn.XLOOKUP($A28,growth[Turn],growth[GHP]))*0.25)</f>
        <v>27.960177133198911</v>
      </c>
      <c r="Y28" s="23">
        <f>SUM($F28,$I28,$L28,$N28,$P28,$R28,$T28,$V28,$X28)</f>
        <v>317.64896939825246</v>
      </c>
      <c r="Z28" s="23">
        <f>$C28-$Y28</f>
        <v>77.696060117885906</v>
      </c>
      <c r="AA28" t="b">
        <f>IF($Y28&lt;$C28,TRUE,FALSE)</f>
        <v>1</v>
      </c>
    </row>
    <row r="29" spans="1:27" x14ac:dyDescent="0.25">
      <c r="A29" s="13">
        <v>28</v>
      </c>
      <c r="B29" s="5">
        <f>_xlfn.XLOOKUP($A29,growth[Turn],growth[NHV])</f>
        <v>1344.1731003548705</v>
      </c>
      <c r="C29" s="5">
        <f>$B29*_xlfn.XLOOKUP($A29,budget[Turn],budget[R&amp;D])</f>
        <v>403.25193010646115</v>
      </c>
      <c r="D29" s="5">
        <f>_xlfn.XLOOKUP($A29,growth[Turn],growth[EL])</f>
        <v>5</v>
      </c>
      <c r="E29" s="24">
        <f>_xlfn.XLOOKUP($D29+1,el[EL Level],el[ERP Cost])/COUNT(D$28:D$33)</f>
        <v>16.666666666666668</v>
      </c>
      <c r="F29" s="23">
        <f>$E29*(5+LOG(_xlfn.XLOOKUP($A29,growth[Turn],growth[GHP]),10))</f>
        <v>140.4914199282899</v>
      </c>
      <c r="G29" s="5">
        <f>_xlfn.XLOOKUP($A29,growth[Turn],growth[SL])</f>
        <v>5</v>
      </c>
      <c r="H29" s="34">
        <f>_xlfn.XLOOKUP($G29+1,sl[SL],sl[SRP Cost])/COUNT(G$28:G$33)</f>
        <v>8.3333333333333339</v>
      </c>
      <c r="I29" s="5">
        <f t="shared" si="0"/>
        <v>37.5</v>
      </c>
      <c r="J29" s="5">
        <v>5</v>
      </c>
      <c r="K29" s="5">
        <f>_xlfn.XLOOKUP($J29+1,tech[Tech Level],tech[TRP Cost])/COUNT(H$28:H$33)</f>
        <v>8.3333333333333339</v>
      </c>
      <c r="L29" s="5">
        <f>$K29*((5+4*$G29)/10+LOG(_xlfn.XLOOKUP($A29,growth[Turn],growth[GHP]))*0.25)</f>
        <v>27.978094157702905</v>
      </c>
      <c r="M29" s="5">
        <v>5</v>
      </c>
      <c r="N29" s="5">
        <f>$K29*((5+4*$G29)/10+LOG(_xlfn.XLOOKUP($A29,growth[Turn],growth[GHP]))*0.25)</f>
        <v>27.978094157702905</v>
      </c>
      <c r="P29" s="5"/>
      <c r="R29" s="5"/>
      <c r="S29" s="5">
        <v>5</v>
      </c>
      <c r="T29" s="5">
        <f>$K29*((5+4*$G29)/10+LOG(_xlfn.XLOOKUP($A29,growth[Turn],growth[GHP]))*0.25)</f>
        <v>27.978094157702905</v>
      </c>
      <c r="U29" s="5">
        <v>3</v>
      </c>
      <c r="V29" s="5">
        <f>$K29*((5+4*$G29)/10+LOG(_xlfn.XLOOKUP($A29,growth[Turn],growth[GHP]))*0.25)</f>
        <v>27.978094157702905</v>
      </c>
      <c r="W29" s="5">
        <v>3</v>
      </c>
      <c r="X29" s="5">
        <f>$K29*((5+4*$G29)/10+LOG(_xlfn.XLOOKUP($A29,growth[Turn],growth[GHP]))*0.25)</f>
        <v>27.978094157702905</v>
      </c>
      <c r="Y29" s="23">
        <f>SUM($F29,$I29,$L29,$N29,$P29,$R29,$T29,$V29,$X29)</f>
        <v>317.88189071680443</v>
      </c>
      <c r="Z29" s="23">
        <f>$C29-$Y29</f>
        <v>85.370039389656711</v>
      </c>
      <c r="AA29" t="b">
        <f>IF($Y29&lt;$C29,TRUE,FALSE)</f>
        <v>1</v>
      </c>
    </row>
    <row r="30" spans="1:27" x14ac:dyDescent="0.25">
      <c r="A30" s="13">
        <v>29</v>
      </c>
      <c r="B30" s="5">
        <f>_xlfn.XLOOKUP($A30,growth[Turn],growth[NHV])</f>
        <v>1371.0565623619682</v>
      </c>
      <c r="C30" s="5">
        <f>$B30*_xlfn.XLOOKUP($A30,budget[Turn],budget[R&amp;D])</f>
        <v>411.31696870859042</v>
      </c>
      <c r="D30" s="5">
        <f>_xlfn.XLOOKUP($A30,growth[Turn],growth[EL])</f>
        <v>5</v>
      </c>
      <c r="E30" s="24">
        <f>_xlfn.XLOOKUP($D30+1,el[EL Level],el[ERP Cost])/COUNT(D$28:D$33)</f>
        <v>16.666666666666668</v>
      </c>
      <c r="F30" s="23">
        <f>$E30*(5+LOG(_xlfn.XLOOKUP($A30,growth[Turn],growth[GHP]),10))</f>
        <v>140.63475612432188</v>
      </c>
      <c r="G30" s="5">
        <f>_xlfn.XLOOKUP($A30,growth[Turn],growth[SL])</f>
        <v>5</v>
      </c>
      <c r="H30" s="34">
        <f>_xlfn.XLOOKUP($G30+1,sl[SL],sl[SRP Cost])/COUNT(G$28:G$33)</f>
        <v>8.3333333333333339</v>
      </c>
      <c r="I30" s="5">
        <f t="shared" si="0"/>
        <v>37.5</v>
      </c>
      <c r="J30" s="5">
        <v>5</v>
      </c>
      <c r="K30" s="5">
        <f>_xlfn.XLOOKUP($J30+1,tech[Tech Level],tech[TRP Cost])/COUNT(H$28:H$33)</f>
        <v>8.3333333333333339</v>
      </c>
      <c r="L30" s="5">
        <f>$K30*((5+4*$G30)/10+LOG(_xlfn.XLOOKUP($A30,growth[Turn],growth[GHP]))*0.25)</f>
        <v>27.996011182206903</v>
      </c>
      <c r="M30" s="5">
        <v>5</v>
      </c>
      <c r="N30" s="5">
        <f>$K30*((5+4*$G30)/10+LOG(_xlfn.XLOOKUP($A30,growth[Turn],growth[GHP]))*0.25)</f>
        <v>27.996011182206903</v>
      </c>
      <c r="P30" s="5"/>
      <c r="R30" s="5"/>
      <c r="S30" s="5">
        <v>5</v>
      </c>
      <c r="T30" s="5">
        <f>$K30*((5+4*$G30)/10+LOG(_xlfn.XLOOKUP($A30,growth[Turn],growth[GHP]))*0.25)</f>
        <v>27.996011182206903</v>
      </c>
      <c r="U30" s="5">
        <v>3</v>
      </c>
      <c r="V30" s="5">
        <f>$K30*((5+4*$G30)/10+LOG(_xlfn.XLOOKUP($A30,growth[Turn],growth[GHP]))*0.25)</f>
        <v>27.996011182206903</v>
      </c>
      <c r="W30" s="5">
        <v>3</v>
      </c>
      <c r="X30" s="5">
        <f>$K30*((5+4*$G30)/10+LOG(_xlfn.XLOOKUP($A30,growth[Turn],growth[GHP]))*0.25)</f>
        <v>27.996011182206903</v>
      </c>
      <c r="Y30" s="23">
        <f>SUM($F30,$I30,$L30,$N30,$P30,$R30,$T30,$V30,$X30)</f>
        <v>318.11481203535647</v>
      </c>
      <c r="Z30" s="23">
        <f>$C30-$Y30</f>
        <v>93.202156673233958</v>
      </c>
      <c r="AA30" t="b">
        <f>IF($Y30&lt;$C30,TRUE,FALSE)</f>
        <v>1</v>
      </c>
    </row>
    <row r="31" spans="1:27" x14ac:dyDescent="0.25">
      <c r="A31" s="13">
        <v>30</v>
      </c>
      <c r="B31" s="5">
        <f>_xlfn.XLOOKUP($A31,growth[Turn],growth[NHV])</f>
        <v>1398.4776936092071</v>
      </c>
      <c r="C31" s="5">
        <f>$B31*_xlfn.XLOOKUP($A31,budget[Turn],budget[R&amp;D])</f>
        <v>419.54330808276211</v>
      </c>
      <c r="D31" s="5">
        <f>_xlfn.XLOOKUP($A31,growth[Turn],growth[EL])</f>
        <v>5</v>
      </c>
      <c r="E31" s="24">
        <f>_xlfn.XLOOKUP($D31+1,el[EL Level],el[ERP Cost])/COUNT(D$28:D$33)</f>
        <v>16.666666666666668</v>
      </c>
      <c r="F31" s="23">
        <f>$E31*(5+LOG(_xlfn.XLOOKUP($A31,growth[Turn],growth[GHP]),10))</f>
        <v>140.77809232035381</v>
      </c>
      <c r="G31" s="5">
        <f>_xlfn.XLOOKUP($A31,growth[Turn],growth[SL])</f>
        <v>5</v>
      </c>
      <c r="H31" s="34">
        <f>_xlfn.XLOOKUP($G31+1,sl[SL],sl[SRP Cost])/COUNT(G$28:G$33)</f>
        <v>8.3333333333333339</v>
      </c>
      <c r="I31" s="5">
        <f t="shared" si="0"/>
        <v>37.5</v>
      </c>
      <c r="J31" s="5">
        <v>5</v>
      </c>
      <c r="K31" s="5">
        <f>_xlfn.XLOOKUP($J31+1,tech[Tech Level],tech[TRP Cost])/COUNT(H$28:H$33)</f>
        <v>8.3333333333333339</v>
      </c>
      <c r="L31" s="5">
        <f>$K31*((5+4*$G31)/10+LOG(_xlfn.XLOOKUP($A31,growth[Turn],growth[GHP]))*0.25)</f>
        <v>28.013928206710894</v>
      </c>
      <c r="M31" s="5">
        <v>5</v>
      </c>
      <c r="N31" s="5">
        <f>$K31*((5+4*$G31)/10+LOG(_xlfn.XLOOKUP($A31,growth[Turn],growth[GHP]))*0.25)</f>
        <v>28.013928206710894</v>
      </c>
      <c r="P31" s="5"/>
      <c r="R31" s="5"/>
      <c r="S31" s="5">
        <v>5</v>
      </c>
      <c r="T31" s="5">
        <f>$K31*((5+4*$G31)/10+LOG(_xlfn.XLOOKUP($A31,growth[Turn],growth[GHP]))*0.25)</f>
        <v>28.013928206710894</v>
      </c>
      <c r="U31" s="5">
        <v>3</v>
      </c>
      <c r="V31" s="5">
        <f>$K31*((5+4*$G31)/10+LOG(_xlfn.XLOOKUP($A31,growth[Turn],growth[GHP]))*0.25)</f>
        <v>28.013928206710894</v>
      </c>
      <c r="W31" s="5">
        <v>3</v>
      </c>
      <c r="X31" s="5">
        <f>$K31*((5+4*$G31)/10+LOG(_xlfn.XLOOKUP($A31,growth[Turn],growth[GHP]))*0.25)</f>
        <v>28.013928206710894</v>
      </c>
      <c r="Y31" s="23">
        <f>SUM($F31,$I31,$L31,$N31,$P31,$R31,$T31,$V31,$X31)</f>
        <v>318.34773335390827</v>
      </c>
      <c r="Z31" s="23">
        <f>$C31-$Y31</f>
        <v>101.19557472885384</v>
      </c>
      <c r="AA31" t="b">
        <f>IF($Y31&lt;$C31,TRUE,FALSE)</f>
        <v>1</v>
      </c>
    </row>
    <row r="32" spans="1:27" x14ac:dyDescent="0.25">
      <c r="A32" s="13">
        <v>31</v>
      </c>
      <c r="B32" s="5">
        <f>_xlfn.XLOOKUP($A32,growth[Turn],growth[NHV])</f>
        <v>1426.4472474813915</v>
      </c>
      <c r="C32" s="5">
        <f>$B32*_xlfn.XLOOKUP($A32,budget[Turn],budget[R&amp;D])</f>
        <v>427.93417424441742</v>
      </c>
      <c r="D32" s="5">
        <f>_xlfn.XLOOKUP($A32,growth[Turn],growth[EL])</f>
        <v>5</v>
      </c>
      <c r="E32" s="24">
        <f>_xlfn.XLOOKUP($D32+1,el[EL Level],el[ERP Cost])/COUNT(D$28:D$33)</f>
        <v>16.666666666666668</v>
      </c>
      <c r="F32" s="23">
        <f>$E32*(5+LOG(_xlfn.XLOOKUP($A32,growth[Turn],growth[GHP]),10))</f>
        <v>140.92142851638579</v>
      </c>
      <c r="G32" s="5">
        <f>_xlfn.XLOOKUP($A32,growth[Turn],growth[SL])</f>
        <v>5</v>
      </c>
      <c r="H32" s="34">
        <f>_xlfn.XLOOKUP($G32+1,sl[SL],sl[SRP Cost])/COUNT(G$28:G$33)</f>
        <v>8.3333333333333339</v>
      </c>
      <c r="I32" s="5">
        <f t="shared" si="0"/>
        <v>37.5</v>
      </c>
      <c r="J32" s="5">
        <v>5</v>
      </c>
      <c r="K32" s="5">
        <f>_xlfn.XLOOKUP($J32+1,tech[Tech Level],tech[TRP Cost])/COUNT(H$28:H$33)</f>
        <v>8.3333333333333339</v>
      </c>
      <c r="L32" s="5">
        <f>$K32*((5+4*$G32)/10+LOG(_xlfn.XLOOKUP($A32,growth[Turn],growth[GHP]))*0.25)</f>
        <v>28.031845231214891</v>
      </c>
      <c r="M32" s="5">
        <v>5</v>
      </c>
      <c r="N32" s="5">
        <f>$K32*((5+4*$G32)/10+LOG(_xlfn.XLOOKUP($A32,growth[Turn],growth[GHP]))*0.25)</f>
        <v>28.031845231214891</v>
      </c>
      <c r="P32" s="5"/>
      <c r="R32" s="5"/>
      <c r="S32" s="5">
        <v>5</v>
      </c>
      <c r="T32" s="5">
        <f>$K32*((5+4*$G32)/10+LOG(_xlfn.XLOOKUP($A32,growth[Turn],growth[GHP]))*0.25)</f>
        <v>28.031845231214891</v>
      </c>
      <c r="U32" s="5">
        <v>3</v>
      </c>
      <c r="V32" s="5">
        <f>$K32*((5+4*$G32)/10+LOG(_xlfn.XLOOKUP($A32,growth[Turn],growth[GHP]))*0.25)</f>
        <v>28.031845231214891</v>
      </c>
      <c r="W32" s="5">
        <v>3</v>
      </c>
      <c r="X32" s="5">
        <f>$K32*((5+4*$G32)/10+LOG(_xlfn.XLOOKUP($A32,growth[Turn],growth[GHP]))*0.25)</f>
        <v>28.031845231214891</v>
      </c>
      <c r="Y32" s="23">
        <f>SUM($F32,$I32,$L32,$N32,$P32,$R32,$T32,$V32,$X32)</f>
        <v>318.5806546724603</v>
      </c>
      <c r="Z32" s="23">
        <f>$C32-$Y32</f>
        <v>109.35351957195712</v>
      </c>
      <c r="AA32" t="b">
        <f>IF($Y32&lt;$C32,TRUE,FALSE)</f>
        <v>1</v>
      </c>
    </row>
    <row r="33" spans="1:27" x14ac:dyDescent="0.25">
      <c r="A33" s="13">
        <v>32</v>
      </c>
      <c r="B33" s="5">
        <f>_xlfn.XLOOKUP($A33,growth[Turn],growth[NHV])</f>
        <v>1454.9761924310192</v>
      </c>
      <c r="C33" s="5">
        <f>$B33*_xlfn.XLOOKUP($A33,budget[Turn],budget[R&amp;D])</f>
        <v>436.49285772930574</v>
      </c>
      <c r="D33" s="5">
        <f>_xlfn.XLOOKUP($A33,growth[Turn],growth[EL])</f>
        <v>5</v>
      </c>
      <c r="E33" s="24">
        <f>_xlfn.XLOOKUP($D33+1,el[EL Level],el[ERP Cost])/COUNT(D$28:D$33)</f>
        <v>16.666666666666668</v>
      </c>
      <c r="F33" s="23">
        <f>$E33*(5+LOG(_xlfn.XLOOKUP($A33,growth[Turn],growth[GHP]),10))</f>
        <v>141.06476471241774</v>
      </c>
      <c r="G33" s="5">
        <f>_xlfn.XLOOKUP($A33,growth[Turn],growth[SL])</f>
        <v>5</v>
      </c>
      <c r="H33" s="34">
        <f>_xlfn.XLOOKUP($G33+1,sl[SL],sl[SRP Cost])/COUNT(G$28:G$33)</f>
        <v>8.3333333333333339</v>
      </c>
      <c r="I33" s="5">
        <f t="shared" si="0"/>
        <v>37.5</v>
      </c>
      <c r="J33" s="5">
        <v>5</v>
      </c>
      <c r="K33" s="5">
        <f>_xlfn.XLOOKUP($J33+1,tech[Tech Level],tech[TRP Cost])/COUNT(H$28:H$33)</f>
        <v>8.3333333333333339</v>
      </c>
      <c r="L33" s="5">
        <f>$K33*((5+4*$G33)/10+LOG(_xlfn.XLOOKUP($A33,growth[Turn],growth[GHP]))*0.25)</f>
        <v>28.049762255718885</v>
      </c>
      <c r="M33" s="5">
        <v>5</v>
      </c>
      <c r="N33" s="5">
        <f>$K33*((5+4*$G33)/10+LOG(_xlfn.XLOOKUP($A33,growth[Turn],growth[GHP]))*0.25)</f>
        <v>28.049762255718885</v>
      </c>
      <c r="P33" s="5"/>
      <c r="R33" s="5"/>
      <c r="S33" s="5">
        <v>5</v>
      </c>
      <c r="T33" s="5">
        <f>$K33*((5+4*$G33)/10+LOG(_xlfn.XLOOKUP($A33,growth[Turn],growth[GHP]))*0.25)</f>
        <v>28.049762255718885</v>
      </c>
      <c r="U33" s="5">
        <v>3</v>
      </c>
      <c r="V33" s="5">
        <f>$K33*((5+4*$G33)/10+LOG(_xlfn.XLOOKUP($A33,growth[Turn],growth[GHP]))*0.25)</f>
        <v>28.049762255718885</v>
      </c>
      <c r="W33" s="5">
        <v>3</v>
      </c>
      <c r="X33" s="5">
        <f>$K33*((5+4*$G33)/10+LOG(_xlfn.XLOOKUP($A33,growth[Turn],growth[GHP]))*0.25)</f>
        <v>28.049762255718885</v>
      </c>
      <c r="Y33" s="23">
        <f>SUM($F33,$I33,$L33,$N33,$P33,$R33,$T33,$V33,$X33)</f>
        <v>318.8135759910121</v>
      </c>
      <c r="Z33" s="23">
        <f>$C33-$Y33</f>
        <v>117.67928173829364</v>
      </c>
      <c r="AA33" t="b">
        <f>IF($Y33&lt;$C33,TRUE,FALSE)</f>
        <v>1</v>
      </c>
    </row>
    <row r="34" spans="1:27" x14ac:dyDescent="0.25">
      <c r="A34" s="12">
        <v>33</v>
      </c>
      <c r="B34" s="5">
        <f>_xlfn.XLOOKUP($A34,growth[Turn],growth[NHV])</f>
        <v>1543.4387449308254</v>
      </c>
      <c r="C34" s="5">
        <f>$B34*_xlfn.XLOOKUP($A34,budget[Turn],budget[R&amp;D])</f>
        <v>463.03162347924757</v>
      </c>
      <c r="D34" s="5">
        <f>_xlfn.XLOOKUP($A34,growth[Turn],growth[EL])</f>
        <v>6</v>
      </c>
      <c r="E34" s="25">
        <f>_xlfn.XLOOKUP($D34+1,el[EL Level],el[ERP Cost])/COUNT(D$34:D$39)</f>
        <v>18.333333333333332</v>
      </c>
      <c r="F34" s="23">
        <f>$E34*(5+LOG(_xlfn.XLOOKUP($A34,growth[Turn],growth[GHP]),10))</f>
        <v>155.64118888643895</v>
      </c>
      <c r="G34" s="5">
        <f>_xlfn.XLOOKUP($A34,growth[Turn],growth[SL])</f>
        <v>6</v>
      </c>
      <c r="H34" s="26">
        <f>_xlfn.XLOOKUP($G34+1,sl[SL],sl[SRP Cost])/COUNT(G$34:G$39)</f>
        <v>9.1666666666666661</v>
      </c>
      <c r="I34" s="5">
        <f t="shared" si="0"/>
        <v>45.833333333333329</v>
      </c>
      <c r="J34" s="5">
        <v>6</v>
      </c>
      <c r="K34" s="5">
        <f>_xlfn.XLOOKUP($J34+1,tech[Tech Level],tech[TRP Cost])/COUNT(H$34:H$39)</f>
        <v>9.1666666666666661</v>
      </c>
      <c r="L34" s="5">
        <f>$K34*((5+4*$G34)/10+LOG(_xlfn.XLOOKUP($A34,growth[Turn],growth[GHP]))*0.25)</f>
        <v>34.580148610804869</v>
      </c>
      <c r="M34" s="5">
        <v>6</v>
      </c>
      <c r="N34" s="5">
        <f>$K34*((5+4*$G34)/10+LOG(_xlfn.XLOOKUP($A34,growth[Turn],growth[GHP]))*0.25)</f>
        <v>34.580148610804869</v>
      </c>
      <c r="P34" s="5"/>
      <c r="R34" s="5"/>
      <c r="S34" s="5">
        <v>6</v>
      </c>
      <c r="T34" s="5">
        <f>$K34*((5+4*$G34)/10+LOG(_xlfn.XLOOKUP($A34,growth[Turn],growth[GHP]))*0.25)</f>
        <v>34.580148610804869</v>
      </c>
      <c r="U34" s="5">
        <v>4</v>
      </c>
      <c r="V34" s="5">
        <f>$K34*((5+4*$G34)/10+LOG(_xlfn.XLOOKUP($A34,growth[Turn],growth[GHP]))*0.25)</f>
        <v>34.580148610804869</v>
      </c>
      <c r="W34" s="5">
        <v>4</v>
      </c>
      <c r="X34" s="5">
        <f>$K34*((5+4*$G34)/10+LOG(_xlfn.XLOOKUP($A34,growth[Turn],growth[GHP]))*0.25)</f>
        <v>34.580148610804869</v>
      </c>
      <c r="Y34" s="23">
        <f>SUM($F34,$I34,$L34,$N34,$P34,$R34,$T34,$V34,$X34)</f>
        <v>374.37526527379669</v>
      </c>
      <c r="Z34" s="23">
        <f>$C34-$Y34</f>
        <v>88.656358205450886</v>
      </c>
      <c r="AA34" t="b">
        <f>IF($Y34&lt;$C34,TRUE,FALSE)</f>
        <v>1</v>
      </c>
    </row>
    <row r="35" spans="1:27" x14ac:dyDescent="0.25">
      <c r="A35" s="13">
        <v>34</v>
      </c>
      <c r="B35" s="5">
        <f>_xlfn.XLOOKUP($A35,growth[Turn],growth[NHV])</f>
        <v>1574.3075198294416</v>
      </c>
      <c r="C35" s="5">
        <f>$B35*_xlfn.XLOOKUP($A35,budget[Turn],budget[R&amp;D])</f>
        <v>472.29225594883246</v>
      </c>
      <c r="D35" s="5">
        <f>_xlfn.XLOOKUP($A35,growth[Turn],growth[EL])</f>
        <v>6</v>
      </c>
      <c r="E35" s="25">
        <f>_xlfn.XLOOKUP($D35+1,el[EL Level],el[ERP Cost])/COUNT(D$34:D$39)</f>
        <v>18.333333333333332</v>
      </c>
      <c r="F35" s="23">
        <f>$E35*(5+LOG(_xlfn.XLOOKUP($A35,growth[Turn],growth[GHP]),10))</f>
        <v>155.79885870207411</v>
      </c>
      <c r="G35" s="5">
        <f>_xlfn.XLOOKUP($A35,growth[Turn],growth[SL])</f>
        <v>6</v>
      </c>
      <c r="H35" s="26">
        <f>_xlfn.XLOOKUP($G35+1,sl[SL],sl[SRP Cost])/COUNT(G$34:G$39)</f>
        <v>9.1666666666666661</v>
      </c>
      <c r="I35" s="5">
        <f t="shared" si="0"/>
        <v>45.833333333333329</v>
      </c>
      <c r="J35" s="5">
        <v>6</v>
      </c>
      <c r="K35" s="5">
        <f>_xlfn.XLOOKUP($J35+1,tech[Tech Level],tech[TRP Cost])/COUNT(H$34:H$39)</f>
        <v>9.1666666666666661</v>
      </c>
      <c r="L35" s="5">
        <f>$K35*((5+4*$G35)/10+LOG(_xlfn.XLOOKUP($A35,growth[Turn],growth[GHP]))*0.25)</f>
        <v>34.599857337759261</v>
      </c>
      <c r="M35" s="5">
        <v>6</v>
      </c>
      <c r="N35" s="5">
        <f>$K35*((5+4*$G35)/10+LOG(_xlfn.XLOOKUP($A35,growth[Turn],growth[GHP]))*0.25)</f>
        <v>34.599857337759261</v>
      </c>
      <c r="P35" s="5"/>
      <c r="R35" s="5"/>
      <c r="S35" s="5">
        <v>6</v>
      </c>
      <c r="T35" s="5">
        <f>$K35*((5+4*$G35)/10+LOG(_xlfn.XLOOKUP($A35,growth[Turn],growth[GHP]))*0.25)</f>
        <v>34.599857337759261</v>
      </c>
      <c r="U35" s="5">
        <v>4</v>
      </c>
      <c r="V35" s="5">
        <f>$K35*((5+4*$G35)/10+LOG(_xlfn.XLOOKUP($A35,growth[Turn],growth[GHP]))*0.25)</f>
        <v>34.599857337759261</v>
      </c>
      <c r="W35" s="5">
        <v>4</v>
      </c>
      <c r="X35" s="5">
        <f>$K35*((5+4*$G35)/10+LOG(_xlfn.XLOOKUP($A35,growth[Turn],growth[GHP]))*0.25)</f>
        <v>34.599857337759261</v>
      </c>
      <c r="Y35" s="23">
        <f>SUM($F35,$I35,$L35,$N35,$P35,$R35,$T35,$V35,$X35)</f>
        <v>374.63147872420376</v>
      </c>
      <c r="Z35" s="23">
        <f>$C35-$Y35</f>
        <v>97.660777224628703</v>
      </c>
      <c r="AA35" t="b">
        <f>IF($Y35&lt;$C35,TRUE,FALSE)</f>
        <v>1</v>
      </c>
    </row>
    <row r="36" spans="1:27" x14ac:dyDescent="0.25">
      <c r="A36" s="13">
        <v>35</v>
      </c>
      <c r="B36" s="5">
        <f>_xlfn.XLOOKUP($A36,growth[Turn],growth[NHV])</f>
        <v>1605.7936702260306</v>
      </c>
      <c r="C36" s="5">
        <f>$B36*_xlfn.XLOOKUP($A36,budget[Turn],budget[R&amp;D])</f>
        <v>481.73810106780917</v>
      </c>
      <c r="D36" s="5">
        <f>_xlfn.XLOOKUP($A36,growth[Turn],growth[EL])</f>
        <v>6</v>
      </c>
      <c r="E36" s="25">
        <f>_xlfn.XLOOKUP($D36+1,el[EL Level],el[ERP Cost])/COUNT(D$34:D$39)</f>
        <v>18.333333333333332</v>
      </c>
      <c r="F36" s="23">
        <f>$E36*(5+LOG(_xlfn.XLOOKUP($A36,growth[Turn],growth[GHP]),10))</f>
        <v>155.95652851770927</v>
      </c>
      <c r="G36" s="5">
        <f>_xlfn.XLOOKUP($A36,growth[Turn],growth[SL])</f>
        <v>6</v>
      </c>
      <c r="H36" s="26">
        <f>_xlfn.XLOOKUP($G36+1,sl[SL],sl[SRP Cost])/COUNT(G$34:G$39)</f>
        <v>9.1666666666666661</v>
      </c>
      <c r="I36" s="5">
        <f t="shared" si="0"/>
        <v>45.833333333333329</v>
      </c>
      <c r="J36" s="5">
        <v>6</v>
      </c>
      <c r="K36" s="5">
        <f>_xlfn.XLOOKUP($J36+1,tech[Tech Level],tech[TRP Cost])/COUNT(H$34:H$39)</f>
        <v>9.1666666666666661</v>
      </c>
      <c r="L36" s="5">
        <f>$K36*((5+4*$G36)/10+LOG(_xlfn.XLOOKUP($A36,growth[Turn],growth[GHP]))*0.25)</f>
        <v>34.619566064713659</v>
      </c>
      <c r="M36" s="5">
        <v>6</v>
      </c>
      <c r="N36" s="5">
        <f>$K36*((5+4*$G36)/10+LOG(_xlfn.XLOOKUP($A36,growth[Turn],growth[GHP]))*0.25)</f>
        <v>34.619566064713659</v>
      </c>
      <c r="P36" s="5"/>
      <c r="R36" s="5"/>
      <c r="S36" s="5">
        <v>6</v>
      </c>
      <c r="T36" s="5">
        <f>$K36*((5+4*$G36)/10+LOG(_xlfn.XLOOKUP($A36,growth[Turn],growth[GHP]))*0.25)</f>
        <v>34.619566064713659</v>
      </c>
      <c r="U36" s="5">
        <v>4</v>
      </c>
      <c r="V36" s="5">
        <f>$K36*((5+4*$G36)/10+LOG(_xlfn.XLOOKUP($A36,growth[Turn],growth[GHP]))*0.25)</f>
        <v>34.619566064713659</v>
      </c>
      <c r="W36" s="5">
        <v>4</v>
      </c>
      <c r="X36" s="5">
        <f>$K36*((5+4*$G36)/10+LOG(_xlfn.XLOOKUP($A36,growth[Turn],growth[GHP]))*0.25)</f>
        <v>34.619566064713659</v>
      </c>
      <c r="Y36" s="23">
        <f>SUM($F36,$I36,$L36,$N36,$P36,$R36,$T36,$V36,$X36)</f>
        <v>374.88769217461083</v>
      </c>
      <c r="Z36" s="23">
        <f>$C36-$Y36</f>
        <v>106.85040889319833</v>
      </c>
      <c r="AA36" t="b">
        <f>IF($Y36&lt;$C36,TRUE,FALSE)</f>
        <v>1</v>
      </c>
    </row>
    <row r="37" spans="1:27" x14ac:dyDescent="0.25">
      <c r="A37" s="13">
        <v>36</v>
      </c>
      <c r="B37" s="5">
        <f>_xlfn.XLOOKUP($A37,growth[Turn],growth[NHV])</f>
        <v>1637.9095436305508</v>
      </c>
      <c r="C37" s="5">
        <f>$B37*_xlfn.XLOOKUP($A37,budget[Turn],budget[R&amp;D])</f>
        <v>491.37286308916521</v>
      </c>
      <c r="D37" s="5">
        <f>_xlfn.XLOOKUP($A37,growth[Turn],growth[EL])</f>
        <v>6</v>
      </c>
      <c r="E37" s="25">
        <f>_xlfn.XLOOKUP($D37+1,el[EL Level],el[ERP Cost])/COUNT(D$34:D$39)</f>
        <v>18.333333333333332</v>
      </c>
      <c r="F37" s="23">
        <f>$E37*(5+LOG(_xlfn.XLOOKUP($A37,growth[Turn],growth[GHP]),10))</f>
        <v>156.11419833334443</v>
      </c>
      <c r="G37" s="5">
        <f>_xlfn.XLOOKUP($A37,growth[Turn],growth[SL])</f>
        <v>6</v>
      </c>
      <c r="H37" s="26">
        <f>_xlfn.XLOOKUP($G37+1,sl[SL],sl[SRP Cost])/COUNT(G$34:G$39)</f>
        <v>9.1666666666666661</v>
      </c>
      <c r="I37" s="5">
        <f t="shared" si="0"/>
        <v>45.833333333333329</v>
      </c>
      <c r="J37" s="5">
        <v>6</v>
      </c>
      <c r="K37" s="5">
        <f>_xlfn.XLOOKUP($J37+1,tech[Tech Level],tech[TRP Cost])/COUNT(H$34:H$39)</f>
        <v>9.1666666666666661</v>
      </c>
      <c r="L37" s="5">
        <f>$K37*((5+4*$G37)/10+LOG(_xlfn.XLOOKUP($A37,growth[Turn],growth[GHP]))*0.25)</f>
        <v>34.639274791668051</v>
      </c>
      <c r="M37" s="5">
        <v>6</v>
      </c>
      <c r="N37" s="5">
        <f>$K37*((5+4*$G37)/10+LOG(_xlfn.XLOOKUP($A37,growth[Turn],growth[GHP]))*0.25)</f>
        <v>34.639274791668051</v>
      </c>
      <c r="P37" s="5"/>
      <c r="R37" s="5"/>
      <c r="S37" s="5">
        <v>6</v>
      </c>
      <c r="T37" s="5">
        <f>$K37*((5+4*$G37)/10+LOG(_xlfn.XLOOKUP($A37,growth[Turn],growth[GHP]))*0.25)</f>
        <v>34.639274791668051</v>
      </c>
      <c r="U37" s="5">
        <v>4</v>
      </c>
      <c r="V37" s="5">
        <f>$K37*((5+4*$G37)/10+LOG(_xlfn.XLOOKUP($A37,growth[Turn],growth[GHP]))*0.25)</f>
        <v>34.639274791668051</v>
      </c>
      <c r="W37" s="5">
        <v>4</v>
      </c>
      <c r="X37" s="5">
        <f>$K37*((5+4*$G37)/10+LOG(_xlfn.XLOOKUP($A37,growth[Turn],growth[GHP]))*0.25)</f>
        <v>34.639274791668051</v>
      </c>
      <c r="Y37" s="23">
        <f>SUM($F37,$I37,$L37,$N37,$P37,$R37,$T37,$V37,$X37)</f>
        <v>375.14390562501808</v>
      </c>
      <c r="Z37" s="23">
        <f>$C37-$Y37</f>
        <v>116.22895746414713</v>
      </c>
      <c r="AA37" t="b">
        <f>IF($Y37&lt;$C37,TRUE,FALSE)</f>
        <v>1</v>
      </c>
    </row>
    <row r="38" spans="1:27" x14ac:dyDescent="0.25">
      <c r="A38" s="13">
        <v>37</v>
      </c>
      <c r="B38" s="5">
        <f>_xlfn.XLOOKUP($A38,growth[Turn],growth[NHV])</f>
        <v>1670.6677345031621</v>
      </c>
      <c r="C38" s="5">
        <f>$B38*_xlfn.XLOOKUP($A38,budget[Turn],budget[R&amp;D])</f>
        <v>501.20032035094863</v>
      </c>
      <c r="D38" s="5">
        <f>_xlfn.XLOOKUP($A38,growth[Turn],growth[EL])</f>
        <v>6</v>
      </c>
      <c r="E38" s="25">
        <f>_xlfn.XLOOKUP($D38+1,el[EL Level],el[ERP Cost])/COUNT(D$34:D$39)</f>
        <v>18.333333333333332</v>
      </c>
      <c r="F38" s="23">
        <f>$E38*(5+LOG(_xlfn.XLOOKUP($A38,growth[Turn],growth[GHP]),10))</f>
        <v>156.27186814897959</v>
      </c>
      <c r="G38" s="5">
        <f>_xlfn.XLOOKUP($A38,growth[Turn],growth[SL])</f>
        <v>6</v>
      </c>
      <c r="H38" s="26">
        <f>_xlfn.XLOOKUP($G38+1,sl[SL],sl[SRP Cost])/COUNT(G$34:G$39)</f>
        <v>9.1666666666666661</v>
      </c>
      <c r="I38" s="5">
        <f t="shared" si="0"/>
        <v>45.833333333333329</v>
      </c>
      <c r="J38" s="5">
        <v>6</v>
      </c>
      <c r="K38" s="5">
        <f>_xlfn.XLOOKUP($J38+1,tech[Tech Level],tech[TRP Cost])/COUNT(H$34:H$39)</f>
        <v>9.1666666666666661</v>
      </c>
      <c r="L38" s="5">
        <f>$K38*((5+4*$G38)/10+LOG(_xlfn.XLOOKUP($A38,growth[Turn],growth[GHP]))*0.25)</f>
        <v>34.658983518622442</v>
      </c>
      <c r="M38" s="5">
        <v>6</v>
      </c>
      <c r="N38" s="5">
        <f>$K38*((5+4*$G38)/10+LOG(_xlfn.XLOOKUP($A38,growth[Turn],growth[GHP]))*0.25)</f>
        <v>34.658983518622442</v>
      </c>
      <c r="P38" s="5"/>
      <c r="R38" s="5"/>
      <c r="S38" s="5">
        <v>6</v>
      </c>
      <c r="T38" s="5">
        <f>$K38*((5+4*$G38)/10+LOG(_xlfn.XLOOKUP($A38,growth[Turn],growth[GHP]))*0.25)</f>
        <v>34.658983518622442</v>
      </c>
      <c r="U38" s="5">
        <v>4</v>
      </c>
      <c r="V38" s="5">
        <f>$K38*((5+4*$G38)/10+LOG(_xlfn.XLOOKUP($A38,growth[Turn],growth[GHP]))*0.25)</f>
        <v>34.658983518622442</v>
      </c>
      <c r="W38" s="5">
        <v>4</v>
      </c>
      <c r="X38" s="5">
        <f>$K38*((5+4*$G38)/10+LOG(_xlfn.XLOOKUP($A38,growth[Turn],growth[GHP]))*0.25)</f>
        <v>34.658983518622442</v>
      </c>
      <c r="Y38" s="23">
        <f>SUM($F38,$I38,$L38,$N38,$P38,$R38,$T38,$V38,$X38)</f>
        <v>375.40011907542515</v>
      </c>
      <c r="Z38" s="23">
        <f>$C38-$Y38</f>
        <v>125.80020127552348</v>
      </c>
      <c r="AA38" t="b">
        <f>IF($Y38&lt;$C38,TRUE,FALSE)</f>
        <v>1</v>
      </c>
    </row>
    <row r="39" spans="1:27" x14ac:dyDescent="0.25">
      <c r="A39" s="13">
        <v>38</v>
      </c>
      <c r="B39" s="5">
        <f>_xlfn.XLOOKUP($A39,growth[Turn],growth[NHV])</f>
        <v>1704.0810891932254</v>
      </c>
      <c r="C39" s="5">
        <f>$B39*_xlfn.XLOOKUP($A39,budget[Turn],budget[R&amp;D])</f>
        <v>511.22432675796756</v>
      </c>
      <c r="D39" s="5">
        <f>_xlfn.XLOOKUP($A39,growth[Turn],growth[EL])</f>
        <v>6</v>
      </c>
      <c r="E39" s="25">
        <f>_xlfn.XLOOKUP($D39+1,el[EL Level],el[ERP Cost])/COUNT(D$34:D$39)</f>
        <v>18.333333333333332</v>
      </c>
      <c r="F39" s="23">
        <f>$E39*(5+LOG(_xlfn.XLOOKUP($A39,growth[Turn],growth[GHP]),10))</f>
        <v>156.42953796461472</v>
      </c>
      <c r="G39" s="5">
        <f>_xlfn.XLOOKUP($A39,growth[Turn],growth[SL])</f>
        <v>6</v>
      </c>
      <c r="H39" s="26">
        <f>_xlfn.XLOOKUP($G39+1,sl[SL],sl[SRP Cost])/COUNT(G$34:G$39)</f>
        <v>9.1666666666666661</v>
      </c>
      <c r="I39" s="5">
        <f t="shared" si="0"/>
        <v>45.833333333333329</v>
      </c>
      <c r="J39" s="5">
        <v>6</v>
      </c>
      <c r="K39" s="5">
        <f>_xlfn.XLOOKUP($J39+1,tech[Tech Level],tech[TRP Cost])/COUNT(H$34:H$39)</f>
        <v>9.1666666666666661</v>
      </c>
      <c r="L39" s="5">
        <f>$K39*((5+4*$G39)/10+LOG(_xlfn.XLOOKUP($A39,growth[Turn],growth[GHP]))*0.25)</f>
        <v>34.67869224557684</v>
      </c>
      <c r="M39" s="5">
        <v>6</v>
      </c>
      <c r="N39" s="5">
        <f>$K39*((5+4*$G39)/10+LOG(_xlfn.XLOOKUP($A39,growth[Turn],growth[GHP]))*0.25)</f>
        <v>34.67869224557684</v>
      </c>
      <c r="P39" s="5"/>
      <c r="R39" s="5"/>
      <c r="S39" s="5">
        <v>6</v>
      </c>
      <c r="T39" s="5">
        <f>$K39*((5+4*$G39)/10+LOG(_xlfn.XLOOKUP($A39,growth[Turn],growth[GHP]))*0.25)</f>
        <v>34.67869224557684</v>
      </c>
      <c r="U39" s="5">
        <v>4</v>
      </c>
      <c r="V39" s="5">
        <f>$K39*((5+4*$G39)/10+LOG(_xlfn.XLOOKUP($A39,growth[Turn],growth[GHP]))*0.25)</f>
        <v>34.67869224557684</v>
      </c>
      <c r="W39" s="5">
        <v>4</v>
      </c>
      <c r="X39" s="5">
        <f>$K39*((5+4*$G39)/10+LOG(_xlfn.XLOOKUP($A39,growth[Turn],growth[GHP]))*0.25)</f>
        <v>34.67869224557684</v>
      </c>
      <c r="Y39" s="23">
        <f>SUM($F39,$I39,$L39,$N39,$P39,$R39,$T39,$V39,$X39)</f>
        <v>375.65633252583217</v>
      </c>
      <c r="Z39" s="23">
        <f>$C39-$Y39</f>
        <v>135.56799423213539</v>
      </c>
      <c r="AA39" t="b">
        <f>IF($Y39&lt;$C39,TRUE,FALSE)</f>
        <v>1</v>
      </c>
    </row>
    <row r="40" spans="1:27" x14ac:dyDescent="0.25">
      <c r="A40" s="13">
        <v>39</v>
      </c>
      <c r="B40" s="5">
        <f>_xlfn.XLOOKUP($A40,growth[Turn],growth[NHV])</f>
        <v>1738.1627109770898</v>
      </c>
      <c r="C40" s="5">
        <f>$B40*_xlfn.XLOOKUP($A40,budget[Turn],budget[R&amp;D])</f>
        <v>521.44881329312693</v>
      </c>
      <c r="D40" s="5">
        <f>_xlfn.XLOOKUP($A40,growth[Turn],growth[EL])</f>
        <v>6</v>
      </c>
      <c r="E40" s="24">
        <f>_xlfn.XLOOKUP($D40+1,el[EL Level],el[ERP Cost])/COUNT(D$40:D$46)</f>
        <v>15.714285714285714</v>
      </c>
      <c r="F40" s="23">
        <f>$E40*(5+LOG(_xlfn.XLOOKUP($A40,growth[Turn],growth[GHP]),10))</f>
        <v>134.21760666878561</v>
      </c>
      <c r="G40" s="5">
        <f>_xlfn.XLOOKUP($A40,growth[Turn],growth[SL])</f>
        <v>6</v>
      </c>
      <c r="H40" s="34">
        <f>_xlfn.XLOOKUP($G40+1,sl[SL],sl[SRP Cost])/COUNT(G$40:G$46)</f>
        <v>7.8571428571428568</v>
      </c>
      <c r="I40" s="5">
        <f t="shared" si="0"/>
        <v>39.285714285714285</v>
      </c>
      <c r="J40" s="5">
        <v>6</v>
      </c>
      <c r="K40" s="5">
        <f>_xlfn.XLOOKUP($J40+1,tech[Tech Level],tech[TRP Cost])/COUNT(H$40:H$46)</f>
        <v>7.8571428571428568</v>
      </c>
      <c r="L40" s="5">
        <f>$K40*((5+4*$G40)/10+LOG(_xlfn.XLOOKUP($A40,growth[Turn],growth[GHP]))*0.25)</f>
        <v>29.741486547883916</v>
      </c>
      <c r="M40" s="5">
        <v>6</v>
      </c>
      <c r="N40" s="5">
        <f>$K40*((5+4*$G40)/10+LOG(_xlfn.XLOOKUP($A40,growth[Turn],growth[GHP]))*0.25)</f>
        <v>29.741486547883916</v>
      </c>
      <c r="P40" s="5"/>
      <c r="R40" s="5"/>
      <c r="S40" s="5">
        <v>6</v>
      </c>
      <c r="T40" s="5">
        <f>$K40*((5+4*$G40)/10+LOG(_xlfn.XLOOKUP($A40,growth[Turn],growth[GHP]))*0.25)</f>
        <v>29.741486547883916</v>
      </c>
      <c r="U40" s="5">
        <v>4</v>
      </c>
      <c r="V40" s="5">
        <f>$K40*((5+4*$G40)/10+LOG(_xlfn.XLOOKUP($A40,growth[Turn],growth[GHP]))*0.25)</f>
        <v>29.741486547883916</v>
      </c>
      <c r="W40" s="5">
        <v>4</v>
      </c>
      <c r="X40" s="5">
        <f>$K40*((5+4*$G40)/10+LOG(_xlfn.XLOOKUP($A40,growth[Turn],growth[GHP]))*0.25)</f>
        <v>29.741486547883916</v>
      </c>
      <c r="Y40" s="23">
        <f>SUM($F40,$I40,$L40,$N40,$P40,$R40,$T40,$V40,$X40)</f>
        <v>322.21075369391951</v>
      </c>
      <c r="Z40" s="23">
        <f>$C40-$Y40</f>
        <v>199.23805959920742</v>
      </c>
      <c r="AA40" t="b">
        <f>IF($Y40&lt;$C40,TRUE,FALSE)</f>
        <v>1</v>
      </c>
    </row>
    <row r="41" spans="1:27" x14ac:dyDescent="0.25">
      <c r="A41" s="12">
        <v>40</v>
      </c>
      <c r="B41" s="5">
        <f>_xlfn.XLOOKUP($A41,growth[Turn],growth[NHV])</f>
        <v>1841.1154253965019</v>
      </c>
      <c r="C41" s="5">
        <f>$B41*_xlfn.XLOOKUP($A41,budget[Turn],budget[R&amp;D])</f>
        <v>552.33462761895055</v>
      </c>
      <c r="D41" s="5">
        <f>_xlfn.XLOOKUP($A41,growth[Turn],growth[EL])</f>
        <v>7</v>
      </c>
      <c r="E41" s="24">
        <f>_xlfn.XLOOKUP($D41+1,el[EL Level],el[ERP Cost])/COUNT(D$40:D$46)</f>
        <v>17.142857142857142</v>
      </c>
      <c r="F41" s="23">
        <f>$E41*(5+LOG(_xlfn.XLOOKUP($A41,growth[Turn],growth[GHP]),10))</f>
        <v>146.84761735418317</v>
      </c>
      <c r="G41" s="5">
        <f>_xlfn.XLOOKUP($A41,growth[Turn],growth[SL])</f>
        <v>7</v>
      </c>
      <c r="H41" s="34">
        <f>_xlfn.XLOOKUP($G41+1,sl[SL],sl[SRP Cost])/COUNT(G$40:G$46)</f>
        <v>7.8571428571428568</v>
      </c>
      <c r="I41" s="5">
        <f t="shared" si="0"/>
        <v>43.214285714285715</v>
      </c>
      <c r="J41" s="5">
        <v>7</v>
      </c>
      <c r="K41" s="5">
        <f>_xlfn.XLOOKUP($J41+1,tech[Tech Level],tech[TRP Cost])/COUNT(H$40:H$46)</f>
        <v>8.5714285714285712</v>
      </c>
      <c r="L41" s="5">
        <f>$K41*((5+4*$G41)/10+LOG(_xlfn.XLOOKUP($A41,growth[Turn],growth[GHP]))*0.25)</f>
        <v>35.927380740701473</v>
      </c>
      <c r="M41" s="5">
        <v>7</v>
      </c>
      <c r="N41" s="5">
        <f>$K41*((5+4*$G41)/10+LOG(_xlfn.XLOOKUP($A41,growth[Turn],growth[GHP]))*0.25)</f>
        <v>35.927380740701473</v>
      </c>
      <c r="P41" s="5"/>
      <c r="R41" s="5"/>
      <c r="S41" s="5">
        <v>7</v>
      </c>
      <c r="T41" s="5"/>
      <c r="U41" s="5">
        <v>5</v>
      </c>
      <c r="V41" s="5"/>
      <c r="W41" s="5">
        <v>5</v>
      </c>
      <c r="X41" s="5">
        <f>$K41*((5+4*$G41)/10+LOG(_xlfn.XLOOKUP($A41,growth[Turn],growth[GHP]))*0.25)</f>
        <v>35.927380740701473</v>
      </c>
      <c r="Y41" s="23">
        <f>SUM($F41,$I41,$L41,$N41,$P41,$R41,$T41,$V41,$X41)</f>
        <v>297.84404529057332</v>
      </c>
      <c r="Z41" s="23">
        <f>$C41-$Y41</f>
        <v>254.49058232837723</v>
      </c>
      <c r="AA41" t="b">
        <f>IF($Y41&lt;$C41,TRUE,FALSE)</f>
        <v>1</v>
      </c>
    </row>
    <row r="42" spans="1:27" x14ac:dyDescent="0.25">
      <c r="A42" s="13">
        <v>41</v>
      </c>
      <c r="B42" s="5">
        <f>_xlfn.XLOOKUP($A42,growth[Turn],growth[NHV])</f>
        <v>1877.937733904432</v>
      </c>
      <c r="C42" s="5">
        <f>$B42*_xlfn.XLOOKUP($A42,budget[Turn],budget[R&amp;D])</f>
        <v>563.38132017132955</v>
      </c>
      <c r="D42" s="5">
        <f>_xlfn.XLOOKUP($A42,growth[Turn],growth[EL])</f>
        <v>7</v>
      </c>
      <c r="E42" s="24">
        <f>_xlfn.XLOOKUP($D42+1,el[EL Level],el[ERP Cost])/COUNT(D$40:D$46)</f>
        <v>17.142857142857142</v>
      </c>
      <c r="F42" s="23">
        <f>$E42*(5+LOG(_xlfn.XLOOKUP($A42,growth[Turn],growth[GHP]),10))</f>
        <v>146.99504887010178</v>
      </c>
      <c r="G42" s="5">
        <f>_xlfn.XLOOKUP($A42,growth[Turn],growth[SL])</f>
        <v>7</v>
      </c>
      <c r="H42" s="34">
        <f>_xlfn.XLOOKUP($G42+1,sl[SL],sl[SRP Cost])/COUNT(G$40:G$46)</f>
        <v>7.8571428571428568</v>
      </c>
      <c r="I42" s="5">
        <f t="shared" si="0"/>
        <v>43.214285714285715</v>
      </c>
      <c r="J42" s="5">
        <v>7</v>
      </c>
      <c r="K42" s="5">
        <f>_xlfn.XLOOKUP($J42+1,tech[Tech Level],tech[TRP Cost])/COUNT(H$40:H$46)</f>
        <v>8.5714285714285712</v>
      </c>
      <c r="L42" s="5">
        <f>$K42*((5+4*$G42)/10+LOG(_xlfn.XLOOKUP($A42,growth[Turn],growth[GHP]))*0.25)</f>
        <v>35.945809680191289</v>
      </c>
      <c r="M42" s="5">
        <v>7</v>
      </c>
      <c r="N42" s="5">
        <f>$K42*((5+4*$G42)/10+LOG(_xlfn.XLOOKUP($A42,growth[Turn],growth[GHP]))*0.25)</f>
        <v>35.945809680191289</v>
      </c>
      <c r="P42" s="5"/>
      <c r="R42" s="5"/>
      <c r="T42" s="5"/>
      <c r="V42" s="5"/>
      <c r="X42" s="5"/>
      <c r="Y42" s="23">
        <f>SUM($F42,$I42,$L42,$N42,$P42,$R42,$T42,$V42,$X42)</f>
        <v>262.10095394477008</v>
      </c>
      <c r="Z42" s="23">
        <f>$C42-$Y42</f>
        <v>301.28036622655947</v>
      </c>
      <c r="AA42" t="b">
        <f>IF($Y42&lt;$C42,TRUE,FALSE)</f>
        <v>1</v>
      </c>
    </row>
    <row r="43" spans="1:27" x14ac:dyDescent="0.25">
      <c r="A43" s="13">
        <v>42</v>
      </c>
      <c r="B43" s="5">
        <f>_xlfn.XLOOKUP($A43,growth[Turn],growth[NHV])</f>
        <v>1915.4964885825207</v>
      </c>
      <c r="C43" s="5">
        <f>$B43*_xlfn.XLOOKUP($A43,budget[Turn],budget[R&amp;D])</f>
        <v>574.64894657475622</v>
      </c>
      <c r="D43" s="5">
        <f>_xlfn.XLOOKUP($A43,growth[Turn],growth[EL])</f>
        <v>7</v>
      </c>
      <c r="E43" s="24">
        <f>_xlfn.XLOOKUP($D43+1,el[EL Level],el[ERP Cost])/COUNT(D$40:D$46)</f>
        <v>17.142857142857142</v>
      </c>
      <c r="F43" s="23">
        <f>$E43*(5+LOG(_xlfn.XLOOKUP($A43,growth[Turn],growth[GHP]),10))</f>
        <v>147.14248038602037</v>
      </c>
      <c r="G43" s="5">
        <f>_xlfn.XLOOKUP($A43,growth[Turn],growth[SL])</f>
        <v>7</v>
      </c>
      <c r="H43" s="34">
        <f>_xlfn.XLOOKUP($G43+1,sl[SL],sl[SRP Cost])/COUNT(G$40:G$46)</f>
        <v>7.8571428571428568</v>
      </c>
      <c r="I43" s="5">
        <f t="shared" si="0"/>
        <v>43.214285714285715</v>
      </c>
      <c r="J43" s="5">
        <v>7</v>
      </c>
      <c r="K43" s="5">
        <f>_xlfn.XLOOKUP($J43+1,tech[Tech Level],tech[TRP Cost])/COUNT(H$40:H$46)</f>
        <v>8.5714285714285712</v>
      </c>
      <c r="L43" s="5">
        <f>$K43*((5+4*$G43)/10+LOG(_xlfn.XLOOKUP($A43,growth[Turn],growth[GHP]))*0.25)</f>
        <v>35.964238619681119</v>
      </c>
      <c r="M43" s="5">
        <v>7</v>
      </c>
      <c r="N43" s="5">
        <f>$K43*((5+4*$G43)/10+LOG(_xlfn.XLOOKUP($A43,growth[Turn],growth[GHP]))*0.25)</f>
        <v>35.964238619681119</v>
      </c>
      <c r="P43" s="5"/>
      <c r="R43" s="5"/>
      <c r="T43" s="5"/>
      <c r="V43" s="5"/>
      <c r="X43" s="5"/>
      <c r="Y43" s="23">
        <f>SUM($F43,$I43,$L43,$N43,$P43,$R43,$T43,$V43,$X43)</f>
        <v>262.28524333966834</v>
      </c>
      <c r="Z43" s="23">
        <f>$C43-$Y43</f>
        <v>312.36370323508788</v>
      </c>
      <c r="AA43" t="b">
        <f>IF($Y43&lt;$C43,TRUE,FALSE)</f>
        <v>1</v>
      </c>
    </row>
    <row r="44" spans="1:27" x14ac:dyDescent="0.25">
      <c r="A44" s="13">
        <v>43</v>
      </c>
      <c r="B44" s="5">
        <f>_xlfn.XLOOKUP($A44,growth[Turn],growth[NHV])</f>
        <v>1953.806418354171</v>
      </c>
      <c r="C44" s="5">
        <f>$B44*_xlfn.XLOOKUP($A44,budget[Turn],budget[R&amp;D])</f>
        <v>586.14192550625125</v>
      </c>
      <c r="D44" s="5">
        <f>_xlfn.XLOOKUP($A44,growth[Turn],growth[EL])</f>
        <v>7</v>
      </c>
      <c r="E44" s="24">
        <f>_xlfn.XLOOKUP($D44+1,el[EL Level],el[ERP Cost])/COUNT(D$40:D$46)</f>
        <v>17.142857142857142</v>
      </c>
      <c r="F44" s="23">
        <f>$E44*(5+LOG(_xlfn.XLOOKUP($A44,growth[Turn],growth[GHP]),10))</f>
        <v>147.28991190193898</v>
      </c>
      <c r="G44" s="5">
        <f>_xlfn.XLOOKUP($A44,growth[Turn],growth[SL])</f>
        <v>7</v>
      </c>
      <c r="H44" s="34">
        <f>_xlfn.XLOOKUP($G44+1,sl[SL],sl[SRP Cost])/COUNT(G$40:G$46)</f>
        <v>7.8571428571428568</v>
      </c>
      <c r="I44" s="5">
        <f t="shared" si="0"/>
        <v>43.214285714285715</v>
      </c>
      <c r="J44" s="5">
        <v>7</v>
      </c>
      <c r="K44" s="5">
        <f>_xlfn.XLOOKUP($J44+1,tech[Tech Level],tech[TRP Cost])/COUNT(H$40:H$46)</f>
        <v>8.5714285714285712</v>
      </c>
      <c r="L44" s="5">
        <f>$K44*((5+4*$G44)/10+LOG(_xlfn.XLOOKUP($A44,growth[Turn],growth[GHP]))*0.25)</f>
        <v>35.982667559170942</v>
      </c>
      <c r="M44" s="5">
        <v>7</v>
      </c>
      <c r="N44" s="5">
        <f>$K44*((5+4*$G44)/10+LOG(_xlfn.XLOOKUP($A44,growth[Turn],growth[GHP]))*0.25)</f>
        <v>35.982667559170942</v>
      </c>
      <c r="P44" s="5"/>
      <c r="R44" s="5"/>
      <c r="T44" s="5"/>
      <c r="V44" s="5"/>
      <c r="X44" s="5"/>
      <c r="Y44" s="23">
        <f>SUM($F44,$I44,$L44,$N44,$P44,$R44,$T44,$V44,$X44)</f>
        <v>262.4695327345666</v>
      </c>
      <c r="Z44" s="23">
        <f>$C44-$Y44</f>
        <v>323.67239277168466</v>
      </c>
      <c r="AA44" t="b">
        <f>IF($Y44&lt;$C44,TRUE,FALSE)</f>
        <v>1</v>
      </c>
    </row>
    <row r="45" spans="1:27" x14ac:dyDescent="0.25">
      <c r="A45" s="13">
        <v>44</v>
      </c>
      <c r="B45" s="5">
        <f>_xlfn.XLOOKUP($A45,growth[Turn],growth[NHV])</f>
        <v>1992.8825467212544</v>
      </c>
      <c r="C45" s="5">
        <f>$B45*_xlfn.XLOOKUP($A45,budget[Turn],budget[R&amp;D])</f>
        <v>597.86476401637628</v>
      </c>
      <c r="D45" s="5">
        <f>_xlfn.XLOOKUP($A45,growth[Turn],growth[EL])</f>
        <v>7</v>
      </c>
      <c r="E45" s="24">
        <f>_xlfn.XLOOKUP($D45+1,el[EL Level],el[ERP Cost])/COUNT(D$40:D$46)</f>
        <v>17.142857142857142</v>
      </c>
      <c r="F45" s="23">
        <f>$E45*(5+LOG(_xlfn.XLOOKUP($A45,growth[Turn],growth[GHP]),10))</f>
        <v>147.43734341785753</v>
      </c>
      <c r="G45" s="5">
        <f>_xlfn.XLOOKUP($A45,growth[Turn],growth[SL])</f>
        <v>7</v>
      </c>
      <c r="H45" s="34">
        <f>_xlfn.XLOOKUP($G45+1,sl[SL],sl[SRP Cost])/COUNT(G$40:G$46)</f>
        <v>7.8571428571428568</v>
      </c>
      <c r="I45" s="5">
        <f t="shared" si="0"/>
        <v>43.214285714285715</v>
      </c>
      <c r="J45" s="5">
        <v>7</v>
      </c>
      <c r="K45" s="5">
        <f>_xlfn.XLOOKUP($J45+1,tech[Tech Level],tech[TRP Cost])/COUNT(H$40:H$46)</f>
        <v>8.5714285714285712</v>
      </c>
      <c r="L45" s="5">
        <f>$K45*((5+4*$G45)/10+LOG(_xlfn.XLOOKUP($A45,growth[Turn],growth[GHP]))*0.25)</f>
        <v>36.001096498660758</v>
      </c>
      <c r="M45" s="5">
        <v>7</v>
      </c>
      <c r="N45" s="5">
        <f>$K45*((5+4*$G45)/10+LOG(_xlfn.XLOOKUP($A45,growth[Turn],growth[GHP]))*0.25)</f>
        <v>36.001096498660758</v>
      </c>
      <c r="P45" s="5"/>
      <c r="R45" s="5"/>
      <c r="T45" s="5"/>
      <c r="V45" s="5"/>
      <c r="X45" s="5"/>
      <c r="Y45" s="23">
        <f>SUM($F45,$I45,$L45,$N45,$P45,$R45,$T45,$V45,$X45)</f>
        <v>262.65382212946474</v>
      </c>
      <c r="Z45" s="23">
        <f>$C45-$Y45</f>
        <v>335.21094188691154</v>
      </c>
      <c r="AA45" t="b">
        <f>IF($Y45&lt;$C45,TRUE,FALSE)</f>
        <v>1</v>
      </c>
    </row>
    <row r="46" spans="1:27" x14ac:dyDescent="0.25">
      <c r="A46" s="13">
        <v>45</v>
      </c>
      <c r="B46" s="5">
        <f>_xlfn.XLOOKUP($A46,growth[Turn],growth[NHV])</f>
        <v>2032.7401976556796</v>
      </c>
      <c r="C46" s="5">
        <f>$B46*_xlfn.XLOOKUP($A46,budget[Turn],budget[R&amp;D])</f>
        <v>609.82205929670386</v>
      </c>
      <c r="D46" s="5">
        <f>_xlfn.XLOOKUP($A46,growth[Turn],growth[EL])</f>
        <v>7</v>
      </c>
      <c r="E46" s="24">
        <f>_xlfn.XLOOKUP($D46+1,el[EL Level],el[ERP Cost])/COUNT(D$40:D$46)</f>
        <v>17.142857142857142</v>
      </c>
      <c r="F46" s="23">
        <f>$E46*(5+LOG(_xlfn.XLOOKUP($A46,growth[Turn],growth[GHP]),10))</f>
        <v>147.58477493377612</v>
      </c>
      <c r="G46" s="5">
        <f>_xlfn.XLOOKUP($A46,growth[Turn],growth[SL])</f>
        <v>7</v>
      </c>
      <c r="H46" s="34">
        <f>_xlfn.XLOOKUP($G46+1,sl[SL],sl[SRP Cost])/COUNT(G$40:G$46)</f>
        <v>7.8571428571428568</v>
      </c>
      <c r="I46" s="5">
        <f t="shared" si="0"/>
        <v>43.214285714285715</v>
      </c>
      <c r="J46" s="5">
        <v>7</v>
      </c>
      <c r="K46" s="5">
        <f>_xlfn.XLOOKUP($J46+1,tech[Tech Level],tech[TRP Cost])/COUNT(H$40:H$46)</f>
        <v>8.5714285714285712</v>
      </c>
      <c r="L46" s="5">
        <f>$K46*((5+4*$G46)/10+LOG(_xlfn.XLOOKUP($A46,growth[Turn],growth[GHP]))*0.25)</f>
        <v>36.019525438150588</v>
      </c>
      <c r="M46" s="5">
        <v>7</v>
      </c>
      <c r="N46" s="5">
        <f>$K46*((5+4*$G46)/10+LOG(_xlfn.XLOOKUP($A46,growth[Turn],growth[GHP]))*0.25)</f>
        <v>36.019525438150588</v>
      </c>
      <c r="P46" s="5"/>
      <c r="R46" s="5"/>
      <c r="T46" s="5"/>
      <c r="V46" s="5"/>
      <c r="X46" s="5"/>
      <c r="Y46" s="23">
        <f>SUM($F46,$I46,$L46,$N46,$P46,$R46,$T46,$V46,$X46)</f>
        <v>262.838111524363</v>
      </c>
      <c r="Z46" s="23">
        <f>$C46-$Y46</f>
        <v>346.98394777234085</v>
      </c>
      <c r="AA46" t="b">
        <f>IF($Y46&lt;$C46,TRUE,FALSE)</f>
        <v>1</v>
      </c>
    </row>
    <row r="47" spans="1:27" x14ac:dyDescent="0.25">
      <c r="A47" s="12">
        <v>46</v>
      </c>
      <c r="B47" s="5">
        <f>_xlfn.XLOOKUP($A47,growth[Turn],growth[NHV])</f>
        <v>2150.1874090757851</v>
      </c>
      <c r="C47" s="5">
        <f>$B47*_xlfn.XLOOKUP($A47,budget[Turn],budget[R&amp;D])</f>
        <v>645.05622272273547</v>
      </c>
      <c r="D47" s="5">
        <f>_xlfn.XLOOKUP($A47,growth[Turn],growth[EL])</f>
        <v>8</v>
      </c>
      <c r="E47" s="25">
        <f>_xlfn.XLOOKUP($D47+1,el[EL Level],el[ERP Cost])/COUNT(D$47:D$53)</f>
        <v>18.571428571428573</v>
      </c>
      <c r="F47" s="23">
        <f>$E47*(5+LOG(_xlfn.XLOOKUP($A47,growth[Turn],growth[GHP]),10))</f>
        <v>160.3365457586674</v>
      </c>
      <c r="G47" s="5">
        <f>_xlfn.XLOOKUP($A47,growth[Turn],growth[SL])</f>
        <v>8</v>
      </c>
      <c r="H47" s="26">
        <f>_xlfn.XLOOKUP($G47+1,sl[SL],sl[SRP Cost])/COUNT(G$47:G$53)</f>
        <v>7.8571428571428568</v>
      </c>
      <c r="I47" s="5">
        <f t="shared" si="0"/>
        <v>47.142857142857139</v>
      </c>
      <c r="J47" s="5">
        <v>8</v>
      </c>
      <c r="K47" s="5">
        <f>_xlfn.XLOOKUP($J47+1,tech[Tech Level],tech[TRP Cost])/COUNT(H$47:H$53)</f>
        <v>9.2857142857142865</v>
      </c>
      <c r="L47" s="5">
        <f>$K47*((5+4*$G47)/10+LOG(_xlfn.XLOOKUP($A47,growth[Turn],growth[GHP]))*0.25)</f>
        <v>42.792068219833432</v>
      </c>
      <c r="M47" s="5">
        <v>8</v>
      </c>
      <c r="N47" s="5">
        <f>$K47*((5+4*$G47)/10+LOG(_xlfn.XLOOKUP($A47,growth[Turn],growth[GHP]))*0.25)</f>
        <v>42.792068219833432</v>
      </c>
      <c r="P47" s="5"/>
      <c r="R47" s="5"/>
      <c r="T47" s="5"/>
      <c r="V47" s="5"/>
      <c r="X47" s="5"/>
      <c r="Y47" s="23">
        <f>SUM($F47,$I47,$L47,$N47,$P47,$R47,$T47,$V47,$X47)</f>
        <v>293.06353934119142</v>
      </c>
      <c r="Z47" s="23">
        <f>$C47-$Y47</f>
        <v>351.99268338154405</v>
      </c>
      <c r="AA47" t="b">
        <f>IF($Y47&lt;$C47,TRUE,FALSE)</f>
        <v>1</v>
      </c>
    </row>
    <row r="48" spans="1:27" x14ac:dyDescent="0.25">
      <c r="A48" s="13">
        <v>47</v>
      </c>
      <c r="B48" s="5">
        <f>_xlfn.XLOOKUP($A48,growth[Turn],growth[NHV])</f>
        <v>2193.1911572573013</v>
      </c>
      <c r="C48" s="5">
        <f>$B48*_xlfn.XLOOKUP($A48,budget[Turn],budget[R&amp;D])</f>
        <v>657.9573471771904</v>
      </c>
      <c r="D48" s="5">
        <f>_xlfn.XLOOKUP($A48,growth[Turn],growth[EL])</f>
        <v>8</v>
      </c>
      <c r="E48" s="25">
        <f>_xlfn.XLOOKUP($D48+1,el[EL Level],el[ERP Cost])/COUNT(D$47:D$53)</f>
        <v>18.571428571428573</v>
      </c>
      <c r="F48" s="23">
        <f>$E48*(5+LOG(_xlfn.XLOOKUP($A48,growth[Turn],growth[GHP]),10))</f>
        <v>160.49626323424587</v>
      </c>
      <c r="G48" s="5">
        <f>_xlfn.XLOOKUP($A48,growth[Turn],growth[SL])</f>
        <v>8</v>
      </c>
      <c r="H48" s="26">
        <f>_xlfn.XLOOKUP($G48+1,sl[SL],sl[SRP Cost])/COUNT(G$47:G$53)</f>
        <v>7.8571428571428568</v>
      </c>
      <c r="I48" s="5">
        <f t="shared" si="0"/>
        <v>47.142857142857139</v>
      </c>
      <c r="J48" s="5">
        <v>8</v>
      </c>
      <c r="K48" s="5">
        <f>_xlfn.XLOOKUP($J48+1,tech[Tech Level],tech[TRP Cost])/COUNT(H$47:H$53)</f>
        <v>9.2857142857142865</v>
      </c>
      <c r="L48" s="5">
        <f>$K48*((5+4*$G48)/10+LOG(_xlfn.XLOOKUP($A48,growth[Turn],growth[GHP]))*0.25)</f>
        <v>42.812032904280741</v>
      </c>
      <c r="M48" s="5">
        <v>8</v>
      </c>
      <c r="N48" s="5">
        <f>$K48*((5+4*$G48)/10+LOG(_xlfn.XLOOKUP($A48,growth[Turn],growth[GHP]))*0.25)</f>
        <v>42.812032904280741</v>
      </c>
      <c r="P48" s="5"/>
      <c r="R48" s="5"/>
      <c r="T48" s="5"/>
      <c r="V48" s="5"/>
      <c r="X48" s="5"/>
      <c r="Y48" s="23">
        <f>SUM($F48,$I48,$L48,$N48,$P48,$R48,$T48,$V48,$X48)</f>
        <v>293.26318618566449</v>
      </c>
      <c r="Z48" s="23">
        <f>$C48-$Y48</f>
        <v>364.69416099152591</v>
      </c>
      <c r="AA48" t="b">
        <f>IF($Y48&lt;$C48,TRUE,FALSE)</f>
        <v>1</v>
      </c>
    </row>
    <row r="49" spans="1:27" x14ac:dyDescent="0.25">
      <c r="A49" s="13">
        <v>48</v>
      </c>
      <c r="B49" s="5">
        <f>_xlfn.XLOOKUP($A49,growth[Turn],growth[NHV])</f>
        <v>2237.0549804024472</v>
      </c>
      <c r="C49" s="5">
        <f>$B49*_xlfn.XLOOKUP($A49,budget[Turn],budget[R&amp;D])</f>
        <v>671.11649412073416</v>
      </c>
      <c r="D49" s="5">
        <f>_xlfn.XLOOKUP($A49,growth[Turn],growth[EL])</f>
        <v>8</v>
      </c>
      <c r="E49" s="25">
        <f>_xlfn.XLOOKUP($D49+1,el[EL Level],el[ERP Cost])/COUNT(D$47:D$53)</f>
        <v>18.571428571428573</v>
      </c>
      <c r="F49" s="23">
        <f>$E49*(5+LOG(_xlfn.XLOOKUP($A49,growth[Turn],growth[GHP]),10))</f>
        <v>160.65598070982435</v>
      </c>
      <c r="G49" s="5">
        <f>_xlfn.XLOOKUP($A49,growth[Turn],growth[SL])</f>
        <v>8</v>
      </c>
      <c r="H49" s="26">
        <f>_xlfn.XLOOKUP($G49+1,sl[SL],sl[SRP Cost])/COUNT(G$47:G$53)</f>
        <v>7.8571428571428568</v>
      </c>
      <c r="I49" s="5">
        <f t="shared" si="0"/>
        <v>47.142857142857139</v>
      </c>
      <c r="J49" s="5">
        <v>8</v>
      </c>
      <c r="K49" s="5">
        <f>_xlfn.XLOOKUP($J49+1,tech[Tech Level],tech[TRP Cost])/COUNT(H$47:H$53)</f>
        <v>9.2857142857142865</v>
      </c>
      <c r="L49" s="5">
        <f>$K49*((5+4*$G49)/10+LOG(_xlfn.XLOOKUP($A49,growth[Turn],growth[GHP]))*0.25)</f>
        <v>42.831997588728051</v>
      </c>
      <c r="M49" s="5">
        <v>8</v>
      </c>
      <c r="N49" s="5">
        <f>$K49*((5+4*$G49)/10+LOG(_xlfn.XLOOKUP($A49,growth[Turn],growth[GHP]))*0.25)</f>
        <v>42.831997588728051</v>
      </c>
      <c r="P49" s="5"/>
      <c r="R49" s="5"/>
      <c r="T49" s="5"/>
      <c r="V49" s="5"/>
      <c r="X49" s="5"/>
      <c r="Y49" s="23">
        <f>SUM($F49,$I49,$L49,$N49,$P49,$R49,$T49,$V49,$X49)</f>
        <v>293.46283303013757</v>
      </c>
      <c r="Z49" s="23">
        <f>$C49-$Y49</f>
        <v>377.65366109059659</v>
      </c>
      <c r="AA49" t="b">
        <f>IF($Y49&lt;$C49,TRUE,FALSE)</f>
        <v>1</v>
      </c>
    </row>
    <row r="50" spans="1:27" x14ac:dyDescent="0.25">
      <c r="A50" s="13">
        <v>49</v>
      </c>
      <c r="B50" s="5">
        <f>_xlfn.XLOOKUP($A50,growth[Turn],growth[NHV])</f>
        <v>2281.7960800104961</v>
      </c>
      <c r="C50" s="5">
        <f>$B50*_xlfn.XLOOKUP($A50,budget[Turn],budget[R&amp;D])</f>
        <v>684.53882400314876</v>
      </c>
      <c r="D50" s="5">
        <f>_xlfn.XLOOKUP($A50,growth[Turn],growth[EL])</f>
        <v>8</v>
      </c>
      <c r="E50" s="25">
        <f>_xlfn.XLOOKUP($D50+1,el[EL Level],el[ERP Cost])/COUNT(D$47:D$53)</f>
        <v>18.571428571428573</v>
      </c>
      <c r="F50" s="23">
        <f>$E50*(5+LOG(_xlfn.XLOOKUP($A50,growth[Turn],growth[GHP]),10))</f>
        <v>160.81569818540279</v>
      </c>
      <c r="G50" s="5">
        <f>_xlfn.XLOOKUP($A50,growth[Turn],growth[SL])</f>
        <v>8</v>
      </c>
      <c r="H50" s="26">
        <f>_xlfn.XLOOKUP($G50+1,sl[SL],sl[SRP Cost])/COUNT(G$47:G$53)</f>
        <v>7.8571428571428568</v>
      </c>
      <c r="I50" s="5">
        <f t="shared" si="0"/>
        <v>47.142857142857139</v>
      </c>
      <c r="J50" s="5">
        <v>8</v>
      </c>
      <c r="K50" s="5">
        <f>_xlfn.XLOOKUP($J50+1,tech[Tech Level],tech[TRP Cost])/COUNT(H$47:H$53)</f>
        <v>9.2857142857142865</v>
      </c>
      <c r="L50" s="5">
        <f>$K50*((5+4*$G50)/10+LOG(_xlfn.XLOOKUP($A50,growth[Turn],growth[GHP]))*0.25)</f>
        <v>42.851962273175353</v>
      </c>
      <c r="M50" s="5">
        <v>8</v>
      </c>
      <c r="N50" s="5">
        <f>$K50*((5+4*$G50)/10+LOG(_xlfn.XLOOKUP($A50,growth[Turn],growth[GHP]))*0.25)</f>
        <v>42.851962273175353</v>
      </c>
      <c r="P50" s="5"/>
      <c r="R50" s="5"/>
      <c r="T50" s="5"/>
      <c r="V50" s="5"/>
      <c r="X50" s="5"/>
      <c r="Y50" s="23">
        <f>SUM($F50,$I50,$L50,$N50,$P50,$R50,$T50,$V50,$X50)</f>
        <v>293.66247987461065</v>
      </c>
      <c r="Z50" s="23">
        <f>$C50-$Y50</f>
        <v>390.87634412853811</v>
      </c>
      <c r="AA50" t="b">
        <f>IF($Y50&lt;$C50,TRUE,FALSE)</f>
        <v>1</v>
      </c>
    </row>
    <row r="51" spans="1:27" x14ac:dyDescent="0.25">
      <c r="A51" s="13">
        <v>50</v>
      </c>
      <c r="B51" s="5">
        <f>_xlfn.XLOOKUP($A51,growth[Turn],growth[NHV])</f>
        <v>2327.4320016107058</v>
      </c>
      <c r="C51" s="5">
        <f>$B51*_xlfn.XLOOKUP($A51,budget[Turn],budget[R&amp;D])</f>
        <v>698.2296004832117</v>
      </c>
      <c r="D51" s="5">
        <f>_xlfn.XLOOKUP($A51,growth[Turn],growth[EL])</f>
        <v>8</v>
      </c>
      <c r="E51" s="25">
        <f>_xlfn.XLOOKUP($D51+1,el[EL Level],el[ERP Cost])/COUNT(D$47:D$53)</f>
        <v>18.571428571428573</v>
      </c>
      <c r="F51" s="23">
        <f>$E51*(5+LOG(_xlfn.XLOOKUP($A51,growth[Turn],growth[GHP]),10))</f>
        <v>160.9754156609813</v>
      </c>
      <c r="G51" s="5">
        <f>_xlfn.XLOOKUP($A51,growth[Turn],growth[SL])</f>
        <v>8</v>
      </c>
      <c r="H51" s="26">
        <f>_xlfn.XLOOKUP($G51+1,sl[SL],sl[SRP Cost])/COUNT(G$47:G$53)</f>
        <v>7.8571428571428568</v>
      </c>
      <c r="I51" s="5">
        <f t="shared" si="0"/>
        <v>47.142857142857139</v>
      </c>
      <c r="J51" s="5">
        <v>8</v>
      </c>
      <c r="K51" s="5">
        <f>_xlfn.XLOOKUP($J51+1,tech[Tech Level],tech[TRP Cost])/COUNT(H$47:H$53)</f>
        <v>9.2857142857142865</v>
      </c>
      <c r="L51" s="5">
        <f>$K51*((5+4*$G51)/10+LOG(_xlfn.XLOOKUP($A51,growth[Turn],growth[GHP]))*0.25)</f>
        <v>42.871926957622669</v>
      </c>
      <c r="M51" s="5">
        <v>8</v>
      </c>
      <c r="N51" s="5">
        <f>$K51*((5+4*$G51)/10+LOG(_xlfn.XLOOKUP($A51,growth[Turn],growth[GHP]))*0.25)</f>
        <v>42.871926957622669</v>
      </c>
      <c r="P51" s="5"/>
      <c r="R51" s="5"/>
      <c r="T51" s="5"/>
      <c r="V51" s="5"/>
      <c r="X51" s="5"/>
      <c r="Y51" s="23">
        <f>SUM($F51,$I51,$L51,$N51,$P51,$R51,$T51,$V51,$X51)</f>
        <v>293.86212671908379</v>
      </c>
      <c r="Z51" s="23">
        <f>$C51-$Y51</f>
        <v>404.36747376412791</v>
      </c>
      <c r="AA51" t="b">
        <f>IF($Y51&lt;$C51,TRUE,FALSE)</f>
        <v>1</v>
      </c>
    </row>
    <row r="52" spans="1:27" x14ac:dyDescent="0.25">
      <c r="A52" s="13">
        <v>51</v>
      </c>
      <c r="B52" s="5">
        <f>_xlfn.XLOOKUP($A52,growth[Turn],growth[NHV])</f>
        <v>2373.9806416429201</v>
      </c>
      <c r="C52" s="5">
        <f>$B52*_xlfn.XLOOKUP($A52,budget[Turn],budget[R&amp;D])</f>
        <v>712.19419249287603</v>
      </c>
      <c r="D52" s="5">
        <f>_xlfn.XLOOKUP($A52,growth[Turn],growth[EL])</f>
        <v>8</v>
      </c>
      <c r="E52" s="25">
        <f>_xlfn.XLOOKUP($D52+1,el[EL Level],el[ERP Cost])/COUNT(D$47:D$53)</f>
        <v>18.571428571428573</v>
      </c>
      <c r="F52" s="23">
        <f>$E52*(5+LOG(_xlfn.XLOOKUP($A52,growth[Turn],growth[GHP]),10))</f>
        <v>161.13513313655974</v>
      </c>
      <c r="G52" s="5">
        <f>_xlfn.XLOOKUP($A52,growth[Turn],growth[SL])</f>
        <v>8</v>
      </c>
      <c r="H52" s="26">
        <f>_xlfn.XLOOKUP($G52+1,sl[SL],sl[SRP Cost])/COUNT(G$47:G$53)</f>
        <v>7.8571428571428568</v>
      </c>
      <c r="I52" s="5">
        <f t="shared" si="0"/>
        <v>47.142857142857139</v>
      </c>
      <c r="J52" s="5">
        <v>8</v>
      </c>
      <c r="K52" s="5">
        <f>_xlfn.XLOOKUP($J52+1,tech[Tech Level],tech[TRP Cost])/COUNT(H$47:H$53)</f>
        <v>9.2857142857142865</v>
      </c>
      <c r="L52" s="5">
        <f>$K52*((5+4*$G52)/10+LOG(_xlfn.XLOOKUP($A52,growth[Turn],growth[GHP]))*0.25)</f>
        <v>42.891891642069972</v>
      </c>
      <c r="M52" s="5">
        <v>8</v>
      </c>
      <c r="N52" s="5">
        <f>$K52*((5+4*$G52)/10+LOG(_xlfn.XLOOKUP($A52,growth[Turn],growth[GHP]))*0.25)</f>
        <v>42.891891642069972</v>
      </c>
      <c r="P52" s="5"/>
      <c r="R52" s="5"/>
      <c r="T52" s="5"/>
      <c r="V52" s="5"/>
      <c r="X52" s="5"/>
      <c r="Y52" s="23">
        <f>SUM($F52,$I52,$L52,$N52,$P52,$R52,$T52,$V52,$X52)</f>
        <v>294.06177356355681</v>
      </c>
      <c r="Z52" s="23">
        <f>$C52-$Y52</f>
        <v>418.13241892931921</v>
      </c>
      <c r="AA52" t="b">
        <f>IF($Y52&lt;$C52,TRUE,FALSE)</f>
        <v>1</v>
      </c>
    </row>
    <row r="53" spans="1:27" x14ac:dyDescent="0.25">
      <c r="A53" s="13">
        <v>52</v>
      </c>
      <c r="B53" s="5">
        <f>_xlfn.XLOOKUP($A53,growth[Turn],growth[NHV])</f>
        <v>2421.4602544757786</v>
      </c>
      <c r="C53" s="5">
        <f>$B53*_xlfn.XLOOKUP($A53,budget[Turn],budget[R&amp;D])</f>
        <v>726.43807634273355</v>
      </c>
      <c r="D53" s="5">
        <f>_xlfn.XLOOKUP($A53,growth[Turn],growth[EL])</f>
        <v>8</v>
      </c>
      <c r="E53" s="25">
        <f>_xlfn.XLOOKUP($D53+1,el[EL Level],el[ERP Cost])/COUNT(D$47:D$53)</f>
        <v>18.571428571428573</v>
      </c>
      <c r="F53" s="23">
        <f>$E53*(5+LOG(_xlfn.XLOOKUP($A53,growth[Turn],growth[GHP]),10))</f>
        <v>161.29485061213822</v>
      </c>
      <c r="G53" s="5">
        <f>_xlfn.XLOOKUP($A53,growth[Turn],growth[SL])</f>
        <v>8</v>
      </c>
      <c r="H53" s="26">
        <f>_xlfn.XLOOKUP($G53+1,sl[SL],sl[SRP Cost])/COUNT(G$47:G$53)</f>
        <v>7.8571428571428568</v>
      </c>
      <c r="I53" s="5">
        <f t="shared" si="0"/>
        <v>47.142857142857139</v>
      </c>
      <c r="J53" s="5">
        <v>8</v>
      </c>
      <c r="K53" s="5">
        <f>_xlfn.XLOOKUP($J53+1,tech[Tech Level],tech[TRP Cost])/COUNT(H$47:H$53)</f>
        <v>9.2857142857142865</v>
      </c>
      <c r="L53" s="5">
        <f>$K53*((5+4*$G53)/10+LOG(_xlfn.XLOOKUP($A53,growth[Turn],growth[GHP]))*0.25)</f>
        <v>42.911856326517288</v>
      </c>
      <c r="M53" s="5">
        <v>8</v>
      </c>
      <c r="N53" s="5">
        <f>$K53*((5+4*$G53)/10+LOG(_xlfn.XLOOKUP($A53,growth[Turn],growth[GHP]))*0.25)</f>
        <v>42.911856326517288</v>
      </c>
      <c r="P53" s="5"/>
      <c r="R53" s="5"/>
      <c r="T53" s="5"/>
      <c r="V53" s="5"/>
      <c r="X53" s="5"/>
      <c r="Y53" s="23">
        <f>SUM($F53,$I53,$L53,$N53,$P53,$R53,$T53,$V53,$X53)</f>
        <v>294.26142040802995</v>
      </c>
      <c r="Z53" s="23">
        <f>$C53-$Y53</f>
        <v>432.1766559347036</v>
      </c>
      <c r="AA53" t="b">
        <f>IF($Y53&lt;$C53,TRUE,FALSE)</f>
        <v>1</v>
      </c>
    </row>
    <row r="54" spans="1:27" x14ac:dyDescent="0.25">
      <c r="A54" s="12">
        <v>53</v>
      </c>
      <c r="B54" s="5">
        <f>_xlfn.XLOOKUP($A54,growth[Turn],growth[NHV])</f>
        <v>2558.0997974069119</v>
      </c>
      <c r="C54" s="5">
        <f>$B54*_xlfn.XLOOKUP($A54,budget[Turn],budget[R&amp;D])</f>
        <v>767.42993922207359</v>
      </c>
      <c r="D54" s="5">
        <f>_xlfn.XLOOKUP($A54,growth[Turn],growth[EL])</f>
        <v>9</v>
      </c>
      <c r="E54" s="24">
        <f>_xlfn.XLOOKUP($D54+1,el[EL Level],el[ERP Cost])/COUNT(D$54:D$60)</f>
        <v>20</v>
      </c>
      <c r="F54" s="23">
        <f>$E54*(5+LOG(_xlfn.XLOOKUP($A54,growth[Turn],growth[GHP]),10))</f>
        <v>174.178949579445</v>
      </c>
      <c r="G54" s="5">
        <f>_xlfn.XLOOKUP($A54,growth[Turn],growth[SL])</f>
        <v>9</v>
      </c>
      <c r="H54" s="34">
        <f>_xlfn.XLOOKUP($G54+1,sl[SL],sl[SRP Cost])/COUNT(G$54:G$60)</f>
        <v>7.8571428571428568</v>
      </c>
      <c r="I54" s="5">
        <f t="shared" si="0"/>
        <v>51.071428571428569</v>
      </c>
      <c r="J54" s="5">
        <v>9</v>
      </c>
      <c r="K54" s="5">
        <f>_xlfn.XLOOKUP($J54+1,tech[Tech Level],tech[TRP Cost])/COUNT(H$54:H$60)</f>
        <v>10</v>
      </c>
      <c r="L54" s="5">
        <f>$K54*((5+4*$G54)/10+LOG(_xlfn.XLOOKUP($A54,growth[Turn],growth[GHP]))*0.25)</f>
        <v>50.272368697430629</v>
      </c>
      <c r="M54" s="5">
        <v>9</v>
      </c>
      <c r="N54" s="5">
        <f>$K54*((5+4*$G54)/10+LOG(_xlfn.XLOOKUP($A54,growth[Turn],growth[GHP]))*0.25)</f>
        <v>50.272368697430629</v>
      </c>
      <c r="P54" s="5"/>
      <c r="R54" s="5"/>
      <c r="T54" s="5"/>
      <c r="V54" s="5"/>
      <c r="X54" s="5"/>
      <c r="Y54" s="23">
        <f>SUM($F54,$I54,$L54,$N54,$P54,$R54,$T54,$V54,$X54)</f>
        <v>325.79511554573486</v>
      </c>
      <c r="Z54" s="23">
        <f>$C54-$Y54</f>
        <v>441.63482367633873</v>
      </c>
      <c r="AA54" t="b">
        <f>IF($Y54&lt;$C54,TRUE,FALSE)</f>
        <v>1</v>
      </c>
    </row>
    <row r="55" spans="1:27" x14ac:dyDescent="0.25">
      <c r="A55" s="13">
        <v>54</v>
      </c>
      <c r="B55" s="5">
        <f>_xlfn.XLOOKUP($A55,growth[Turn],growth[NHV])</f>
        <v>2609.26179335505</v>
      </c>
      <c r="C55" s="5">
        <f>$B55*_xlfn.XLOOKUP($A55,budget[Turn],budget[R&amp;D])</f>
        <v>782.77853800651496</v>
      </c>
      <c r="D55" s="5">
        <f>_xlfn.XLOOKUP($A55,growth[Turn],growth[EL])</f>
        <v>9</v>
      </c>
      <c r="E55" s="24">
        <f>_xlfn.XLOOKUP($D55+1,el[EL Level],el[ERP Cost])/COUNT(D$54:D$60)</f>
        <v>20</v>
      </c>
      <c r="F55" s="23">
        <f>$E55*(5+LOG(_xlfn.XLOOKUP($A55,growth[Turn],growth[GHP]),10))</f>
        <v>174.35095301468337</v>
      </c>
      <c r="G55" s="5">
        <f>_xlfn.XLOOKUP($A55,growth[Turn],growth[SL])</f>
        <v>9</v>
      </c>
      <c r="H55" s="34">
        <f>_xlfn.XLOOKUP($G55+1,sl[SL],sl[SRP Cost])/COUNT(G$54:G$60)</f>
        <v>7.8571428571428568</v>
      </c>
      <c r="I55" s="5">
        <f t="shared" si="0"/>
        <v>51.071428571428569</v>
      </c>
      <c r="J55" s="5">
        <v>9</v>
      </c>
      <c r="K55" s="5">
        <f>_xlfn.XLOOKUP($J55+1,tech[Tech Level],tech[TRP Cost])/COUNT(H$54:H$60)</f>
        <v>10</v>
      </c>
      <c r="L55" s="5">
        <f>$K55*((5+4*$G55)/10+LOG(_xlfn.XLOOKUP($A55,growth[Turn],growth[GHP]))*0.25)</f>
        <v>50.293869126835418</v>
      </c>
      <c r="M55" s="5">
        <v>9</v>
      </c>
      <c r="N55" s="5">
        <f>$K55*((5+4*$G55)/10+LOG(_xlfn.XLOOKUP($A55,growth[Turn],growth[GHP]))*0.25)</f>
        <v>50.293869126835418</v>
      </c>
      <c r="P55" s="5"/>
      <c r="R55" s="5"/>
      <c r="T55" s="5"/>
      <c r="V55" s="5"/>
      <c r="X55" s="5"/>
      <c r="Y55" s="23">
        <f>SUM($F55,$I55,$L55,$N55,$P55,$R55,$T55,$V55,$X55)</f>
        <v>326.01011983978282</v>
      </c>
      <c r="Z55" s="23">
        <f>$C55-$Y55</f>
        <v>456.76841816673215</v>
      </c>
      <c r="AA55" t="b">
        <f>IF($Y55&lt;$C55,TRUE,FALSE)</f>
        <v>1</v>
      </c>
    </row>
    <row r="56" spans="1:27" x14ac:dyDescent="0.25">
      <c r="A56" s="13">
        <v>55</v>
      </c>
      <c r="B56" s="5">
        <f>_xlfn.XLOOKUP($A56,growth[Turn],growth[NHV])</f>
        <v>2661.4470292221513</v>
      </c>
      <c r="C56" s="5">
        <f>$B56*_xlfn.XLOOKUP($A56,budget[Turn],budget[R&amp;D])</f>
        <v>798.43410876664541</v>
      </c>
      <c r="D56" s="5">
        <f>_xlfn.XLOOKUP($A56,growth[Turn],growth[EL])</f>
        <v>9</v>
      </c>
      <c r="E56" s="24">
        <f>_xlfn.XLOOKUP($D56+1,el[EL Level],el[ERP Cost])/COUNT(D$54:D$60)</f>
        <v>20</v>
      </c>
      <c r="F56" s="23">
        <f>$E56*(5+LOG(_xlfn.XLOOKUP($A56,growth[Turn],growth[GHP]),10))</f>
        <v>174.52295644992174</v>
      </c>
      <c r="G56" s="5">
        <f>_xlfn.XLOOKUP($A56,growth[Turn],growth[SL])</f>
        <v>9</v>
      </c>
      <c r="H56" s="34">
        <f>_xlfn.XLOOKUP($G56+1,sl[SL],sl[SRP Cost])/COUNT(G$54:G$60)</f>
        <v>7.8571428571428568</v>
      </c>
      <c r="I56" s="5">
        <f t="shared" si="0"/>
        <v>51.071428571428569</v>
      </c>
      <c r="J56" s="5">
        <v>9</v>
      </c>
      <c r="K56" s="5">
        <f>_xlfn.XLOOKUP($J56+1,tech[Tech Level],tech[TRP Cost])/COUNT(H$54:H$60)</f>
        <v>10</v>
      </c>
      <c r="L56" s="5">
        <f>$K56*((5+4*$G56)/10+LOG(_xlfn.XLOOKUP($A56,growth[Turn],growth[GHP]))*0.25)</f>
        <v>50.315369556240206</v>
      </c>
      <c r="M56" s="5">
        <v>9</v>
      </c>
      <c r="N56" s="5">
        <f>$K56*((5+4*$G56)/10+LOG(_xlfn.XLOOKUP($A56,growth[Turn],growth[GHP]))*0.25)</f>
        <v>50.315369556240206</v>
      </c>
      <c r="P56" s="5"/>
      <c r="R56" s="5"/>
      <c r="T56" s="5"/>
      <c r="V56" s="5"/>
      <c r="X56" s="5"/>
      <c r="Y56" s="23">
        <f>SUM($F56,$I56,$L56,$N56,$P56,$R56,$T56,$V56,$X56)</f>
        <v>326.22512413383078</v>
      </c>
      <c r="Z56" s="23">
        <f>$C56-$Y56</f>
        <v>472.20898463281463</v>
      </c>
      <c r="AA56" t="b">
        <f>IF($Y56&lt;$C56,TRUE,FALSE)</f>
        <v>1</v>
      </c>
    </row>
    <row r="57" spans="1:27" x14ac:dyDescent="0.25">
      <c r="A57" s="13">
        <v>56</v>
      </c>
      <c r="B57" s="5">
        <f>_xlfn.XLOOKUP($A57,growth[Turn],growth[NHV])</f>
        <v>2714.6759698065948</v>
      </c>
      <c r="C57" s="5">
        <f>$B57*_xlfn.XLOOKUP($A57,budget[Turn],budget[R&amp;D])</f>
        <v>814.40279094197842</v>
      </c>
      <c r="D57" s="5">
        <f>_xlfn.XLOOKUP($A57,growth[Turn],growth[EL])</f>
        <v>9</v>
      </c>
      <c r="E57" s="24">
        <f>_xlfn.XLOOKUP($D57+1,el[EL Level],el[ERP Cost])/COUNT(D$54:D$60)</f>
        <v>20</v>
      </c>
      <c r="F57" s="23">
        <f>$E57*(5+LOG(_xlfn.XLOOKUP($A57,growth[Turn],growth[GHP]),10))</f>
        <v>174.69495988516007</v>
      </c>
      <c r="G57" s="5">
        <f>_xlfn.XLOOKUP($A57,growth[Turn],growth[SL])</f>
        <v>9</v>
      </c>
      <c r="H57" s="34">
        <f>_xlfn.XLOOKUP($G57+1,sl[SL],sl[SRP Cost])/COUNT(G$54:G$60)</f>
        <v>7.8571428571428568</v>
      </c>
      <c r="I57" s="5">
        <f t="shared" si="0"/>
        <v>51.071428571428569</v>
      </c>
      <c r="J57" s="5">
        <v>9</v>
      </c>
      <c r="K57" s="5">
        <f>_xlfn.XLOOKUP($J57+1,tech[Tech Level],tech[TRP Cost])/COUNT(H$54:H$60)</f>
        <v>10</v>
      </c>
      <c r="L57" s="5">
        <f>$K57*((5+4*$G57)/10+LOG(_xlfn.XLOOKUP($A57,growth[Turn],growth[GHP]))*0.25)</f>
        <v>50.336869985645009</v>
      </c>
      <c r="M57" s="5">
        <v>9</v>
      </c>
      <c r="N57" s="5">
        <f>$K57*((5+4*$G57)/10+LOG(_xlfn.XLOOKUP($A57,growth[Turn],growth[GHP]))*0.25)</f>
        <v>50.336869985645009</v>
      </c>
      <c r="P57" s="5"/>
      <c r="R57" s="5"/>
      <c r="T57" s="5"/>
      <c r="V57" s="5"/>
      <c r="X57" s="5"/>
      <c r="Y57" s="23">
        <f>SUM($F57,$I57,$L57,$N57,$P57,$R57,$T57,$V57,$X57)</f>
        <v>326.44012842787868</v>
      </c>
      <c r="Z57" s="23">
        <f>$C57-$Y57</f>
        <v>487.96266251409975</v>
      </c>
      <c r="AA57" t="b">
        <f>IF($Y57&lt;$C57,TRUE,FALSE)</f>
        <v>1</v>
      </c>
    </row>
    <row r="58" spans="1:27" x14ac:dyDescent="0.25">
      <c r="A58" s="13">
        <v>57</v>
      </c>
      <c r="B58" s="5">
        <f>_xlfn.XLOOKUP($A58,growth[Turn],growth[NHV])</f>
        <v>2768.9694892027269</v>
      </c>
      <c r="C58" s="5">
        <f>$B58*_xlfn.XLOOKUP($A58,budget[Turn],budget[R&amp;D])</f>
        <v>830.69084676081809</v>
      </c>
      <c r="D58" s="5">
        <f>_xlfn.XLOOKUP($A58,growth[Turn],growth[EL])</f>
        <v>9</v>
      </c>
      <c r="E58" s="24">
        <f>_xlfn.XLOOKUP($D58+1,el[EL Level],el[ERP Cost])/COUNT(D$54:D$60)</f>
        <v>20</v>
      </c>
      <c r="F58" s="23">
        <f>$E58*(5+LOG(_xlfn.XLOOKUP($A58,growth[Turn],growth[GHP]),10))</f>
        <v>174.86696332039841</v>
      </c>
      <c r="G58" s="5">
        <f>_xlfn.XLOOKUP($A58,growth[Turn],growth[SL])</f>
        <v>9</v>
      </c>
      <c r="H58" s="34">
        <f>_xlfn.XLOOKUP($G58+1,sl[SL],sl[SRP Cost])/COUNT(G$54:G$60)</f>
        <v>7.8571428571428568</v>
      </c>
      <c r="I58" s="5">
        <f t="shared" si="0"/>
        <v>51.071428571428569</v>
      </c>
      <c r="J58" s="5">
        <v>9</v>
      </c>
      <c r="K58" s="5">
        <f>_xlfn.XLOOKUP($J58+1,tech[Tech Level],tech[TRP Cost])/COUNT(H$54:H$60)</f>
        <v>10</v>
      </c>
      <c r="L58" s="5">
        <f>$K58*((5+4*$G58)/10+LOG(_xlfn.XLOOKUP($A58,growth[Turn],growth[GHP]))*0.25)</f>
        <v>50.358370415049798</v>
      </c>
      <c r="M58" s="5">
        <v>9</v>
      </c>
      <c r="N58" s="5">
        <f>$K58*((5+4*$G58)/10+LOG(_xlfn.XLOOKUP($A58,growth[Turn],growth[GHP]))*0.25)</f>
        <v>50.358370415049798</v>
      </c>
      <c r="P58" s="5"/>
      <c r="R58" s="5"/>
      <c r="T58" s="5"/>
      <c r="V58" s="5"/>
      <c r="X58" s="5"/>
      <c r="Y58" s="23">
        <f>SUM($F58,$I58,$L58,$N58,$P58,$R58,$T58,$V58,$X58)</f>
        <v>326.65513272192663</v>
      </c>
      <c r="Z58" s="23">
        <f>$C58-$Y58</f>
        <v>504.03571403889146</v>
      </c>
      <c r="AA58" t="b">
        <f>IF($Y58&lt;$C58,TRUE,FALSE)</f>
        <v>1</v>
      </c>
    </row>
    <row r="59" spans="1:27" ht="15.75" thickBot="1" x14ac:dyDescent="0.3">
      <c r="A59" s="13">
        <v>58</v>
      </c>
      <c r="B59" s="5">
        <f>_xlfn.XLOOKUP($A59,growth[Turn],growth[NHV])</f>
        <v>2824.3488789867815</v>
      </c>
      <c r="C59" s="5">
        <f>$B59*_xlfn.XLOOKUP($A59,budget[Turn],budget[R&amp;D])</f>
        <v>847.30466369603448</v>
      </c>
      <c r="D59" s="5">
        <f>_xlfn.XLOOKUP($A59,growth[Turn],growth[EL])</f>
        <v>9</v>
      </c>
      <c r="E59" s="24">
        <f>_xlfn.XLOOKUP($D59+1,el[EL Level],el[ERP Cost])/COUNT(D$54:D$60)</f>
        <v>20</v>
      </c>
      <c r="F59" s="23">
        <f>$E59*(5+LOG(_xlfn.XLOOKUP($A59,growth[Turn],growth[GHP]),10))</f>
        <v>175.03896675563678</v>
      </c>
      <c r="G59" s="5">
        <f>_xlfn.XLOOKUP($A59,growth[Turn],growth[SL])</f>
        <v>9</v>
      </c>
      <c r="H59" s="34">
        <f>_xlfn.XLOOKUP($G59+1,sl[SL],sl[SRP Cost])/COUNT(G$54:G$60)</f>
        <v>7.8571428571428568</v>
      </c>
      <c r="I59" s="5">
        <f t="shared" si="0"/>
        <v>51.071428571428569</v>
      </c>
      <c r="J59" s="5">
        <v>9</v>
      </c>
      <c r="K59" s="5">
        <f>_xlfn.XLOOKUP($J59+1,tech[Tech Level],tech[TRP Cost])/COUNT(H$54:H$60)</f>
        <v>10</v>
      </c>
      <c r="L59" s="5">
        <f>$K59*((5+4*$G59)/10+LOG(_xlfn.XLOOKUP($A59,growth[Turn],growth[GHP]))*0.25)</f>
        <v>50.379870844454601</v>
      </c>
      <c r="M59" s="5">
        <v>9</v>
      </c>
      <c r="N59" s="5">
        <f>$K59*((5+4*$G59)/10+LOG(_xlfn.XLOOKUP($A59,growth[Turn],growth[GHP]))*0.25)</f>
        <v>50.379870844454601</v>
      </c>
      <c r="P59" s="5"/>
      <c r="R59" s="5"/>
      <c r="T59" s="5"/>
      <c r="V59" s="5"/>
      <c r="X59" s="5"/>
      <c r="Y59" s="23">
        <f>SUM($F59,$I59,$L59,$N59,$P59,$R59,$T59,$V59,$X59)</f>
        <v>326.87013701597459</v>
      </c>
      <c r="Z59" s="23">
        <f>$C59-$Y59</f>
        <v>520.43452668005989</v>
      </c>
      <c r="AA59" t="b">
        <f>IF($Y59&lt;$C59,TRUE,FALSE)</f>
        <v>1</v>
      </c>
    </row>
    <row r="60" spans="1:27" ht="15.75" thickBot="1" x14ac:dyDescent="0.3">
      <c r="A60" s="22">
        <v>59</v>
      </c>
      <c r="B60" s="5">
        <f>_xlfn.XLOOKUP($A60,growth[Turn],growth[NHV])</f>
        <v>2980.1750240343281</v>
      </c>
      <c r="C60" s="5">
        <f>$B60*_xlfn.XLOOKUP($A60,budget[Turn],budget[R&amp;D])</f>
        <v>894.05250721029836</v>
      </c>
      <c r="D60" s="5">
        <f>_xlfn.XLOOKUP($A60,growth[Turn],growth[EL])</f>
        <v>10</v>
      </c>
      <c r="E60" s="24">
        <f>_xlfn.XLOOKUP($D60+1,el[EL Level],el[ERP Cost])/COUNT(D$54:D$60)</f>
        <v>20</v>
      </c>
      <c r="F60" s="23">
        <f>$E60*(5+LOG(_xlfn.XLOOKUP($A60,growth[Turn],growth[GHP]),10))</f>
        <v>175.50543532728923</v>
      </c>
      <c r="G60" s="5">
        <f>_xlfn.XLOOKUP($A60,growth[Turn],growth[SL])</f>
        <v>10</v>
      </c>
      <c r="H60" s="34">
        <f>_xlfn.XLOOKUP($G60+1,sl[SL],sl[SRP Cost])/COUNT(G$54:G$60)</f>
        <v>7.8571428571428568</v>
      </c>
      <c r="I60" s="5">
        <f t="shared" si="0"/>
        <v>55</v>
      </c>
      <c r="J60" s="5">
        <v>9</v>
      </c>
      <c r="K60" s="5">
        <f>_xlfn.XLOOKUP($J60+1,tech[Tech Level],tech[TRP Cost])/COUNT(H$54:H$60)</f>
        <v>10</v>
      </c>
      <c r="L60" s="5">
        <f>$K60*((5+4*$G60)/10+LOG(_xlfn.XLOOKUP($A60,growth[Turn],growth[GHP]))*0.25)</f>
        <v>54.438179415911151</v>
      </c>
      <c r="M60" s="5">
        <v>10</v>
      </c>
      <c r="N60" s="5">
        <f>$K60*((5+4*$G60)/10+LOG(_xlfn.XLOOKUP($A60,growth[Turn],growth[GHP]))*0.25)</f>
        <v>54.438179415911151</v>
      </c>
      <c r="P60" s="5"/>
      <c r="R60" s="5"/>
      <c r="T60" s="5"/>
      <c r="V60" s="5"/>
      <c r="X60" s="5"/>
      <c r="Y60" s="23">
        <f>SUM($F60,$I60,$L60,$N60,$P60,$R60,$T60,$V60,$X60)</f>
        <v>339.38179415911156</v>
      </c>
      <c r="Z60" s="23">
        <f>$C60-$Y60</f>
        <v>554.67071305118679</v>
      </c>
      <c r="AA60" t="b">
        <f>IF($Y60&lt;$C60,TRUE,FALSE)</f>
        <v>1</v>
      </c>
    </row>
    <row r="61" spans="1:27" x14ac:dyDescent="0.25">
      <c r="A61" s="13">
        <v>60</v>
      </c>
      <c r="B61" s="5">
        <f>_xlfn.XLOOKUP($A61,growth[Turn],growth[NHV])</f>
        <v>3039.7785245150144</v>
      </c>
      <c r="C61" s="5">
        <f>$B61*_xlfn.XLOOKUP($A61,budget[Turn],budget[R&amp;D])</f>
        <v>911.93355735450427</v>
      </c>
      <c r="D61" s="5"/>
      <c r="E61" s="23"/>
      <c r="F61" s="23"/>
      <c r="G61" s="5"/>
      <c r="J61" s="5">
        <v>10</v>
      </c>
      <c r="L61" s="5"/>
      <c r="M61" s="5">
        <v>10</v>
      </c>
      <c r="N61" s="5"/>
      <c r="Y61" s="23"/>
      <c r="Z61" s="23"/>
    </row>
    <row r="62" spans="1:27" x14ac:dyDescent="0.25">
      <c r="A62" s="13">
        <v>61</v>
      </c>
      <c r="B62" s="5">
        <f>_xlfn.XLOOKUP($A62,growth[Turn],growth[NHV])</f>
        <v>3100.5740950053146</v>
      </c>
      <c r="C62" s="5">
        <f>$B62*_xlfn.XLOOKUP($A62,budget[Turn],budget[R&amp;D])</f>
        <v>930.1722285015943</v>
      </c>
      <c r="D62" s="4"/>
      <c r="E62" s="23"/>
      <c r="F62" s="23"/>
      <c r="G62" s="23"/>
      <c r="L62" s="5"/>
      <c r="N62" s="5"/>
      <c r="Y62" s="23"/>
      <c r="Z62" s="23"/>
    </row>
    <row r="63" spans="1:27" x14ac:dyDescent="0.25">
      <c r="A63" s="13">
        <v>62</v>
      </c>
      <c r="B63" s="5">
        <f>_xlfn.XLOOKUP($A63,growth[Turn],growth[NHV])</f>
        <v>3162.5855769054215</v>
      </c>
      <c r="C63" s="5">
        <f>$B63*_xlfn.XLOOKUP($A63,budget[Turn],budget[R&amp;D])</f>
        <v>948.77567307162644</v>
      </c>
      <c r="D63" s="4"/>
      <c r="E63" s="23"/>
      <c r="F63" s="23"/>
      <c r="G63" s="23"/>
      <c r="L63" s="5"/>
      <c r="N63" s="5"/>
      <c r="Y63" s="23"/>
      <c r="Z63" s="23"/>
    </row>
    <row r="64" spans="1:27" x14ac:dyDescent="0.25">
      <c r="A64" s="13">
        <v>63</v>
      </c>
      <c r="B64" s="5">
        <f>_xlfn.XLOOKUP($A64,growth[Turn],growth[NHV])</f>
        <v>3225.8372884435303</v>
      </c>
      <c r="C64" s="5">
        <f>$B64*_xlfn.XLOOKUP($A64,budget[Turn],budget[R&amp;D])</f>
        <v>967.75118653305901</v>
      </c>
      <c r="D64" s="4"/>
      <c r="E64" s="23"/>
      <c r="F64" s="23"/>
      <c r="G64" s="23"/>
      <c r="L64" s="5"/>
      <c r="N64" s="5"/>
      <c r="Y64" s="23"/>
      <c r="Z64" s="23"/>
    </row>
    <row r="65" spans="1:26" x14ac:dyDescent="0.25">
      <c r="A65" s="13">
        <v>64</v>
      </c>
      <c r="B65" s="5">
        <f>_xlfn.XLOOKUP($A65,growth[Turn],growth[NHV])</f>
        <v>3290.3540342124006</v>
      </c>
      <c r="C65" s="5">
        <f>$B65*_xlfn.XLOOKUP($A65,budget[Turn],budget[R&amp;D])</f>
        <v>987.10621026372019</v>
      </c>
      <c r="D65" s="4"/>
      <c r="E65" s="23"/>
      <c r="F65" s="23"/>
      <c r="G65" s="23"/>
      <c r="L65" s="5"/>
      <c r="N65" s="5"/>
      <c r="Y65" s="23"/>
      <c r="Z65" s="23"/>
    </row>
    <row r="66" spans="1:26" x14ac:dyDescent="0.25">
      <c r="A66" s="13">
        <v>65</v>
      </c>
      <c r="B66" s="5">
        <f>_xlfn.XLOOKUP($A66,growth[Turn],growth[NHV])</f>
        <v>3356.1611148966495</v>
      </c>
      <c r="C66" s="5">
        <f>$B66*_xlfn.XLOOKUP($A66,budget[Turn],budget[R&amp;D])</f>
        <v>1006.8483344689948</v>
      </c>
      <c r="D66" s="4"/>
      <c r="E66" s="23"/>
      <c r="F66" s="23"/>
      <c r="G66" s="23"/>
      <c r="L66" s="5"/>
      <c r="N66" s="5"/>
      <c r="Y66" s="23"/>
      <c r="Z66" s="23"/>
    </row>
    <row r="67" spans="1:26" x14ac:dyDescent="0.25">
      <c r="A67" s="12">
        <v>66</v>
      </c>
      <c r="B67" s="5">
        <f>_xlfn.XLOOKUP($A67,growth[Turn],growth[NHV])</f>
        <v>3423.2843371945819</v>
      </c>
      <c r="C67" s="5">
        <f>$B67*_xlfn.XLOOKUP($A67,budget[Turn],budget[R&amp;D])</f>
        <v>1026.9853011583746</v>
      </c>
      <c r="D67" s="4"/>
      <c r="E67" s="23"/>
      <c r="F67" s="23"/>
      <c r="G67" s="23"/>
      <c r="L67" s="5"/>
      <c r="N67" s="5"/>
      <c r="Y67" s="23"/>
      <c r="Z67" s="23"/>
    </row>
    <row r="68" spans="1:26" x14ac:dyDescent="0.25">
      <c r="A68" s="13">
        <v>67</v>
      </c>
      <c r="B68" s="5">
        <f>_xlfn.XLOOKUP($A68,growth[Turn],growth[NHV])</f>
        <v>3491.7500239384744</v>
      </c>
      <c r="C68" s="5">
        <f>$B68*_xlfn.XLOOKUP($A68,budget[Turn],budget[R&amp;D])</f>
        <v>1047.5250071815424</v>
      </c>
      <c r="D68" s="4"/>
      <c r="E68" s="23"/>
      <c r="F68" s="23"/>
      <c r="G68" s="23"/>
      <c r="L68" s="5"/>
      <c r="N68" s="5"/>
      <c r="Y68" s="23"/>
      <c r="Z68" s="23"/>
    </row>
    <row r="69" spans="1:26" x14ac:dyDescent="0.25">
      <c r="A69" s="13">
        <v>68</v>
      </c>
      <c r="B69" s="5">
        <f>_xlfn.XLOOKUP($A69,growth[Turn],growth[NHV])</f>
        <v>3561.5850244172434</v>
      </c>
      <c r="C69" s="5">
        <f>$B69*_xlfn.XLOOKUP($A69,budget[Turn],budget[R&amp;D])</f>
        <v>1068.4755073251729</v>
      </c>
      <c r="D69" s="4"/>
      <c r="E69" s="23"/>
      <c r="F69" s="23"/>
      <c r="G69" s="23"/>
      <c r="L69" s="5"/>
      <c r="N69" s="5"/>
      <c r="Y69" s="23"/>
      <c r="Z69" s="23"/>
    </row>
    <row r="70" spans="1:26" x14ac:dyDescent="0.25">
      <c r="A70" s="13">
        <v>69</v>
      </c>
      <c r="B70" s="5">
        <f>_xlfn.XLOOKUP($A70,growth[Turn],growth[NHV])</f>
        <v>3632.8167249055887</v>
      </c>
      <c r="C70" s="5">
        <f>$B70*_xlfn.XLOOKUP($A70,budget[Turn],budget[R&amp;D])</f>
        <v>1089.8450174716766</v>
      </c>
      <c r="D70" s="4"/>
      <c r="E70" s="23"/>
      <c r="F70" s="23"/>
      <c r="G70" s="23"/>
      <c r="L70" s="5"/>
      <c r="N70" s="5"/>
      <c r="Y70" s="23"/>
      <c r="Z70" s="23"/>
    </row>
    <row r="71" spans="1:26" x14ac:dyDescent="0.25">
      <c r="A71" s="13">
        <v>70</v>
      </c>
      <c r="B71" s="5">
        <f>_xlfn.XLOOKUP($A71,growth[Turn],growth[NHV])</f>
        <v>3705.473059403701</v>
      </c>
      <c r="C71" s="5">
        <f>$B71*_xlfn.XLOOKUP($A71,budget[Turn],budget[R&amp;D])</f>
        <v>1111.6419178211102</v>
      </c>
      <c r="D71" s="4"/>
      <c r="E71" s="23"/>
      <c r="F71" s="23"/>
      <c r="G71" s="23"/>
      <c r="L71" s="5"/>
      <c r="N71" s="5"/>
      <c r="Y71" s="23"/>
      <c r="Z71" s="23"/>
    </row>
    <row r="72" spans="1:26" x14ac:dyDescent="0.25">
      <c r="A72" s="13">
        <v>71</v>
      </c>
      <c r="B72" s="5">
        <f>_xlfn.XLOOKUP($A72,growth[Turn],growth[NHV])</f>
        <v>3779.5825205917749</v>
      </c>
      <c r="C72" s="5">
        <f>$B72*_xlfn.XLOOKUP($A72,budget[Turn],budget[R&amp;D])</f>
        <v>1133.8747561775324</v>
      </c>
      <c r="D72" s="4"/>
      <c r="E72" s="23"/>
      <c r="F72" s="23"/>
      <c r="G72" s="23"/>
      <c r="L72" s="5"/>
      <c r="N72" s="5"/>
      <c r="Y72" s="23"/>
      <c r="Z72" s="23"/>
    </row>
    <row r="73" spans="1:26" x14ac:dyDescent="0.25">
      <c r="A73" s="12">
        <v>72</v>
      </c>
      <c r="B73" s="5">
        <f>_xlfn.XLOOKUP($A73,growth[Turn],growth[NHV])</f>
        <v>3855.1741710036104</v>
      </c>
      <c r="C73" s="5">
        <f>$B73*_xlfn.XLOOKUP($A73,budget[Turn],budget[R&amp;D])</f>
        <v>1156.5522513010831</v>
      </c>
      <c r="D73" s="4"/>
      <c r="E73" s="23"/>
      <c r="F73" s="23"/>
      <c r="G73" s="23"/>
      <c r="L73" s="5"/>
      <c r="N73" s="5"/>
      <c r="Y73" s="23"/>
      <c r="Z73" s="23"/>
    </row>
    <row r="74" spans="1:26" x14ac:dyDescent="0.25">
      <c r="A74" s="13">
        <v>73</v>
      </c>
      <c r="B74" s="5">
        <f>_xlfn.XLOOKUP($A74,growth[Turn],growth[NHV])</f>
        <v>3932.2776544236822</v>
      </c>
      <c r="C74" s="5">
        <f>$B74*_xlfn.XLOOKUP($A74,budget[Turn],budget[R&amp;D])</f>
        <v>1179.6832963271047</v>
      </c>
      <c r="D74" s="4"/>
      <c r="E74" s="23"/>
      <c r="F74" s="23"/>
      <c r="G74" s="23"/>
      <c r="L74" s="5"/>
      <c r="N74" s="5"/>
      <c r="Y74" s="23"/>
      <c r="Z74" s="23"/>
    </row>
    <row r="75" spans="1:26" x14ac:dyDescent="0.25">
      <c r="A75" s="13">
        <v>74</v>
      </c>
      <c r="B75" s="5">
        <f>_xlfn.XLOOKUP($A75,growth[Turn],growth[NHV])</f>
        <v>4010.9232075121563</v>
      </c>
      <c r="C75" s="5">
        <f>$B75*_xlfn.XLOOKUP($A75,budget[Turn],budget[R&amp;D])</f>
        <v>1203.2769622536468</v>
      </c>
      <c r="D75" s="4"/>
      <c r="E75" s="23"/>
      <c r="F75" s="23"/>
      <c r="G75" s="23"/>
      <c r="L75" s="5"/>
      <c r="N75" s="5"/>
      <c r="Y75" s="23"/>
      <c r="Z75" s="23"/>
    </row>
    <row r="76" spans="1:26" x14ac:dyDescent="0.25">
      <c r="A76" s="13">
        <v>75</v>
      </c>
      <c r="B76" s="5">
        <f>_xlfn.XLOOKUP($A76,growth[Turn],growth[NHV])</f>
        <v>4091.1416716623989</v>
      </c>
      <c r="C76" s="5">
        <f>$B76*_xlfn.XLOOKUP($A76,budget[Turn],budget[R&amp;D])</f>
        <v>1227.3425014987197</v>
      </c>
      <c r="D76" s="4"/>
      <c r="E76" s="23"/>
      <c r="F76" s="23"/>
      <c r="G76" s="23"/>
      <c r="L76" s="5"/>
      <c r="N76" s="5"/>
      <c r="Y76" s="23"/>
      <c r="Z76" s="23"/>
    </row>
    <row r="77" spans="1:26" x14ac:dyDescent="0.25">
      <c r="A77" s="13">
        <v>76</v>
      </c>
      <c r="B77" s="5">
        <f>_xlfn.XLOOKUP($A77,growth[Turn],growth[NHV])</f>
        <v>4172.9645050956469</v>
      </c>
      <c r="C77" s="5">
        <f>$B77*_xlfn.XLOOKUP($A77,budget[Turn],budget[R&amp;D])</f>
        <v>1251.8893515286941</v>
      </c>
      <c r="D77" s="4"/>
      <c r="E77" s="23"/>
      <c r="F77" s="23"/>
      <c r="G77" s="23"/>
      <c r="L77" s="5"/>
      <c r="N77" s="5"/>
      <c r="Y77" s="23"/>
      <c r="Z77" s="23"/>
    </row>
    <row r="78" spans="1:26" x14ac:dyDescent="0.25">
      <c r="A78" s="13">
        <v>77</v>
      </c>
      <c r="B78" s="5">
        <f>_xlfn.XLOOKUP($A78,growth[Turn],growth[NHV])</f>
        <v>4256.4237951975601</v>
      </c>
      <c r="C78" s="5">
        <f>$B78*_xlfn.XLOOKUP($A78,budget[Turn],budget[R&amp;D])</f>
        <v>1276.9271385592681</v>
      </c>
      <c r="D78" s="4"/>
      <c r="E78" s="23"/>
      <c r="F78" s="23"/>
      <c r="G78" s="23"/>
      <c r="L78" s="5"/>
      <c r="N78" s="5"/>
      <c r="Y78" s="23"/>
      <c r="Z78" s="23"/>
    </row>
    <row r="79" spans="1:26" x14ac:dyDescent="0.25">
      <c r="A79" s="13">
        <v>78</v>
      </c>
      <c r="B79" s="5">
        <f>_xlfn.XLOOKUP($A79,growth[Turn],growth[NHV])</f>
        <v>4341.552271101511</v>
      </c>
      <c r="C79" s="5">
        <f>$B79*_xlfn.XLOOKUP($A79,budget[Turn],budget[R&amp;D])</f>
        <v>1302.4656813304532</v>
      </c>
      <c r="D79" s="4"/>
      <c r="E79" s="23"/>
      <c r="F79" s="23"/>
      <c r="G79" s="23"/>
      <c r="L79" s="5"/>
      <c r="N79" s="5"/>
      <c r="Y79" s="23"/>
      <c r="Z79" s="23"/>
    </row>
    <row r="80" spans="1:26" x14ac:dyDescent="0.25">
      <c r="A80" s="12">
        <v>79</v>
      </c>
      <c r="B80" s="5">
        <f>_xlfn.XLOOKUP($A80,growth[Turn],growth[NHV])</f>
        <v>4428.3833165235419</v>
      </c>
      <c r="C80" s="5">
        <f>$B80*_xlfn.XLOOKUP($A80,budget[Turn],budget[R&amp;D])</f>
        <v>1328.5149949570625</v>
      </c>
      <c r="D80" s="4"/>
      <c r="E80" s="23"/>
      <c r="F80" s="23"/>
      <c r="G80" s="23"/>
      <c r="L80" s="5"/>
      <c r="N80" s="5"/>
      <c r="Y80" s="23"/>
      <c r="Z80" s="23"/>
    </row>
    <row r="81" spans="1:26" x14ac:dyDescent="0.25">
      <c r="A81" s="13">
        <v>80</v>
      </c>
      <c r="B81" s="5">
        <f>_xlfn.XLOOKUP($A81,growth[Turn],growth[NHV])</f>
        <v>4516.9509828540122</v>
      </c>
      <c r="C81" s="5">
        <f>$B81*_xlfn.XLOOKUP($A81,budget[Turn],budget[R&amp;D])</f>
        <v>1355.0852948562035</v>
      </c>
      <c r="D81" s="4"/>
      <c r="E81" s="23"/>
      <c r="F81" s="23"/>
      <c r="G81" s="23"/>
      <c r="L81" s="5"/>
      <c r="N81" s="5"/>
      <c r="Y81" s="23"/>
      <c r="Z81" s="23"/>
    </row>
    <row r="82" spans="1:26" x14ac:dyDescent="0.25">
      <c r="A82" s="13">
        <v>81</v>
      </c>
      <c r="B82" s="5">
        <f>_xlfn.XLOOKUP($A82,growth[Turn],growth[NHV])</f>
        <v>4607.290002511093</v>
      </c>
      <c r="C82" s="5">
        <f>$B82*_xlfn.XLOOKUP($A82,budget[Turn],budget[R&amp;D])</f>
        <v>1382.1870007533278</v>
      </c>
      <c r="D82" s="4"/>
      <c r="E82" s="23"/>
      <c r="F82" s="23"/>
      <c r="G82" s="23"/>
      <c r="L82" s="5"/>
      <c r="N82" s="5"/>
      <c r="Y82" s="23"/>
      <c r="Z82" s="23"/>
    </row>
    <row r="83" spans="1:26" x14ac:dyDescent="0.25">
      <c r="A83" s="13">
        <v>82</v>
      </c>
      <c r="B83" s="5">
        <f>_xlfn.XLOOKUP($A83,growth[Turn],growth[NHV])</f>
        <v>4699.4358025613146</v>
      </c>
      <c r="C83" s="5">
        <f>$B83*_xlfn.XLOOKUP($A83,budget[Turn],budget[R&amp;D])</f>
        <v>1409.8307407683944</v>
      </c>
      <c r="D83" s="4"/>
      <c r="E83" s="23"/>
      <c r="F83" s="23"/>
      <c r="G83" s="23"/>
      <c r="L83" s="5"/>
      <c r="N83" s="5"/>
      <c r="Y83" s="23"/>
      <c r="Z83" s="23"/>
    </row>
    <row r="84" spans="1:26" x14ac:dyDescent="0.25">
      <c r="A84" s="13">
        <v>83</v>
      </c>
      <c r="B84" s="5">
        <f>_xlfn.XLOOKUP($A84,growth[Turn],growth[NHV])</f>
        <v>4793.4245186125409</v>
      </c>
      <c r="C84" s="5">
        <f>$B84*_xlfn.XLOOKUP($A84,budget[Turn],budget[R&amp;D])</f>
        <v>1438.0273555837623</v>
      </c>
      <c r="D84" s="4"/>
      <c r="E84" s="23"/>
      <c r="F84" s="23"/>
      <c r="G84" s="23"/>
      <c r="L84" s="5"/>
      <c r="N84" s="5"/>
      <c r="Y84" s="23"/>
      <c r="Z84" s="23"/>
    </row>
    <row r="85" spans="1:26" x14ac:dyDescent="0.25">
      <c r="A85" s="13">
        <v>84</v>
      </c>
      <c r="B85" s="5">
        <f>_xlfn.XLOOKUP($A85,growth[Turn],growth[NHV])</f>
        <v>4889.2930089847923</v>
      </c>
      <c r="C85" s="5">
        <f>$B85*_xlfn.XLOOKUP($A85,budget[Turn],budget[R&amp;D])</f>
        <v>1466.7879026954377</v>
      </c>
      <c r="D85" s="4"/>
      <c r="E85" s="23"/>
      <c r="F85" s="23"/>
      <c r="G85" s="23"/>
      <c r="L85" s="5"/>
      <c r="N85" s="5"/>
      <c r="Y85" s="23"/>
      <c r="Z85" s="23"/>
    </row>
    <row r="86" spans="1:26" x14ac:dyDescent="0.25">
      <c r="A86" s="12">
        <v>85</v>
      </c>
      <c r="B86" s="5">
        <f>_xlfn.XLOOKUP($A86,growth[Turn],growth[NHV])</f>
        <v>4987.0788691644884</v>
      </c>
      <c r="C86" s="5">
        <f>$B86*_xlfn.XLOOKUP($A86,budget[Turn],budget[R&amp;D])</f>
        <v>1496.1236607493465</v>
      </c>
      <c r="D86" s="4"/>
      <c r="E86" s="23"/>
      <c r="F86" s="23"/>
      <c r="G86" s="23"/>
      <c r="L86" s="5"/>
      <c r="N86" s="5"/>
      <c r="Y86" s="23"/>
      <c r="Z86" s="23"/>
    </row>
    <row r="87" spans="1:26" x14ac:dyDescent="0.25">
      <c r="A87" s="13">
        <v>86</v>
      </c>
      <c r="B87" s="5">
        <f>_xlfn.XLOOKUP($A87,growth[Turn],growth[NHV])</f>
        <v>5086.8204465477775</v>
      </c>
      <c r="C87" s="5">
        <f>$B87*_xlfn.XLOOKUP($A87,budget[Turn],budget[R&amp;D])</f>
        <v>1526.0461339643332</v>
      </c>
      <c r="D87" s="4"/>
      <c r="E87" s="23"/>
      <c r="F87" s="23"/>
      <c r="G87" s="23"/>
      <c r="L87" s="5"/>
      <c r="N87" s="5"/>
      <c r="Y87" s="23"/>
      <c r="Z87" s="23"/>
    </row>
    <row r="88" spans="1:26" x14ac:dyDescent="0.25">
      <c r="A88" s="13">
        <v>87</v>
      </c>
      <c r="B88" s="5">
        <f>_xlfn.XLOOKUP($A88,growth[Turn],growth[NHV])</f>
        <v>5188.5568554787333</v>
      </c>
      <c r="C88" s="5">
        <f>$B88*_xlfn.XLOOKUP($A88,budget[Turn],budget[R&amp;D])</f>
        <v>1556.5670566436199</v>
      </c>
      <c r="D88" s="4"/>
      <c r="E88" s="23"/>
      <c r="F88" s="23"/>
      <c r="G88" s="23"/>
      <c r="L88" s="5"/>
      <c r="N88" s="5"/>
      <c r="Y88" s="23"/>
      <c r="Z88" s="23"/>
    </row>
    <row r="89" spans="1:26" x14ac:dyDescent="0.25">
      <c r="A89" s="13">
        <v>88</v>
      </c>
      <c r="B89" s="5">
        <f>_xlfn.XLOOKUP($A89,growth[Turn],growth[NHV])</f>
        <v>5292.327992588308</v>
      </c>
      <c r="C89" s="5">
        <f>$B89*_xlfn.XLOOKUP($A89,budget[Turn],budget[R&amp;D])</f>
        <v>1587.6983977764924</v>
      </c>
      <c r="D89" s="4"/>
      <c r="E89" s="23"/>
      <c r="F89" s="23"/>
      <c r="G89" s="23"/>
      <c r="L89" s="5"/>
      <c r="N89" s="5"/>
      <c r="Y89" s="23"/>
      <c r="Z89" s="23"/>
    </row>
    <row r="90" spans="1:26" x14ac:dyDescent="0.25">
      <c r="A90" s="13">
        <v>89</v>
      </c>
      <c r="B90" s="5">
        <f>_xlfn.XLOOKUP($A90,growth[Turn],growth[NHV])</f>
        <v>5398.174552440074</v>
      </c>
      <c r="C90" s="5">
        <f>$B90*_xlfn.XLOOKUP($A90,budget[Turn],budget[R&amp;D])</f>
        <v>1619.4523657320221</v>
      </c>
      <c r="D90" s="4"/>
      <c r="E90" s="23"/>
      <c r="F90" s="23"/>
      <c r="G90" s="23"/>
      <c r="L90" s="5"/>
      <c r="N90" s="5"/>
      <c r="Y90" s="23"/>
      <c r="Z90" s="23"/>
    </row>
    <row r="91" spans="1:26" x14ac:dyDescent="0.25">
      <c r="A91" s="13">
        <v>90</v>
      </c>
      <c r="B91" s="5">
        <f>_xlfn.XLOOKUP($A91,growth[Turn],growth[NHV])</f>
        <v>5506.1380434888761</v>
      </c>
      <c r="C91" s="5">
        <f>$B91*_xlfn.XLOOKUP($A91,budget[Turn],budget[R&amp;D])</f>
        <v>1651.8414130466629</v>
      </c>
      <c r="D91" s="4"/>
      <c r="E91" s="23"/>
      <c r="F91" s="23"/>
      <c r="G91" s="23"/>
      <c r="L91" s="5"/>
      <c r="N91" s="5"/>
      <c r="Y91" s="23"/>
      <c r="Z91" s="23"/>
    </row>
    <row r="92" spans="1:26" x14ac:dyDescent="0.25">
      <c r="A92" s="13">
        <v>91</v>
      </c>
      <c r="B92" s="5">
        <f>_xlfn.XLOOKUP($A92,growth[Turn],growth[NHV])</f>
        <v>5616.2608043586533</v>
      </c>
      <c r="C92" s="5">
        <f>$B92*_xlfn.XLOOKUP($A92,budget[Turn],budget[R&amp;D])</f>
        <v>1684.878241307596</v>
      </c>
      <c r="D92" s="4"/>
      <c r="E92" s="23"/>
      <c r="F92" s="23"/>
      <c r="G92" s="23"/>
      <c r="L92" s="5"/>
      <c r="N92" s="5"/>
      <c r="Y92" s="23"/>
      <c r="Z92" s="23"/>
    </row>
    <row r="93" spans="1:26" x14ac:dyDescent="0.25">
      <c r="A93" s="12">
        <v>92</v>
      </c>
      <c r="B93" s="5">
        <f>_xlfn.XLOOKUP($A93,growth[Turn],growth[NHV])</f>
        <v>5728.5860204458259</v>
      </c>
      <c r="C93" s="5">
        <f>$B93*_xlfn.XLOOKUP($A93,budget[Turn],budget[R&amp;D])</f>
        <v>1718.5758061337476</v>
      </c>
      <c r="D93" s="4"/>
      <c r="E93" s="23"/>
      <c r="F93" s="23"/>
      <c r="G93" s="23"/>
      <c r="L93" s="5"/>
      <c r="N93" s="5"/>
      <c r="Y93" s="23"/>
      <c r="Z93" s="23"/>
    </row>
    <row r="94" spans="1:26" x14ac:dyDescent="0.25">
      <c r="A94" s="13">
        <v>93</v>
      </c>
      <c r="B94" s="5">
        <f>_xlfn.XLOOKUP($A94,growth[Turn],growth[NHV])</f>
        <v>5843.1577408547419</v>
      </c>
      <c r="C94" s="5">
        <f>$B94*_xlfn.XLOOKUP($A94,budget[Turn],budget[R&amp;D])</f>
        <v>1752.9473222564225</v>
      </c>
      <c r="D94" s="4"/>
      <c r="E94" s="23"/>
      <c r="F94" s="23"/>
      <c r="G94" s="23"/>
      <c r="L94" s="5"/>
      <c r="N94" s="5"/>
      <c r="Y94" s="23"/>
      <c r="Z94" s="23"/>
    </row>
    <row r="95" spans="1:26" x14ac:dyDescent="0.25">
      <c r="A95" s="13">
        <v>94</v>
      </c>
      <c r="B95" s="5">
        <f>_xlfn.XLOOKUP($A95,growth[Turn],growth[NHV])</f>
        <v>5960.020895671837</v>
      </c>
      <c r="C95" s="5">
        <f>$B95*_xlfn.XLOOKUP($A95,budget[Turn],budget[R&amp;D])</f>
        <v>1788.0062687015511</v>
      </c>
      <c r="D95" s="4"/>
      <c r="E95" s="23"/>
      <c r="F95" s="23"/>
      <c r="G95" s="23"/>
      <c r="L95" s="5"/>
      <c r="N95" s="5"/>
      <c r="Y95" s="23"/>
      <c r="Z95" s="23"/>
    </row>
    <row r="96" spans="1:26" x14ac:dyDescent="0.25">
      <c r="A96" s="13">
        <v>95</v>
      </c>
      <c r="B96" s="5">
        <f>_xlfn.XLOOKUP($A96,growth[Turn],growth[NHV])</f>
        <v>6079.2213135852744</v>
      </c>
      <c r="C96" s="5">
        <f>$B96*_xlfn.XLOOKUP($A96,budget[Turn],budget[R&amp;D])</f>
        <v>1823.7663940755822</v>
      </c>
      <c r="D96" s="4"/>
      <c r="E96" s="23"/>
      <c r="F96" s="23"/>
      <c r="G96" s="23"/>
      <c r="L96" s="5"/>
      <c r="N96" s="5"/>
      <c r="Y96" s="23"/>
      <c r="Z96" s="23"/>
    </row>
    <row r="97" spans="1:26" x14ac:dyDescent="0.25">
      <c r="A97" s="13">
        <v>96</v>
      </c>
      <c r="B97" s="5">
        <f>_xlfn.XLOOKUP($A97,growth[Turn],growth[NHV])</f>
        <v>6200.805739856979</v>
      </c>
      <c r="C97" s="5">
        <f>$B97*_xlfn.XLOOKUP($A97,budget[Turn],budget[R&amp;D])</f>
        <v>1860.2417219570937</v>
      </c>
      <c r="D97" s="4"/>
      <c r="E97" s="23"/>
      <c r="F97" s="23"/>
      <c r="G97" s="23"/>
      <c r="L97" s="5"/>
      <c r="N97" s="5"/>
      <c r="Y97" s="23"/>
      <c r="Z97" s="23"/>
    </row>
    <row r="98" spans="1:26" x14ac:dyDescent="0.25">
      <c r="A98" s="13">
        <v>97</v>
      </c>
      <c r="B98" s="5">
        <f>_xlfn.XLOOKUP($A98,growth[Turn],growth[NHV])</f>
        <v>6324.8218546541193</v>
      </c>
      <c r="C98" s="5">
        <f>$B98*_xlfn.XLOOKUP($A98,budget[Turn],budget[R&amp;D])</f>
        <v>1897.4465563962358</v>
      </c>
      <c r="D98" s="4"/>
      <c r="E98" s="23"/>
      <c r="F98" s="23"/>
      <c r="G98" s="23"/>
      <c r="L98" s="5"/>
      <c r="N98" s="5"/>
      <c r="Y98" s="23"/>
      <c r="Z98" s="23"/>
    </row>
    <row r="99" spans="1:26" x14ac:dyDescent="0.25">
      <c r="A99" s="12">
        <v>98</v>
      </c>
      <c r="B99" s="5">
        <f>_xlfn.XLOOKUP($A99,growth[Turn],growth[NHV])</f>
        <v>6451.3182917472022</v>
      </c>
      <c r="C99" s="5">
        <f>$B99*_xlfn.XLOOKUP($A99,budget[Turn],budget[R&amp;D])</f>
        <v>1935.3954875241607</v>
      </c>
      <c r="D99" s="4"/>
      <c r="E99" s="23"/>
      <c r="F99" s="23"/>
      <c r="G99" s="23"/>
      <c r="L99" s="5"/>
      <c r="N99" s="5"/>
      <c r="Y99" s="23"/>
      <c r="Z99" s="23"/>
    </row>
    <row r="100" spans="1:26" x14ac:dyDescent="0.25">
      <c r="A100" s="13">
        <v>99</v>
      </c>
      <c r="B100" s="5">
        <f>_xlfn.XLOOKUP($A100,growth[Turn],growth[NHV])</f>
        <v>6580.3446575821463</v>
      </c>
      <c r="C100" s="5">
        <f>$B100*_xlfn.XLOOKUP($A100,budget[Turn],budget[R&amp;D])</f>
        <v>1974.1033972746438</v>
      </c>
      <c r="D100" s="4"/>
      <c r="E100" s="23"/>
      <c r="F100" s="23"/>
      <c r="G100" s="23"/>
      <c r="L100" s="5"/>
      <c r="N100" s="5"/>
      <c r="Y100" s="23"/>
      <c r="Z100" s="23"/>
    </row>
    <row r="101" spans="1:26" x14ac:dyDescent="0.25">
      <c r="A101" s="13">
        <v>100</v>
      </c>
      <c r="B101" s="5">
        <f>_xlfn.XLOOKUP($A101,growth[Turn],growth[NHV])</f>
        <v>6711.9515507337883</v>
      </c>
      <c r="C101" s="5">
        <f>$B101*_xlfn.XLOOKUP($A101,budget[Turn],budget[R&amp;D])</f>
        <v>2013.5854652201365</v>
      </c>
      <c r="D101" s="4"/>
      <c r="E101" s="23"/>
      <c r="F101" s="23"/>
      <c r="G101" s="23"/>
      <c r="L101" s="5"/>
      <c r="N101" s="5"/>
      <c r="Y101" s="23"/>
      <c r="Z101" s="23"/>
    </row>
    <row r="102" spans="1:26" x14ac:dyDescent="0.25">
      <c r="A102" s="13">
        <v>101</v>
      </c>
      <c r="B102" s="5">
        <f>_xlfn.XLOOKUP($A102,growth[Turn],growth[NHV])</f>
        <v>6846.1905817484649</v>
      </c>
      <c r="C102" s="5">
        <f>$B102*_xlfn.XLOOKUP($A102,budget[Turn],budget[R&amp;D])</f>
        <v>2053.8571745245395</v>
      </c>
      <c r="D102" s="4"/>
      <c r="E102" s="23"/>
      <c r="F102" s="23"/>
      <c r="G102" s="23"/>
      <c r="L102" s="5"/>
      <c r="N102" s="5"/>
      <c r="Y102" s="23"/>
      <c r="Z102" s="23"/>
    </row>
    <row r="103" spans="1:26" x14ac:dyDescent="0.25">
      <c r="A103" s="13">
        <v>102</v>
      </c>
      <c r="B103" s="5">
        <f>_xlfn.XLOOKUP($A103,growth[Turn],growth[NHV])</f>
        <v>6983.1143933834337</v>
      </c>
      <c r="C103" s="5">
        <f>$B103*_xlfn.XLOOKUP($A103,budget[Turn],budget[R&amp;D])</f>
        <v>2094.9343180150299</v>
      </c>
      <c r="D103" s="4"/>
      <c r="E103" s="23"/>
      <c r="F103" s="23"/>
      <c r="G103" s="23"/>
      <c r="L103" s="5"/>
      <c r="N103" s="5"/>
      <c r="Y103" s="23"/>
      <c r="Z103" s="23"/>
    </row>
    <row r="104" spans="1:26" x14ac:dyDescent="0.25">
      <c r="A104" s="13">
        <v>103</v>
      </c>
      <c r="B104" s="5">
        <f>_xlfn.XLOOKUP($A104,growth[Turn],growth[NHV])</f>
        <v>7122.7766812511018</v>
      </c>
      <c r="C104" s="5">
        <f>$B104*_xlfn.XLOOKUP($A104,budget[Turn],budget[R&amp;D])</f>
        <v>2136.8330043753303</v>
      </c>
      <c r="D104" s="4"/>
      <c r="E104" s="23"/>
      <c r="F104" s="23"/>
      <c r="G104" s="23"/>
      <c r="L104" s="5"/>
      <c r="N104" s="5"/>
      <c r="Y104" s="23"/>
      <c r="Z104" s="23"/>
    </row>
    <row r="105" spans="1:26" x14ac:dyDescent="0.25">
      <c r="A105" s="13">
        <v>104</v>
      </c>
      <c r="B105" s="5">
        <f>_xlfn.XLOOKUP($A105,growth[Turn],growth[NHV])</f>
        <v>7265.232214876125</v>
      </c>
      <c r="C105" s="5">
        <f>$B105*_xlfn.XLOOKUP($A105,budget[Turn],budget[R&amp;D])</f>
        <v>2179.5696644628374</v>
      </c>
      <c r="D105" s="4"/>
      <c r="E105" s="23"/>
      <c r="F105" s="23"/>
      <c r="G105" s="23"/>
      <c r="L105" s="5"/>
      <c r="N105" s="5"/>
      <c r="Y105" s="23"/>
      <c r="Z105" s="23"/>
    </row>
    <row r="106" spans="1:26" x14ac:dyDescent="0.25">
      <c r="A106" s="12">
        <v>105</v>
      </c>
      <c r="B106" s="5">
        <f>_xlfn.XLOOKUP($A106,growth[Turn],growth[NHV])</f>
        <v>7410.5368591736478</v>
      </c>
      <c r="C106" s="5">
        <f>$B106*_xlfn.XLOOKUP($A106,budget[Turn],budget[R&amp;D])</f>
        <v>2223.1610577520942</v>
      </c>
      <c r="D106" s="4"/>
      <c r="E106" s="23"/>
      <c r="F106" s="23"/>
      <c r="G106" s="23"/>
      <c r="L106" s="5"/>
      <c r="N106" s="5"/>
      <c r="Y106" s="23"/>
      <c r="Z106" s="23"/>
    </row>
    <row r="107" spans="1:26" x14ac:dyDescent="0.25">
      <c r="A107" s="13">
        <v>106</v>
      </c>
      <c r="B107" s="5">
        <f>_xlfn.XLOOKUP($A107,growth[Turn],growth[NHV])</f>
        <v>7558.7475963571196</v>
      </c>
      <c r="C107" s="5">
        <f>$B107*_xlfn.XLOOKUP($A107,budget[Turn],budget[R&amp;D])</f>
        <v>2267.6242789071357</v>
      </c>
      <c r="D107" s="4"/>
      <c r="E107" s="23"/>
      <c r="F107" s="23"/>
      <c r="G107" s="23"/>
      <c r="L107" s="5"/>
      <c r="N107" s="5"/>
      <c r="Y107" s="23"/>
      <c r="Z107" s="23"/>
    </row>
    <row r="108" spans="1:26" x14ac:dyDescent="0.25">
      <c r="A108" s="13">
        <v>107</v>
      </c>
      <c r="B108" s="5">
        <f>_xlfn.XLOOKUP($A108,growth[Turn],growth[NHV])</f>
        <v>7709.9225482842621</v>
      </c>
      <c r="C108" s="5">
        <f>$B108*_xlfn.XLOOKUP($A108,budget[Turn],budget[R&amp;D])</f>
        <v>2312.9767644852786</v>
      </c>
      <c r="D108" s="4"/>
      <c r="E108" s="23"/>
      <c r="F108" s="23"/>
      <c r="G108" s="23"/>
      <c r="L108" s="5"/>
      <c r="N108" s="5"/>
      <c r="Y108" s="23"/>
      <c r="Z108" s="23"/>
    </row>
    <row r="109" spans="1:26" x14ac:dyDescent="0.25">
      <c r="A109" s="13">
        <v>108</v>
      </c>
      <c r="B109" s="5">
        <f>_xlfn.XLOOKUP($A109,growth[Turn],growth[NHV])</f>
        <v>7864.1209992499471</v>
      </c>
      <c r="C109" s="5">
        <f>$B109*_xlfn.XLOOKUP($A109,budget[Turn],budget[R&amp;D])</f>
        <v>2359.2362997749842</v>
      </c>
      <c r="D109" s="4"/>
      <c r="E109" s="23"/>
      <c r="F109" s="23"/>
      <c r="G109" s="23"/>
      <c r="L109" s="5"/>
      <c r="N109" s="5"/>
      <c r="Y109" s="23"/>
      <c r="Z109" s="23"/>
    </row>
    <row r="110" spans="1:26" x14ac:dyDescent="0.25">
      <c r="A110" s="13">
        <v>109</v>
      </c>
      <c r="B110" s="5">
        <f>_xlfn.XLOOKUP($A110,growth[Turn],growth[NHV])</f>
        <v>8021.4034192349463</v>
      </c>
      <c r="C110" s="5">
        <f>$B110*_xlfn.XLOOKUP($A110,budget[Turn],budget[R&amp;D])</f>
        <v>2406.421025770484</v>
      </c>
      <c r="D110" s="4"/>
      <c r="E110" s="23"/>
      <c r="F110" s="23"/>
      <c r="G110" s="23"/>
      <c r="L110" s="5"/>
      <c r="N110" s="5"/>
      <c r="Y110" s="23"/>
      <c r="Z110" s="23"/>
    </row>
    <row r="111" spans="1:26" x14ac:dyDescent="0.25">
      <c r="A111" s="13">
        <v>110</v>
      </c>
      <c r="B111" s="5">
        <f>_xlfn.XLOOKUP($A111,growth[Turn],growth[NHV])</f>
        <v>8181.8314876196473</v>
      </c>
      <c r="C111" s="5">
        <f>$B111*_xlfn.XLOOKUP($A111,budget[Turn],budget[R&amp;D])</f>
        <v>2454.5494462858942</v>
      </c>
      <c r="D111" s="4"/>
      <c r="E111" s="23"/>
      <c r="F111" s="23"/>
      <c r="G111" s="23"/>
      <c r="L111" s="5"/>
      <c r="N111" s="5"/>
      <c r="Y111" s="23"/>
      <c r="Z111" s="23"/>
    </row>
    <row r="112" spans="1:26" x14ac:dyDescent="0.25">
      <c r="A112" s="12">
        <v>111</v>
      </c>
      <c r="B112" s="5">
        <f>_xlfn.XLOOKUP($A112,growth[Turn],growth[NHV])</f>
        <v>8345.4681173720383</v>
      </c>
      <c r="C112" s="5">
        <f>$B112*_xlfn.XLOOKUP($A112,budget[Turn],budget[R&amp;D])</f>
        <v>2503.6404352116115</v>
      </c>
      <c r="D112" s="4"/>
      <c r="E112" s="23"/>
      <c r="F112" s="23"/>
      <c r="G112" s="23"/>
      <c r="L112" s="5"/>
      <c r="N112" s="5"/>
      <c r="Y112" s="23"/>
      <c r="Z112" s="23"/>
    </row>
    <row r="113" spans="1:26" x14ac:dyDescent="0.25">
      <c r="A113" s="13">
        <v>112</v>
      </c>
      <c r="B113" s="5">
        <f>_xlfn.XLOOKUP($A113,growth[Turn],growth[NHV])</f>
        <v>8512.3774797194801</v>
      </c>
      <c r="C113" s="5">
        <f>$B113*_xlfn.XLOOKUP($A113,budget[Turn],budget[R&amp;D])</f>
        <v>2553.713243915844</v>
      </c>
      <c r="D113" s="4"/>
      <c r="E113" s="23"/>
      <c r="F113" s="23"/>
      <c r="G113" s="23"/>
      <c r="L113" s="5"/>
      <c r="N113" s="5"/>
      <c r="Y113" s="23"/>
      <c r="Z113" s="23"/>
    </row>
    <row r="114" spans="1:26" x14ac:dyDescent="0.25">
      <c r="A114" s="13">
        <v>113</v>
      </c>
      <c r="B114" s="5">
        <f>_xlfn.XLOOKUP($A114,growth[Turn],growth[NHV])</f>
        <v>8682.6250293138692</v>
      </c>
      <c r="C114" s="5">
        <f>$B114*_xlfn.XLOOKUP($A114,budget[Turn],budget[R&amp;D])</f>
        <v>2604.7875087941607</v>
      </c>
      <c r="D114" s="4"/>
      <c r="E114" s="23"/>
      <c r="F114" s="23"/>
      <c r="G114" s="23"/>
      <c r="L114" s="5"/>
      <c r="N114" s="5"/>
      <c r="Y114" s="23"/>
      <c r="Z114" s="23"/>
    </row>
    <row r="115" spans="1:26" x14ac:dyDescent="0.25">
      <c r="A115" s="13">
        <v>114</v>
      </c>
      <c r="B115" s="5">
        <f>_xlfn.XLOOKUP($A115,growth[Turn],growth[NHV])</f>
        <v>8856.2775299001478</v>
      </c>
      <c r="C115" s="5">
        <f>$B115*_xlfn.XLOOKUP($A115,budget[Turn],budget[R&amp;D])</f>
        <v>2656.8832589700442</v>
      </c>
      <c r="D115" s="4"/>
      <c r="E115" s="23"/>
      <c r="F115" s="23"/>
      <c r="G115" s="23"/>
      <c r="L115" s="5"/>
      <c r="N115" s="5"/>
      <c r="Y115" s="23"/>
      <c r="Z115" s="23"/>
    </row>
    <row r="116" spans="1:26" x14ac:dyDescent="0.25">
      <c r="A116" s="13">
        <v>115</v>
      </c>
      <c r="B116" s="5">
        <f>_xlfn.XLOOKUP($A116,growth[Turn],growth[NHV])</f>
        <v>9033.4030804981503</v>
      </c>
      <c r="C116" s="5">
        <f>$B116*_xlfn.XLOOKUP($A116,budget[Turn],budget[R&amp;D])</f>
        <v>2710.0209241494449</v>
      </c>
      <c r="D116" s="4"/>
      <c r="E116" s="23"/>
      <c r="F116" s="23"/>
      <c r="G116" s="23"/>
      <c r="L116" s="5"/>
      <c r="N116" s="5"/>
      <c r="Y116" s="23"/>
      <c r="Z116" s="23"/>
    </row>
    <row r="117" spans="1:26" x14ac:dyDescent="0.25">
      <c r="A117" s="13">
        <v>116</v>
      </c>
      <c r="B117" s="5">
        <f>_xlfn.XLOOKUP($A117,growth[Turn],growth[NHV])</f>
        <v>9214.0711421081141</v>
      </c>
      <c r="C117" s="5">
        <f>$B117*_xlfn.XLOOKUP($A117,budget[Turn],budget[R&amp;D])</f>
        <v>2764.2213426324342</v>
      </c>
      <c r="D117" s="4"/>
      <c r="E117" s="23"/>
      <c r="F117" s="23"/>
      <c r="G117" s="23"/>
      <c r="L117" s="5"/>
      <c r="N117" s="5"/>
      <c r="Y117" s="23"/>
      <c r="Z117" s="23"/>
    </row>
    <row r="118" spans="1:26" x14ac:dyDescent="0.25">
      <c r="A118" s="13">
        <v>117</v>
      </c>
      <c r="B118" s="5">
        <f>_xlfn.XLOOKUP($A118,growth[Turn],growth[NHV])</f>
        <v>9398.3525649502772</v>
      </c>
      <c r="C118" s="5">
        <f>$B118*_xlfn.XLOOKUP($A118,budget[Turn],budget[R&amp;D])</f>
        <v>2819.505769485083</v>
      </c>
      <c r="D118" s="4"/>
      <c r="E118" s="23"/>
      <c r="F118" s="23"/>
      <c r="G118" s="23"/>
      <c r="L118" s="5"/>
      <c r="N118" s="5"/>
      <c r="Y118" s="23"/>
      <c r="Z118" s="23"/>
    </row>
    <row r="119" spans="1:26" x14ac:dyDescent="0.25">
      <c r="A119" s="12">
        <v>118</v>
      </c>
      <c r="B119" s="5">
        <f>_xlfn.XLOOKUP($A119,growth[Turn],growth[NHV])</f>
        <v>9586.3196162492823</v>
      </c>
      <c r="C119" s="5">
        <f>$B119*_xlfn.XLOOKUP($A119,budget[Turn],budget[R&amp;D])</f>
        <v>2875.8958848747848</v>
      </c>
      <c r="D119" s="4"/>
      <c r="E119" s="23"/>
      <c r="F119" s="23"/>
      <c r="G119" s="23"/>
      <c r="L119" s="5"/>
      <c r="N119" s="5"/>
      <c r="Y119" s="23"/>
      <c r="Z119" s="23"/>
    </row>
    <row r="120" spans="1:26" x14ac:dyDescent="0.25">
      <c r="A120" s="13">
        <v>119</v>
      </c>
      <c r="B120" s="5">
        <f>_xlfn.XLOOKUP($A120,growth[Turn],growth[NHV])</f>
        <v>9778.0460085742689</v>
      </c>
      <c r="C120" s="5">
        <f>$B120*_xlfn.XLOOKUP($A120,budget[Turn],budget[R&amp;D])</f>
        <v>2933.4138025722805</v>
      </c>
      <c r="D120" s="4"/>
      <c r="E120" s="23"/>
      <c r="F120" s="23"/>
      <c r="G120" s="23"/>
      <c r="L120" s="5"/>
      <c r="N120" s="5"/>
      <c r="Y120" s="23"/>
      <c r="Z120" s="23"/>
    </row>
    <row r="121" spans="1:26" x14ac:dyDescent="0.25">
      <c r="A121" s="13">
        <v>120</v>
      </c>
      <c r="B121" s="5">
        <f>_xlfn.XLOOKUP($A121,growth[Turn],growth[NHV])</f>
        <v>9973.606928745754</v>
      </c>
      <c r="C121" s="5">
        <f>$B121*_xlfn.XLOOKUP($A121,budget[Turn],budget[R&amp;D])</f>
        <v>2992.0820786237259</v>
      </c>
      <c r="D121" s="4"/>
      <c r="E121" s="23"/>
      <c r="F121" s="23"/>
      <c r="G121" s="23"/>
      <c r="L121" s="5"/>
      <c r="N121" s="5"/>
      <c r="Y121" s="23"/>
      <c r="Z121" s="23"/>
    </row>
    <row r="122" spans="1:26" x14ac:dyDescent="0.25">
      <c r="A122" s="13">
        <v>121</v>
      </c>
      <c r="B122" s="5">
        <f>_xlfn.XLOOKUP($A122,growth[Turn],growth[NHV])</f>
        <v>10173.079067320668</v>
      </c>
      <c r="C122" s="5">
        <f>$B122*_xlfn.XLOOKUP($A122,budget[Turn],budget[R&amp;D])</f>
        <v>3051.9237201962005</v>
      </c>
      <c r="D122" s="4"/>
      <c r="E122" s="23"/>
      <c r="F122" s="23"/>
      <c r="G122" s="23"/>
      <c r="L122" s="5"/>
      <c r="N122" s="5"/>
      <c r="Y122" s="23"/>
      <c r="Z122" s="23"/>
    </row>
    <row r="123" spans="1:26" x14ac:dyDescent="0.25">
      <c r="A123" s="13">
        <v>122</v>
      </c>
      <c r="B123" s="5">
        <f>_xlfn.XLOOKUP($A123,growth[Turn],growth[NHV])</f>
        <v>10376.540648667082</v>
      </c>
      <c r="C123" s="5">
        <f>$B123*_xlfn.XLOOKUP($A123,budget[Turn],budget[R&amp;D])</f>
        <v>3112.9621946001243</v>
      </c>
      <c r="D123" s="4"/>
      <c r="E123" s="23"/>
      <c r="F123" s="23"/>
      <c r="G123" s="23"/>
      <c r="L123" s="5"/>
      <c r="N123" s="5"/>
      <c r="Y123" s="23"/>
      <c r="Z123" s="23"/>
    </row>
    <row r="124" spans="1:26" x14ac:dyDescent="0.25">
      <c r="A124" s="13">
        <v>123</v>
      </c>
      <c r="B124" s="5">
        <f>_xlfn.XLOOKUP($A124,growth[Turn],growth[NHV])</f>
        <v>10584.071461640422</v>
      </c>
      <c r="C124" s="5">
        <f>$B124*_xlfn.XLOOKUP($A124,budget[Turn],budget[R&amp;D])</f>
        <v>3175.2214384921267</v>
      </c>
      <c r="D124" s="4"/>
      <c r="E124" s="23"/>
      <c r="F124" s="23"/>
      <c r="G124" s="23"/>
      <c r="L124" s="5"/>
      <c r="N124" s="5"/>
      <c r="Y124" s="23"/>
      <c r="Z124" s="23"/>
    </row>
    <row r="125" spans="1:26" x14ac:dyDescent="0.25">
      <c r="A125" s="12">
        <v>124</v>
      </c>
      <c r="B125" s="5">
        <f>_xlfn.XLOOKUP($A125,growth[Turn],growth[NHV])</f>
        <v>10795.752890873233</v>
      </c>
      <c r="C125" s="5">
        <f>$B125*_xlfn.XLOOKUP($A125,budget[Turn],budget[R&amp;D])</f>
        <v>3238.7258672619696</v>
      </c>
      <c r="D125" s="4"/>
      <c r="E125" s="23"/>
      <c r="F125" s="23"/>
      <c r="G125" s="23"/>
      <c r="L125" s="5"/>
      <c r="N125" s="5"/>
      <c r="Y125" s="23"/>
      <c r="Z125" s="23"/>
    </row>
    <row r="126" spans="1:26" x14ac:dyDescent="0.25">
      <c r="A126" s="13">
        <v>125</v>
      </c>
      <c r="B126" s="5">
        <f>_xlfn.XLOOKUP($A126,growth[Turn],growth[NHV])</f>
        <v>11011.667948690698</v>
      </c>
      <c r="C126" s="5">
        <f>$B126*_xlfn.XLOOKUP($A126,budget[Turn],budget[R&amp;D])</f>
        <v>3303.5003846072091</v>
      </c>
      <c r="D126" s="4"/>
      <c r="E126" s="23"/>
      <c r="F126" s="23"/>
      <c r="G126" s="23"/>
      <c r="L126" s="5"/>
      <c r="N126" s="5"/>
      <c r="Y126" s="23"/>
      <c r="Z126" s="23"/>
    </row>
    <row r="127" spans="1:26" x14ac:dyDescent="0.25">
      <c r="A127" s="13">
        <v>126</v>
      </c>
      <c r="B127" s="5">
        <f>_xlfn.XLOOKUP($A127,growth[Turn],growth[NHV])</f>
        <v>11231.90130766451</v>
      </c>
      <c r="C127" s="5">
        <f>$B127*_xlfn.XLOOKUP($A127,budget[Turn],budget[R&amp;D])</f>
        <v>3369.570392299353</v>
      </c>
      <c r="D127" s="4"/>
      <c r="E127" s="23"/>
      <c r="F127" s="23"/>
      <c r="G127" s="23"/>
      <c r="L127" s="5"/>
      <c r="N127" s="5"/>
      <c r="Y127" s="23"/>
      <c r="Z127" s="23"/>
    </row>
    <row r="128" spans="1:26" x14ac:dyDescent="0.25">
      <c r="A128" s="13">
        <v>127</v>
      </c>
      <c r="B128" s="5">
        <f>_xlfn.XLOOKUP($A128,growth[Turn],growth[NHV])</f>
        <v>11456.539333817802</v>
      </c>
      <c r="C128" s="5">
        <f>$B128*_xlfn.XLOOKUP($A128,budget[Turn],budget[R&amp;D])</f>
        <v>3436.9618001453405</v>
      </c>
      <c r="D128" s="4"/>
      <c r="E128" s="23"/>
      <c r="F128" s="23"/>
      <c r="G128" s="23"/>
      <c r="L128" s="5"/>
      <c r="N128" s="5"/>
      <c r="Y128" s="23"/>
      <c r="Z128" s="23"/>
    </row>
    <row r="129" spans="1:26" x14ac:dyDescent="0.25">
      <c r="A129" s="13">
        <v>128</v>
      </c>
      <c r="B129" s="5">
        <f>_xlfn.XLOOKUP($A129,growth[Turn],growth[NHV])</f>
        <v>11685.670120494156</v>
      </c>
      <c r="C129" s="5">
        <f>$B129*_xlfn.XLOOKUP($A129,budget[Turn],budget[R&amp;D])</f>
        <v>3505.7010361482467</v>
      </c>
      <c r="D129" s="4"/>
      <c r="E129" s="23"/>
      <c r="F129" s="23"/>
      <c r="G129" s="23"/>
      <c r="L129" s="5"/>
      <c r="N129" s="5"/>
      <c r="Y129" s="23"/>
      <c r="Z129" s="23"/>
    </row>
    <row r="130" spans="1:26" x14ac:dyDescent="0.25">
      <c r="A130" s="13">
        <v>129</v>
      </c>
      <c r="B130" s="5">
        <f>_xlfn.XLOOKUP($A130,growth[Turn],growth[NHV])</f>
        <v>11919.383522904041</v>
      </c>
      <c r="C130" s="5">
        <f>$B130*_xlfn.XLOOKUP($A130,budget[Turn],budget[R&amp;D])</f>
        <v>3575.8150568712122</v>
      </c>
      <c r="D130" s="4"/>
      <c r="E130" s="23"/>
      <c r="F130" s="23"/>
      <c r="G130" s="23"/>
      <c r="L130" s="5"/>
      <c r="N130" s="5"/>
      <c r="Y130" s="23"/>
      <c r="Z130" s="23"/>
    </row>
    <row r="131" spans="1:26" x14ac:dyDescent="0.25">
      <c r="A131" s="13">
        <v>130</v>
      </c>
      <c r="B131" s="5">
        <f>_xlfn.XLOOKUP($A131,growth[Turn],growth[NHV])</f>
        <v>12157.771193362119</v>
      </c>
      <c r="C131" s="5">
        <f>$B131*_xlfn.XLOOKUP($A131,budget[Turn],budget[R&amp;D])</f>
        <v>3647.3313580086356</v>
      </c>
      <c r="D131" s="4"/>
      <c r="E131" s="23"/>
      <c r="F131" s="23"/>
      <c r="G131" s="23"/>
      <c r="L131" s="5"/>
      <c r="N131" s="5"/>
      <c r="Y131" s="23"/>
      <c r="Z131" s="2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</vt:lpstr>
      <vt:lpstr>budget</vt:lpstr>
      <vt:lpstr>tables</vt:lpstr>
      <vt:lpstr>R&amp;D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Green</dc:creator>
  <cp:lastModifiedBy>Mason Green</cp:lastModifiedBy>
  <dcterms:created xsi:type="dcterms:W3CDTF">2024-11-05T14:49:19Z</dcterms:created>
  <dcterms:modified xsi:type="dcterms:W3CDTF">2024-11-05T21:44:29Z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d746c0-3369-42be-bf83-6862f3f56ae7_Enabled">
    <vt:lpwstr>true</vt:lpwstr>
  </property>
  <property fmtid="{D5CDD505-2E9C-101B-9397-08002B2CF9AE}" pid="3" name="MSIP_Label_e9d746c0-3369-42be-bf83-6862f3f56ae7_SetDate">
    <vt:lpwstr>2024-11-05T15:05:14Z</vt:lpwstr>
  </property>
  <property fmtid="{D5CDD505-2E9C-101B-9397-08002B2CF9AE}" pid="4" name="MSIP_Label_e9d746c0-3369-42be-bf83-6862f3f56ae7_Method">
    <vt:lpwstr>Standard</vt:lpwstr>
  </property>
  <property fmtid="{D5CDD505-2E9C-101B-9397-08002B2CF9AE}" pid="5" name="MSIP_Label_e9d746c0-3369-42be-bf83-6862f3f56ae7_Name">
    <vt:lpwstr>Fluor General</vt:lpwstr>
  </property>
  <property fmtid="{D5CDD505-2E9C-101B-9397-08002B2CF9AE}" pid="6" name="MSIP_Label_e9d746c0-3369-42be-bf83-6862f3f56ae7_SiteId">
    <vt:lpwstr>75864cfe-f26d-419c-b69d-c638695b5533</vt:lpwstr>
  </property>
  <property fmtid="{D5CDD505-2E9C-101B-9397-08002B2CF9AE}" pid="7" name="MSIP_Label_e9d746c0-3369-42be-bf83-6862f3f56ae7_ActionId">
    <vt:lpwstr>450b44b7-d999-46b9-ab14-0a2d5efd15aa</vt:lpwstr>
  </property>
  <property fmtid="{D5CDD505-2E9C-101B-9397-08002B2CF9AE}" pid="8" name="MSIP_Label_e9d746c0-3369-42be-bf83-6862f3f56ae7_ContentBits">
    <vt:lpwstr>0</vt:lpwstr>
  </property>
</Properties>
</file>