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reer\Documents\MSBA\R\dashboard\"/>
    </mc:Choice>
  </mc:AlternateContent>
  <xr:revisionPtr revIDLastSave="0" documentId="13_ncr:1_{A17AC6E8-535B-4287-9E96-DAE5A70D37B3}" xr6:coauthVersionLast="45" xr6:coauthVersionMax="45" xr10:uidLastSave="{00000000-0000-0000-0000-000000000000}"/>
  <bookViews>
    <workbookView xWindow="-108" yWindow="-108" windowWidth="23256" windowHeight="12576" activeTab="4" xr2:uid="{DB062259-292A-4271-8D92-97D012BE0461}"/>
  </bookViews>
  <sheets>
    <sheet name="Data" sheetId="1" r:id="rId1"/>
    <sheet name="Notes" sheetId="3" r:id="rId2"/>
    <sheet name="FB R&amp;D " sheetId="2" r:id="rId3"/>
    <sheet name="Model" sheetId="4" r:id="rId4"/>
    <sheet name="df" sheetId="6" r:id="rId5"/>
    <sheet name="Source" sheetId="5" r:id="rId6"/>
  </sheets>
  <definedNames>
    <definedName name="_xlnm._FilterDatabase" localSheetId="4" hidden="1">df!$A$1:$D$131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4" l="1"/>
  <c r="F12" i="4" s="1"/>
  <c r="G12" i="4" s="1"/>
  <c r="H12" i="4" s="1"/>
  <c r="I12" i="4" s="1"/>
  <c r="J12" i="4" s="1"/>
  <c r="K12" i="4" s="1"/>
  <c r="L12" i="4" s="1"/>
  <c r="D12" i="4"/>
  <c r="E21" i="4"/>
  <c r="D21" i="4"/>
  <c r="F19" i="4"/>
  <c r="E19" i="4"/>
  <c r="B60" i="4"/>
  <c r="G65" i="4"/>
  <c r="L44" i="4"/>
  <c r="L47" i="4" s="1"/>
  <c r="L45" i="4"/>
  <c r="I45" i="4"/>
  <c r="J45" i="4" s="1"/>
  <c r="H44" i="4"/>
  <c r="H45" i="4"/>
  <c r="E45" i="4"/>
  <c r="F45" i="4"/>
  <c r="G45" i="4"/>
  <c r="D45" i="4"/>
  <c r="D22" i="4"/>
  <c r="E47" i="4"/>
  <c r="F47" i="4"/>
  <c r="G47" i="4"/>
  <c r="H47" i="4"/>
  <c r="D47" i="4"/>
  <c r="I2" i="4"/>
  <c r="G43" i="4"/>
  <c r="G46" i="4" s="1"/>
  <c r="H46" i="4" s="1"/>
  <c r="C11" i="4"/>
  <c r="D40" i="4"/>
  <c r="E40" i="4"/>
  <c r="F40" i="4"/>
  <c r="G40" i="4"/>
  <c r="C40" i="4"/>
  <c r="I44" i="4" l="1"/>
  <c r="K45" i="4"/>
  <c r="I46" i="4"/>
  <c r="H54" i="4"/>
  <c r="D11" i="4"/>
  <c r="E11" i="4"/>
  <c r="B57" i="4"/>
  <c r="B59" i="4" s="1"/>
  <c r="E10" i="4"/>
  <c r="F10" i="4"/>
  <c r="D10" i="4"/>
  <c r="G9" i="4" s="1"/>
  <c r="D65" i="4"/>
  <c r="D66" i="4" s="1"/>
  <c r="G48" i="4"/>
  <c r="H48" i="4" s="1"/>
  <c r="I48" i="4" s="1"/>
  <c r="J48" i="4" s="1"/>
  <c r="K48" i="4" s="1"/>
  <c r="L48" i="4" s="1"/>
  <c r="H64" i="4"/>
  <c r="I64" i="4" s="1"/>
  <c r="J64" i="4" s="1"/>
  <c r="K64" i="4" s="1"/>
  <c r="L64" i="4" s="1"/>
  <c r="E65" i="4"/>
  <c r="E66" i="4" s="1"/>
  <c r="F65" i="4"/>
  <c r="F66" i="4" s="1"/>
  <c r="C14" i="4"/>
  <c r="C29" i="4" s="1"/>
  <c r="D14" i="4"/>
  <c r="F25" i="4"/>
  <c r="E25" i="4"/>
  <c r="D25" i="4"/>
  <c r="E49" i="4"/>
  <c r="F49" i="4"/>
  <c r="D49" i="4"/>
  <c r="E52" i="4"/>
  <c r="F52" i="4"/>
  <c r="D52" i="4"/>
  <c r="G17" i="4"/>
  <c r="F14" i="4"/>
  <c r="F21" i="4" s="1"/>
  <c r="H19" i="2"/>
  <c r="L13" i="2"/>
  <c r="E35" i="4"/>
  <c r="F35" i="4"/>
  <c r="G35" i="4"/>
  <c r="D35" i="4"/>
  <c r="E14" i="4"/>
  <c r="E67" i="4"/>
  <c r="E68" i="4"/>
  <c r="E69" i="4"/>
  <c r="D69" i="4"/>
  <c r="D68" i="4"/>
  <c r="D67" i="4"/>
  <c r="F62" i="4"/>
  <c r="J44" i="4" l="1"/>
  <c r="I47" i="4"/>
  <c r="E70" i="4"/>
  <c r="G10" i="4"/>
  <c r="H9" i="4" s="1"/>
  <c r="J46" i="4"/>
  <c r="I54" i="4"/>
  <c r="F11" i="4"/>
  <c r="G14" i="4"/>
  <c r="G25" i="4"/>
  <c r="I25" i="4" s="1"/>
  <c r="J25" i="4" s="1"/>
  <c r="K25" i="4" s="1"/>
  <c r="L25" i="4" s="1"/>
  <c r="C20" i="4"/>
  <c r="C36" i="4" s="1"/>
  <c r="E22" i="4"/>
  <c r="D29" i="4"/>
  <c r="F22" i="4"/>
  <c r="F29" i="4"/>
  <c r="C50" i="4"/>
  <c r="C51" i="4" s="1"/>
  <c r="D42" i="4"/>
  <c r="H9" i="1"/>
  <c r="I9" i="1"/>
  <c r="M5" i="1"/>
  <c r="L5" i="1"/>
  <c r="K5" i="1"/>
  <c r="J5" i="1"/>
  <c r="I5" i="1"/>
  <c r="R8" i="1"/>
  <c r="H7" i="1"/>
  <c r="M7" i="1"/>
  <c r="N7" i="1"/>
  <c r="I7" i="1"/>
  <c r="J7" i="1"/>
  <c r="K7" i="1"/>
  <c r="L7" i="1"/>
  <c r="L16" i="2"/>
  <c r="M5" i="2"/>
  <c r="N5" i="2" s="1"/>
  <c r="O5" i="2" s="1"/>
  <c r="P5" i="2" s="1"/>
  <c r="Q5" i="2" s="1"/>
  <c r="R5" i="2" s="1"/>
  <c r="M6" i="2"/>
  <c r="N6" i="2" s="1"/>
  <c r="O6" i="2" s="1"/>
  <c r="P6" i="2" s="1"/>
  <c r="Q6" i="2" s="1"/>
  <c r="R6" i="2" s="1"/>
  <c r="D8" i="2"/>
  <c r="E8" i="2"/>
  <c r="F8" i="2"/>
  <c r="G8" i="2"/>
  <c r="H8" i="2"/>
  <c r="I8" i="2"/>
  <c r="J8" i="2"/>
  <c r="K8" i="2"/>
  <c r="L8" i="2"/>
  <c r="C8" i="2"/>
  <c r="E7" i="1"/>
  <c r="F7" i="1"/>
  <c r="G7" i="1"/>
  <c r="D7" i="1"/>
  <c r="D9" i="2"/>
  <c r="E9" i="2"/>
  <c r="F9" i="2"/>
  <c r="G9" i="2"/>
  <c r="H9" i="2"/>
  <c r="I9" i="2"/>
  <c r="J9" i="2"/>
  <c r="K9" i="2"/>
  <c r="L9" i="2"/>
  <c r="C9" i="2"/>
  <c r="C7" i="2"/>
  <c r="D7" i="2"/>
  <c r="E7" i="2"/>
  <c r="F7" i="2"/>
  <c r="G7" i="2"/>
  <c r="H7" i="2"/>
  <c r="I7" i="2"/>
  <c r="J7" i="2"/>
  <c r="K7" i="2"/>
  <c r="L7" i="2"/>
  <c r="B7" i="2"/>
  <c r="K44" i="4" l="1"/>
  <c r="K47" i="4" s="1"/>
  <c r="J47" i="4"/>
  <c r="G22" i="4"/>
  <c r="G37" i="4"/>
  <c r="K46" i="4"/>
  <c r="J54" i="4"/>
  <c r="H10" i="4"/>
  <c r="I9" i="4" s="1"/>
  <c r="H11" i="4"/>
  <c r="G11" i="4"/>
  <c r="C57" i="4"/>
  <c r="C59" i="4" s="1"/>
  <c r="C60" i="4" s="1"/>
  <c r="D71" i="4"/>
  <c r="D72" i="4" s="1"/>
  <c r="D20" i="4"/>
  <c r="D30" i="4"/>
  <c r="E42" i="4"/>
  <c r="F50" i="4"/>
  <c r="F51" i="4" s="1"/>
  <c r="G42" i="4"/>
  <c r="F42" i="4"/>
  <c r="E29" i="4"/>
  <c r="E30" i="4" s="1"/>
  <c r="D50" i="4"/>
  <c r="D51" i="4" s="1"/>
  <c r="I10" i="4" l="1"/>
  <c r="J9" i="4"/>
  <c r="L46" i="4"/>
  <c r="L54" i="4" s="1"/>
  <c r="K54" i="4"/>
  <c r="I11" i="4"/>
  <c r="D57" i="4"/>
  <c r="E71" i="4"/>
  <c r="E72" i="4" s="1"/>
  <c r="D36" i="4"/>
  <c r="E20" i="4"/>
  <c r="F30" i="4"/>
  <c r="E50" i="4"/>
  <c r="E51" i="4" s="1"/>
  <c r="J10" i="4" l="1"/>
  <c r="K9" i="4" s="1"/>
  <c r="K10" i="4" s="1"/>
  <c r="L9" i="4" s="1"/>
  <c r="L10" i="4" s="1"/>
  <c r="E57" i="4"/>
  <c r="D59" i="4"/>
  <c r="D60" i="4" s="1"/>
  <c r="F20" i="4"/>
  <c r="E36" i="4"/>
  <c r="G20" i="4" l="1"/>
  <c r="G21" i="4"/>
  <c r="F57" i="4"/>
  <c r="F59" i="4" s="1"/>
  <c r="F60" i="4" s="1"/>
  <c r="E59" i="4"/>
  <c r="E60" i="4" s="1"/>
  <c r="J11" i="4"/>
  <c r="F36" i="4"/>
  <c r="G29" i="4"/>
  <c r="G36" i="4" l="1"/>
  <c r="L11" i="4"/>
  <c r="K11" i="4"/>
  <c r="G50" i="4"/>
  <c r="G30" i="4"/>
  <c r="G51" i="4" l="1"/>
  <c r="G57" i="4"/>
  <c r="G59" i="4" s="1"/>
  <c r="G60" i="4" s="1"/>
  <c r="F68" i="4" l="1"/>
  <c r="F69" i="4"/>
  <c r="F67" i="4"/>
  <c r="G68" i="4"/>
  <c r="G67" i="4"/>
  <c r="G66" i="4"/>
  <c r="G69" i="4"/>
  <c r="H68" i="4"/>
  <c r="H69" i="4"/>
  <c r="H67" i="4"/>
  <c r="H65" i="4"/>
  <c r="L65" i="4"/>
  <c r="L67" i="4"/>
  <c r="L69" i="4"/>
  <c r="L68" i="4"/>
  <c r="I67" i="4"/>
  <c r="I69" i="4"/>
  <c r="I68" i="4"/>
  <c r="K69" i="4"/>
  <c r="K67" i="4"/>
  <c r="K68" i="4"/>
  <c r="K65" i="4"/>
  <c r="J65" i="4"/>
  <c r="J67" i="4"/>
  <c r="J69" i="4"/>
  <c r="I65" i="4"/>
  <c r="J68" i="4"/>
  <c r="G71" i="4" l="1"/>
  <c r="G72" i="4" s="1"/>
  <c r="G70" i="4"/>
  <c r="K70" i="4"/>
  <c r="H70" i="4"/>
  <c r="F70" i="4"/>
  <c r="F71" i="4"/>
  <c r="F72" i="4" s="1"/>
  <c r="I70" i="4"/>
  <c r="L70" i="4"/>
  <c r="J70" i="4"/>
  <c r="H14" i="4" l="1"/>
  <c r="H20" i="4" s="1"/>
  <c r="H21" i="4" l="1"/>
  <c r="H53" i="4" s="1"/>
  <c r="H29" i="4"/>
  <c r="H34" i="4"/>
  <c r="H36" i="4" s="1"/>
  <c r="I14" i="4"/>
  <c r="I20" i="4" s="1"/>
  <c r="H71" i="4" l="1"/>
  <c r="H72" i="4" s="1"/>
  <c r="H30" i="4"/>
  <c r="I34" i="4"/>
  <c r="I29" i="4"/>
  <c r="J14" i="4"/>
  <c r="J20" i="4" s="1"/>
  <c r="I21" i="4"/>
  <c r="I53" i="4" s="1"/>
  <c r="H35" i="4"/>
  <c r="H40" i="4"/>
  <c r="H50" i="4" s="1"/>
  <c r="H66" i="4"/>
  <c r="H57" i="4" l="1"/>
  <c r="H51" i="4"/>
  <c r="J29" i="4"/>
  <c r="K14" i="4"/>
  <c r="I71" i="4"/>
  <c r="I72" i="4" s="1"/>
  <c r="I30" i="4"/>
  <c r="I40" i="4"/>
  <c r="I50" i="4" s="1"/>
  <c r="I51" i="4" s="1"/>
  <c r="I35" i="4"/>
  <c r="I66" i="4"/>
  <c r="K21" i="4"/>
  <c r="K53" i="4" s="1"/>
  <c r="K20" i="4"/>
  <c r="J34" i="4"/>
  <c r="J36" i="4" s="1"/>
  <c r="J21" i="4"/>
  <c r="J53" i="4" s="1"/>
  <c r="I36" i="4"/>
  <c r="I57" i="4" l="1"/>
  <c r="H60" i="4"/>
  <c r="H59" i="4"/>
  <c r="J71" i="4"/>
  <c r="J72" i="4" s="1"/>
  <c r="J30" i="4"/>
  <c r="J40" i="4"/>
  <c r="J50" i="4" s="1"/>
  <c r="J51" i="4" s="1"/>
  <c r="J66" i="4"/>
  <c r="J35" i="4"/>
  <c r="K34" i="4"/>
  <c r="K29" i="4"/>
  <c r="L14" i="4"/>
  <c r="L29" i="4" s="1"/>
  <c r="L21" i="4" l="1"/>
  <c r="L53" i="4" s="1"/>
  <c r="L20" i="4"/>
  <c r="L34" i="4" s="1"/>
  <c r="K71" i="4"/>
  <c r="K72" i="4" s="1"/>
  <c r="K30" i="4"/>
  <c r="K66" i="4"/>
  <c r="K40" i="4"/>
  <c r="K50" i="4" s="1"/>
  <c r="K51" i="4" s="1"/>
  <c r="K35" i="4"/>
  <c r="J57" i="4"/>
  <c r="I60" i="4"/>
  <c r="I59" i="4"/>
  <c r="K36" i="4"/>
  <c r="L30" i="4"/>
  <c r="L71" i="4"/>
  <c r="L72" i="4" s="1"/>
  <c r="L66" i="4" l="1"/>
  <c r="L35" i="4"/>
  <c r="L40" i="4"/>
  <c r="L50" i="4" s="1"/>
  <c r="L51" i="4" s="1"/>
  <c r="L36" i="4"/>
  <c r="J60" i="4"/>
  <c r="K57" i="4"/>
  <c r="J59" i="4"/>
  <c r="K59" i="4" l="1"/>
  <c r="L57" i="4"/>
  <c r="K60" i="4"/>
  <c r="L60" i="4" l="1"/>
  <c r="L5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Max Greer</author>
  </authors>
  <commentList>
    <comment ref="G4" authorId="0" shapeId="0" xr:uid="{A9902EEF-0093-4224-9045-8E63E4093688}">
      <text>
        <r>
          <rPr>
            <b/>
            <sz val="9"/>
            <color indexed="81"/>
            <rFont val="Tahoma"/>
            <family val="2"/>
          </rPr>
          <t>Max Greer:</t>
        </r>
        <r>
          <rPr>
            <sz val="9"/>
            <color indexed="81"/>
            <rFont val="Tahoma"/>
            <family val="2"/>
          </rPr>
          <t xml:space="preserve">
Sony - 43%
</t>
        </r>
      </text>
    </comment>
    <comment ref="H4" authorId="0" shapeId="0" xr:uid="{D3B722D1-03C7-4856-8097-1422E8D42B77}">
      <text>
        <r>
          <rPr>
            <b/>
            <sz val="9"/>
            <color indexed="81"/>
            <rFont val="Tahoma"/>
            <family val="2"/>
          </rPr>
          <t>Max Greer:</t>
        </r>
        <r>
          <rPr>
            <sz val="9"/>
            <color indexed="81"/>
            <rFont val="Tahoma"/>
            <family val="2"/>
          </rPr>
          <t xml:space="preserve">
Sony- 36.7%
</t>
        </r>
      </text>
    </comment>
    <comment ref="I4" authorId="0" shapeId="0" xr:uid="{F37F8B3D-989C-42F9-ABA8-3F5CF59EF411}">
      <text>
        <r>
          <rPr>
            <b/>
            <sz val="9"/>
            <color indexed="81"/>
            <rFont val="Tahoma"/>
            <family val="2"/>
          </rPr>
          <t>Max Greer:</t>
        </r>
        <r>
          <rPr>
            <sz val="9"/>
            <color indexed="81"/>
            <rFont val="Tahoma"/>
            <family val="2"/>
          </rPr>
          <t xml:space="preserve">
https://www.fool.com/investing/2020/07/17/facebook-plans-to-extend-its-lead-in-the-virtual-r.aspx</t>
        </r>
      </text>
    </comment>
    <comment ref="H5" authorId="0" shapeId="0" xr:uid="{ABE4E4D8-D224-4ADD-A832-93EC1FA5E667}">
      <text>
        <r>
          <rPr>
            <b/>
            <sz val="9"/>
            <color indexed="81"/>
            <rFont val="Tahoma"/>
            <family val="2"/>
          </rPr>
          <t>Max Greer:</t>
        </r>
        <r>
          <rPr>
            <sz val="9"/>
            <color indexed="81"/>
            <rFont val="Tahoma"/>
            <family val="2"/>
          </rPr>
          <t xml:space="preserve">
https://www.idc.com/getdoc.jsp?containerId=prUS45679219#:~:text=FRAMINGHAM%2C%20Mass.%2C%20November%2027,will%20be%20spent%20in%202019.</t>
        </r>
      </text>
    </comment>
    <comment ref="I5" authorId="0" shapeId="0" xr:uid="{D8009662-B388-4761-8E25-81F2B49DC5B7}">
      <text>
        <r>
          <rPr>
            <b/>
            <sz val="9"/>
            <color indexed="81"/>
            <rFont val="Tahoma"/>
            <family val="2"/>
          </rPr>
          <t>Max Greer:</t>
        </r>
        <r>
          <rPr>
            <sz val="9"/>
            <color indexed="81"/>
            <rFont val="Tahoma"/>
            <family val="2"/>
          </rPr>
          <t xml:space="preserve">
hardware only
</t>
        </r>
      </text>
    </comment>
    <comment ref="J5" authorId="0" shapeId="0" xr:uid="{B83EEE90-2CFA-411F-A612-76C3FF0A631B}">
      <text>
        <r>
          <rPr>
            <b/>
            <sz val="9"/>
            <color indexed="81"/>
            <rFont val="Tahoma"/>
            <family val="2"/>
          </rPr>
          <t>Max Greer:</t>
        </r>
        <r>
          <rPr>
            <sz val="9"/>
            <color indexed="81"/>
            <rFont val="Tahoma"/>
            <family val="2"/>
          </rPr>
          <t xml:space="preserve">
https://www.idc.com/getdoc.jsp?containerId=prUS45679219#:~:text=FRAMINGHAM%2C%20Mass.%2C%20November%2027,will%20be%20spent%20in%202019.
</t>
        </r>
      </text>
    </comment>
    <comment ref="M5" authorId="0" shapeId="0" xr:uid="{86AB336E-D218-4DB2-B610-B54FF2A4EDBB}">
      <text>
        <r>
          <rPr>
            <b/>
            <sz val="9"/>
            <color indexed="81"/>
            <rFont val="Tahoma"/>
            <family val="2"/>
          </rPr>
          <t>Max Greer:</t>
        </r>
        <r>
          <rPr>
            <sz val="9"/>
            <color indexed="81"/>
            <rFont val="Tahoma"/>
            <family val="2"/>
          </rPr>
          <t xml:space="preserve">
https://www.fool.com/investing/2019/12/14/2020-finally-year-ar-vr-matter-for-facebook.aspx</t>
        </r>
      </text>
    </comment>
    <comment ref="H6" authorId="0" shapeId="0" xr:uid="{88766B86-16B4-4E8E-B5EB-E0E57D36332C}">
      <text>
        <r>
          <rPr>
            <b/>
            <sz val="9"/>
            <color indexed="81"/>
            <rFont val="Tahoma"/>
            <family val="2"/>
          </rPr>
          <t>Max Greer:</t>
        </r>
        <r>
          <rPr>
            <sz val="9"/>
            <color indexed="81"/>
            <rFont val="Tahoma"/>
            <family val="2"/>
          </rPr>
          <t xml:space="preserve">
acquisition of CTRL-Labs, beat games, Sanzaru games</t>
        </r>
      </text>
    </comment>
    <comment ref="H7" authorId="0" shapeId="0" xr:uid="{2EF4DC2C-8386-45BD-9DBD-F36285F232C8}">
      <text>
        <r>
          <rPr>
            <b/>
            <sz val="9"/>
            <color indexed="81"/>
            <rFont val="Tahoma"/>
            <family val="2"/>
          </rPr>
          <t>Max Greer:</t>
        </r>
        <r>
          <rPr>
            <sz val="9"/>
            <color indexed="81"/>
            <rFont val="Tahoma"/>
            <family val="2"/>
          </rPr>
          <t xml:space="preserve">
4.1Billion in AR/VR invesment in 2019
</t>
        </r>
      </text>
    </comment>
    <comment ref="I7" authorId="0" shapeId="0" xr:uid="{5D50703B-D978-44B2-94D2-ED4970CA44DB}">
      <text>
        <r>
          <rPr>
            <b/>
            <sz val="9"/>
            <color indexed="81"/>
            <rFont val="Tahoma"/>
            <family val="2"/>
          </rPr>
          <t>Max Greer:</t>
        </r>
        <r>
          <rPr>
            <sz val="9"/>
            <color indexed="81"/>
            <rFont val="Tahoma"/>
            <family val="2"/>
          </rPr>
          <t xml:space="preserve">
projected R&amp;D expenses
</t>
        </r>
      </text>
    </comment>
    <comment ref="H9" authorId="0" shapeId="0" xr:uid="{407A1FF9-F2DD-4053-8B38-643CD47F5CB4}">
      <text>
        <r>
          <rPr>
            <b/>
            <sz val="9"/>
            <color indexed="81"/>
            <rFont val="Tahoma"/>
            <family val="2"/>
          </rPr>
          <t>Max Greer:</t>
        </r>
        <r>
          <rPr>
            <sz val="9"/>
            <color indexed="81"/>
            <rFont val="Tahoma"/>
            <family val="2"/>
          </rPr>
          <t xml:space="preserve">
"Other" Revenue surgest by 80%, "Driven mainly by oculus"
100M in VR content revenue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Max Greer</author>
  </authors>
  <commentList>
    <comment ref="C7" authorId="0" shapeId="0" xr:uid="{2ECE0822-A5E2-4176-B361-2EFA7C98F072}">
      <text>
        <r>
          <rPr>
            <b/>
            <sz val="9"/>
            <color indexed="81"/>
            <rFont val="Tahoma"/>
            <family val="2"/>
          </rPr>
          <t>Max Greer:</t>
        </r>
        <r>
          <rPr>
            <sz val="9"/>
            <color indexed="81"/>
            <rFont val="Tahoma"/>
            <family val="2"/>
          </rPr>
          <t xml:space="preserve">
Rif released inMarch 16
</t>
        </r>
      </text>
    </comment>
    <comment ref="D7" authorId="0" shapeId="0" xr:uid="{935914B3-DF92-48E6-910F-D40704718DE7}">
      <text>
        <r>
          <rPr>
            <b/>
            <sz val="9"/>
            <color indexed="81"/>
            <rFont val="Tahoma"/>
            <family val="2"/>
          </rPr>
          <t>Max Greer:</t>
        </r>
        <r>
          <rPr>
            <sz val="9"/>
            <color indexed="81"/>
            <rFont val="Tahoma"/>
            <family val="2"/>
          </rPr>
          <t xml:space="preserve">
oculus go released in octover 17</t>
        </r>
      </text>
    </comment>
    <comment ref="E7" authorId="0" shapeId="0" xr:uid="{04624FC8-8733-47B5-98C4-954D9626C784}">
      <text>
        <r>
          <rPr>
            <b/>
            <sz val="9"/>
            <color indexed="81"/>
            <rFont val="Tahoma"/>
            <family val="2"/>
          </rPr>
          <t>Max Greer:</t>
        </r>
        <r>
          <rPr>
            <sz val="9"/>
            <color indexed="81"/>
            <rFont val="Tahoma"/>
            <family val="2"/>
          </rPr>
          <t xml:space="preserve">
Quest released Sept 2018</t>
        </r>
      </text>
    </comment>
    <comment ref="F7" authorId="0" shapeId="0" xr:uid="{5E97A3EE-85C6-4466-8F23-58FDD7B61AD8}">
      <text>
        <r>
          <rPr>
            <b/>
            <sz val="9"/>
            <color indexed="81"/>
            <rFont val="Tahoma"/>
            <family val="2"/>
          </rPr>
          <t>Max Greer:</t>
        </r>
        <r>
          <rPr>
            <sz val="9"/>
            <color indexed="81"/>
            <rFont val="Tahoma"/>
            <family val="2"/>
          </rPr>
          <t xml:space="preserve">
Rift S released March 19</t>
        </r>
      </text>
    </comment>
    <comment ref="G7" authorId="0" shapeId="0" xr:uid="{FF910C23-1463-48FE-A831-1286FDAD0C3E}">
      <text>
        <r>
          <rPr>
            <b/>
            <sz val="9"/>
            <color indexed="81"/>
            <rFont val="Tahoma"/>
            <family val="2"/>
          </rPr>
          <t>Max Greer:</t>
        </r>
        <r>
          <rPr>
            <sz val="9"/>
            <color indexed="81"/>
            <rFont val="Tahoma"/>
            <family val="2"/>
          </rPr>
          <t xml:space="preserve">
Rumored Quest 2</t>
        </r>
      </text>
    </comment>
    <comment ref="J7" authorId="0" shapeId="0" xr:uid="{BA314A2A-CFE4-414C-9BFD-FC8E3415F82D}">
      <text>
        <r>
          <rPr>
            <b/>
            <sz val="9"/>
            <color indexed="81"/>
            <rFont val="Tahoma"/>
            <family val="2"/>
          </rPr>
          <t>Max Greer:</t>
        </r>
        <r>
          <rPr>
            <sz val="9"/>
            <color indexed="81"/>
            <rFont val="Tahoma"/>
            <family val="2"/>
          </rPr>
          <t xml:space="preserve">
As for a concrete and quantifiable prediction, ARtillery Intelligence projects VR to grow from $5.4 billion in 2019 to $7.4 billion in 2020 and $14.8 billion by 2023. That’s led by hardware for the entire forecast period, but software will gain share as it builds on a growing installed base.</t>
        </r>
      </text>
    </comment>
    <comment ref="B8" authorId="0" shapeId="0" xr:uid="{E6025A41-E5CE-4FEE-A8B6-433C10BFF42F}">
      <text>
        <r>
          <rPr>
            <b/>
            <sz val="9"/>
            <color indexed="81"/>
            <rFont val="Tahoma"/>
            <family val="2"/>
          </rPr>
          <t>Max Greer:</t>
        </r>
        <r>
          <rPr>
            <sz val="9"/>
            <color indexed="81"/>
            <rFont val="Tahoma"/>
            <family val="2"/>
          </rPr>
          <t xml:space="preserve">
Oculus and </t>
        </r>
      </text>
    </comment>
    <comment ref="F8" authorId="0" shapeId="0" xr:uid="{EFA91BDC-912E-41CD-BCC5-A48F87D7A689}">
      <text>
        <r>
          <rPr>
            <b/>
            <sz val="9"/>
            <color indexed="81"/>
            <rFont val="Tahoma"/>
            <family val="2"/>
          </rPr>
          <t>Max Greer:</t>
        </r>
        <r>
          <rPr>
            <sz val="9"/>
            <color indexed="81"/>
            <rFont val="Tahoma"/>
            <family val="2"/>
          </rPr>
          <t xml:space="preserve">
https://www.bloomberg.com/news/articles/2019-04-23/facebook-s-new-campus-for-oculus-gets-515-million-of-financing</t>
        </r>
      </text>
    </comment>
    <comment ref="B9" authorId="0" shapeId="0" xr:uid="{89B03FC5-5D7C-45A4-A177-FBBF484E1195}">
      <text>
        <r>
          <rPr>
            <b/>
            <sz val="9"/>
            <color indexed="81"/>
            <rFont val="Tahoma"/>
            <family val="2"/>
          </rPr>
          <t>Max Greer:</t>
        </r>
        <r>
          <rPr>
            <sz val="9"/>
            <color indexed="81"/>
            <rFont val="Tahoma"/>
            <family val="2"/>
          </rPr>
          <t xml:space="preserve">
oculus acquisition
</t>
        </r>
      </text>
    </comment>
    <comment ref="C12" authorId="0" shapeId="0" xr:uid="{B2604353-A6C1-429F-A618-4038C341A116}">
      <text>
        <r>
          <rPr>
            <b/>
            <sz val="9"/>
            <color indexed="81"/>
            <rFont val="Tahoma"/>
            <family val="2"/>
          </rPr>
          <t>Max Greer:</t>
        </r>
        <r>
          <rPr>
            <sz val="9"/>
            <color indexed="81"/>
            <rFont val="Tahoma"/>
            <family val="2"/>
          </rPr>
          <t xml:space="preserve">
pple, Microsoft, Facebook, Google, Snap and Qualcomm are all making significant investments. Just to pick one example here, Facebook’s R&amp;D budget went from an annual run rate of $4 billion a year after the Oculus acquisition to over $14 billion a year in 2019</t>
        </r>
      </text>
    </comment>
    <comment ref="C14" authorId="0" shapeId="0" xr:uid="{DA2C9997-2A9C-4FC6-9DA9-CCB7206986F0}">
      <text>
        <r>
          <rPr>
            <b/>
            <sz val="9"/>
            <color indexed="81"/>
            <rFont val="Tahoma"/>
            <family val="2"/>
          </rPr>
          <t>Max Greer:</t>
        </r>
        <r>
          <rPr>
            <sz val="9"/>
            <color indexed="81"/>
            <rFont val="Tahoma"/>
            <family val="2"/>
          </rPr>
          <t xml:space="preserve">
Last year of only Rift and Go
Introduction of Oculus Go
https://www.statista.com/statistics/671403/global-virtual-reality-device-shipments-by-vendor/
https://uploadvr.com/superdata-headset-sales-analysis/</t>
        </r>
      </text>
    </comment>
    <comment ref="D14" authorId="0" shapeId="0" xr:uid="{F62F6B7C-956B-4FAA-B9E1-AF3091C35AA3}">
      <text>
        <r>
          <rPr>
            <b/>
            <sz val="9"/>
            <color indexed="81"/>
            <rFont val="Tahoma"/>
            <family val="2"/>
          </rPr>
          <t>Max Greer:</t>
        </r>
        <r>
          <rPr>
            <sz val="9"/>
            <color indexed="81"/>
            <rFont val="Tahoma"/>
            <family val="2"/>
          </rPr>
          <t xml:space="preserve">
Last year of only Rift and Go
Introduction of Oculus Go
https://www.statista.com/statistics/671403/global-virtual-reality-device-shipments-by-vendor/</t>
        </r>
      </text>
    </comment>
    <comment ref="E14" authorId="0" shapeId="0" xr:uid="{F108FBB1-ABD0-40F0-931A-8361031B4414}">
      <text>
        <r>
          <rPr>
            <b/>
            <sz val="9"/>
            <color indexed="81"/>
            <rFont val="Tahoma"/>
            <family val="2"/>
          </rPr>
          <t>Max Greer:</t>
        </r>
        <r>
          <rPr>
            <sz val="9"/>
            <color indexed="81"/>
            <rFont val="Tahoma"/>
            <family val="2"/>
          </rPr>
          <t xml:space="preserve">
Last year of only Rift and Go
Introduction of Oculus Go
https://www.statista.com/statistics/671403/global-virtual-reality-device-shipments-by-vendor/</t>
        </r>
      </text>
    </comment>
    <comment ref="F14" authorId="0" shapeId="0" xr:uid="{52FF043D-0CFB-4767-A858-18894D54CD2B}">
      <text>
        <r>
          <rPr>
            <b/>
            <sz val="9"/>
            <color indexed="81"/>
            <rFont val="Tahoma"/>
            <family val="2"/>
          </rPr>
          <t>Max Greer:</t>
        </r>
        <r>
          <rPr>
            <sz val="9"/>
            <color indexed="81"/>
            <rFont val="Tahoma"/>
            <family val="2"/>
          </rPr>
          <t xml:space="preserve">
https://www.superdataresearch.com/blog/will-the-oculus-quest-be-the-answer-to-vrs-prayers</t>
        </r>
      </text>
    </comment>
    <comment ref="G14" authorId="0" shapeId="0" xr:uid="{0BF2923F-9004-427C-A506-57AB649EDF6A}">
      <text>
        <r>
          <rPr>
            <b/>
            <sz val="9"/>
            <color indexed="81"/>
            <rFont val="Tahoma"/>
            <family val="2"/>
          </rPr>
          <t>Max Greer:</t>
        </r>
        <r>
          <rPr>
            <sz val="9"/>
            <color indexed="81"/>
            <rFont val="Tahoma"/>
            <family val="2"/>
          </rPr>
          <t xml:space="preserve">
https://www.fool.com/investing/2020/05/20/facebooks-vr-content-ecosystem-surpasses-100-milli.aspx</t>
        </r>
      </text>
    </comment>
    <comment ref="H14" authorId="0" shapeId="0" xr:uid="{220441FC-9E56-4FBC-BB08-8460BCA7264A}">
      <text>
        <r>
          <rPr>
            <b/>
            <sz val="9"/>
            <color indexed="81"/>
            <rFont val="Tahoma"/>
            <family val="2"/>
          </rPr>
          <t>Max Greer:</t>
        </r>
        <r>
          <rPr>
            <sz val="9"/>
            <color indexed="81"/>
            <rFont val="Tahoma"/>
            <family val="2"/>
          </rPr>
          <t xml:space="preserve">
https://arinsider.co/2020/05/25/data-dive-has-oculus-sold-800k-quests/#:~:text=So%20based%20on%20software%20sales,209%2C411%20units%20sold%20in%20Q1.
</t>
        </r>
      </text>
    </comment>
    <comment ref="J14" authorId="0" shapeId="0" xr:uid="{2F89B8E5-11A7-4588-9B08-CDDB7C4ED204}">
      <text>
        <r>
          <rPr>
            <b/>
            <sz val="9"/>
            <color indexed="81"/>
            <rFont val="Tahoma"/>
            <family val="2"/>
          </rPr>
          <t>Max Greer:</t>
        </r>
        <r>
          <rPr>
            <sz val="9"/>
            <color indexed="81"/>
            <rFont val="Tahoma"/>
            <family val="2"/>
          </rPr>
          <t xml:space="preserve">
As for a concrete and quantifiable prediction, ARtillery Intelligence projects VR to grow from $5.4 billion in 2019 to $7.4 billion in 2020 and $14.8 billion by 2023. That’s led by hardware for the entire forecast period, but software will gain share as it builds on a growing installed base.
Hardware will specifically grow from $1.9 billion last year to $2.6 billion in 2020, on pace for $4.8 billion by 2023. This correlates to tier-1 (tethered) and tier-2 (standalone) annual unit sales of 8.79 million in 2020, and a cumulative installed base of 12.73 million in-market headsets by year-end.
The most notable headset — Oculus Quest per the above factors — was specifically projected to reach revenue of $178 million in 2019, growing to $399 million in 2020 and $1.58 billion by 2023. That correlates to 470,000 unit sales in 2019, 1.11 million in 2020, and 4.54 million by 2023.
https://arinsider.co/2020/01/22/2020-spatial-predictions-vr-makes-incremental-gains/#:~:text=The%20most%20notable%20headset%20%E2%80%94%20Oculus,and%204.54%20million%20by%202023.</t>
        </r>
      </text>
    </comment>
    <comment ref="G15" authorId="0" shapeId="0" xr:uid="{911B68C0-F765-4911-96B2-C498BE2578FF}">
      <text>
        <r>
          <rPr>
            <b/>
            <sz val="9"/>
            <color indexed="81"/>
            <rFont val="Tahoma"/>
            <family val="2"/>
          </rPr>
          <t>Max Greer:</t>
        </r>
        <r>
          <rPr>
            <sz val="9"/>
            <color indexed="81"/>
            <rFont val="Tahoma"/>
            <family val="2"/>
          </rPr>
          <t xml:space="preserve">
https://arinsider.co/2020/05/25/data-dive-has-oculus-sold-800k-quests/#:~:text=So%20based%20on%20software%20sales,209%2C411%20units%20sold%20in%20Q1.
Subtracting that from the $119 million calculated above for Q1 Quest revenue gets us a hardware total of $89 million, or 209,411 units sold in Q1</t>
        </r>
      </text>
    </comment>
    <comment ref="C16" authorId="0" shapeId="0" xr:uid="{62622610-F0A1-4538-940F-A421304F05B6}">
      <text>
        <r>
          <rPr>
            <b/>
            <sz val="9"/>
            <color indexed="81"/>
            <rFont val="Tahoma"/>
            <family val="2"/>
          </rPr>
          <t>Max Greer:</t>
        </r>
        <r>
          <rPr>
            <sz val="9"/>
            <color indexed="81"/>
            <rFont val="Tahoma"/>
            <family val="2"/>
          </rPr>
          <t xml:space="preserve">
https://uploadvr.com/superdata-headset-sales-analysis/
</t>
        </r>
      </text>
    </comment>
    <comment ref="D16" authorId="0" shapeId="0" xr:uid="{C0389060-C078-4F74-AE4E-E0240746966B}">
      <text>
        <r>
          <rPr>
            <b/>
            <sz val="9"/>
            <color indexed="81"/>
            <rFont val="Tahoma"/>
            <family val="2"/>
          </rPr>
          <t>Max Greer:</t>
        </r>
        <r>
          <rPr>
            <sz val="9"/>
            <color indexed="81"/>
            <rFont val="Tahoma"/>
            <family val="2"/>
          </rPr>
          <t xml:space="preserve">
https://techcrunch.com/2017/11/28/virtual-reality-headset-unit-sales-are-slowly-improving/#:~:text=According%20to%20a%20report%20from,HTC%20shipped%20160%2C000%20Vive%20units.</t>
        </r>
      </text>
    </comment>
    <comment ref="F17" authorId="0" shapeId="0" xr:uid="{6282E100-4874-44E9-90DD-19B4AC0FC16A}">
      <text>
        <r>
          <rPr>
            <b/>
            <sz val="9"/>
            <color indexed="81"/>
            <rFont val="Tahoma"/>
            <family val="2"/>
          </rPr>
          <t>Max Greer:</t>
        </r>
        <r>
          <rPr>
            <sz val="9"/>
            <color indexed="81"/>
            <rFont val="Tahoma"/>
            <family val="2"/>
          </rPr>
          <t xml:space="preserve">
During Facebook's Q4 2018 earnings call, the company's CFO revealed that the Oculus Go had contributed to the company's revenue during the quarter, but had also increased marketing costs.[68] In January 2019, market analysis firm SuperData estimated that over a million Oculus Go units had been sold since the device's launch, and in July 2019 the firm estimated over two million units had been sold.[69][70]
In his keynote at 2018's Oculus Connect developer conference, John Carmack revealed that the Go's retention rate was as high as the Rift's, something that nobody at the company had predicted.[71][72]</t>
        </r>
      </text>
    </comment>
    <comment ref="E19" authorId="0" shapeId="0" xr:uid="{912AEF9B-065E-4BC8-9DBA-4A2177DD3CEC}">
      <text>
        <r>
          <rPr>
            <b/>
            <sz val="9"/>
            <color indexed="81"/>
            <rFont val="Tahoma"/>
            <family val="2"/>
          </rPr>
          <t>Max Greer:</t>
        </r>
        <r>
          <rPr>
            <sz val="9"/>
            <color indexed="81"/>
            <rFont val="Tahoma"/>
            <family val="2"/>
          </rPr>
          <t xml:space="preserve">
https://www.statista.com/statistics/426469/active-virtual-reality-users-worldwide/#:~:text=The%20total%20number%20of%20active,themselves%20to%20be%20hardcore%20gamers.</t>
        </r>
      </text>
    </comment>
    <comment ref="F19" authorId="0" shapeId="0" xr:uid="{137300BC-3FF8-49A0-8C7E-C7A70B09396F}">
      <text>
        <r>
          <rPr>
            <b/>
            <sz val="9"/>
            <color indexed="81"/>
            <rFont val="Tahoma"/>
            <family val="2"/>
          </rPr>
          <t>Max Greer:</t>
        </r>
        <r>
          <rPr>
            <sz val="9"/>
            <color indexed="81"/>
            <rFont val="Tahoma"/>
            <family val="2"/>
          </rPr>
          <t xml:space="preserve">
https://www.statista.com/statistics/426469/active-virtual-reality-users-worldwide/#:~:text=The%20total%20number%20of%20active,themselves%20to%20be%20hardcore%20gamers.</t>
        </r>
      </text>
    </comment>
    <comment ref="E23" authorId="0" shapeId="0" xr:uid="{63061CD8-C5B0-4EEA-8E74-725A3095F560}">
      <text>
        <r>
          <rPr>
            <b/>
            <sz val="9"/>
            <color indexed="81"/>
            <rFont val="Tahoma"/>
            <family val="2"/>
          </rPr>
          <t>Max Greer:</t>
        </r>
        <r>
          <rPr>
            <sz val="9"/>
            <color indexed="81"/>
            <rFont val="Tahoma"/>
            <family val="2"/>
          </rPr>
          <t xml:space="preserve">
https://venturebeat.com/2018/12/04/idc-vr-headset-market-grew-8-2-in-q3-2018-led-by-sony-psvr-and-oculus/</t>
        </r>
      </text>
    </comment>
    <comment ref="F23" authorId="0" shapeId="0" xr:uid="{332D6A33-2CEC-4268-B591-DF2EBA774090}">
      <text>
        <r>
          <rPr>
            <b/>
            <sz val="9"/>
            <color indexed="81"/>
            <rFont val="Tahoma"/>
            <family val="2"/>
          </rPr>
          <t>Max Greer:</t>
        </r>
        <r>
          <rPr>
            <sz val="9"/>
            <color indexed="81"/>
            <rFont val="Tahoma"/>
            <family val="2"/>
          </rPr>
          <t xml:space="preserve">
https://arinsider.co/wp-content/uploads/2019/12/Screen-Shot-2019-12-13-at-9.50.02-AM.png</t>
        </r>
      </text>
    </comment>
    <comment ref="C25" authorId="0" shapeId="0" xr:uid="{747258C1-5388-4ECD-9C3E-120D14218C63}">
      <text>
        <r>
          <rPr>
            <b/>
            <sz val="9"/>
            <color indexed="81"/>
            <rFont val="Tahoma"/>
            <family val="2"/>
          </rPr>
          <t>Max Greer:</t>
        </r>
        <r>
          <rPr>
            <sz val="9"/>
            <color indexed="81"/>
            <rFont val="Tahoma"/>
            <family val="2"/>
          </rPr>
          <t xml:space="preserve">
"not making a profit"
</t>
        </r>
      </text>
    </comment>
    <comment ref="F28" authorId="0" shapeId="0" xr:uid="{6C32C5C4-1C0C-4310-AA2F-E4205368482E}">
      <text>
        <r>
          <rPr>
            <b/>
            <sz val="9"/>
            <color indexed="81"/>
            <rFont val="Tahoma"/>
            <family val="2"/>
          </rPr>
          <t>Max Greer:</t>
        </r>
        <r>
          <rPr>
            <sz val="9"/>
            <color indexed="81"/>
            <rFont val="Tahoma"/>
            <family val="2"/>
          </rPr>
          <t xml:space="preserve">
https://www.superdataresearch.com/blog/will-the-oculus-quest-be-the-answer-to-vrs-prayers</t>
        </r>
      </text>
    </comment>
    <comment ref="C34" authorId="0" shapeId="0" xr:uid="{95A66D01-62C4-4860-8D6F-80AC71FEDC4B}">
      <text>
        <r>
          <rPr>
            <b/>
            <sz val="9"/>
            <color indexed="81"/>
            <rFont val="Tahoma"/>
            <family val="2"/>
          </rPr>
          <t>Max Greer:</t>
        </r>
        <r>
          <rPr>
            <sz val="9"/>
            <color indexed="81"/>
            <rFont val="Tahoma"/>
            <family val="2"/>
          </rPr>
          <t xml:space="preserve">
From our estimates, there is relatively small software sales for the first couple of years, and then a major inflection point in 2019. That spike represents an almost 10x jump in software sales from the previous year! We believe this is thanks to the introduction of new hardware—Oculus Quest and Oculus Rift S—as well as the launch of several exclusive hit games like Asgard’s Wrath and the continued success of Beat Saber. Four months after launch, Quest accounted for 20% of Oculus software sales; seven months after launch, Quest is now nearly 40%.
https://www.roadtovr.com/2019-major-inflection-point-vr-heres-proof/#:~:text=Our%20estimates%20suggest%20nearly%20%24110,in%20software%20revenue%20for%202019.
Oculus store launches in March 2015
</t>
        </r>
      </text>
    </comment>
    <comment ref="D34" authorId="0" shapeId="0" xr:uid="{8BE6AA0A-4AB2-44C3-A40F-034B13346950}">
      <text>
        <r>
          <rPr>
            <b/>
            <sz val="9"/>
            <color indexed="81"/>
            <rFont val="Tahoma"/>
            <family val="2"/>
          </rPr>
          <t>Max Greer:</t>
        </r>
        <r>
          <rPr>
            <sz val="9"/>
            <color indexed="81"/>
            <rFont val="Tahoma"/>
            <family val="2"/>
          </rPr>
          <t xml:space="preserve">
From our estimates, there is relatively small software sales for the first couple of years, and then a major inflection point in 2019. That spike represents an almost 10x jump in software sales from the previous year! We believe this is thanks to the introduction of new hardware—Oculus Quest and Oculus Rift S—as well as the launch of several exclusive hit games like Asgard’s Wrath and the continued success of Beat Saber. Four months after launch, Quest accounted for 20% of Oculus software sales; seven months after launch, Quest is now nearly 40%.
https://www.roadtovr.com/2019-major-inflection-point-vr-heres-proof/#:~:text=Our%20estimates%20suggest%20nearly%20%24110,in%20software%20revenue%20for%202019.</t>
        </r>
      </text>
    </comment>
    <comment ref="E34" authorId="0" shapeId="0" xr:uid="{BE8D2661-6049-4001-967E-8D713123A63B}">
      <text>
        <r>
          <rPr>
            <b/>
            <sz val="9"/>
            <color indexed="81"/>
            <rFont val="Tahoma"/>
            <family val="2"/>
          </rPr>
          <t>Max Greer:</t>
        </r>
        <r>
          <rPr>
            <sz val="9"/>
            <color indexed="81"/>
            <rFont val="Tahoma"/>
            <family val="2"/>
          </rPr>
          <t xml:space="preserve">
https://techcrunch.com/2019/06/10/oculus-sold-5-million-worth-of-quest-content-in-first-2-weeks-on-sale/
Oculus sold $5 million worth of Quest content in first 2 weeks on sale
Release in sept...</t>
        </r>
      </text>
    </comment>
    <comment ref="F34" authorId="0" shapeId="0" xr:uid="{5A043108-3528-41F8-A46A-3021D8C3AB96}">
      <text>
        <r>
          <rPr>
            <sz val="9"/>
            <color indexed="81"/>
            <rFont val="Tahoma"/>
            <family val="2"/>
          </rPr>
          <t>Sept 2019 - oculus hits 100M in software sales.  20% from quest ( released in May)
Facebook CEO Mark Zuckerberg took the stage at Oculus Connect  today where he announced that the Oculus Store has now sold over $100 million worth of content to date.
Zuckerberg maintains that the Oculus Store—which provides content for Rift, Quest, Go, and Gear VR—has topped $100 million USD combined.
The company says that more than 20% of that is from Quest alone; considering the standalone VR headset is only four months old, that’s a pretty impressive number.
https://www.roadtovr.com/facebook-100m-store-content-oculus-connect-6/</t>
        </r>
        <r>
          <rPr>
            <b/>
            <sz val="9"/>
            <color indexed="81"/>
            <rFont val="Tahoma"/>
            <family val="2"/>
          </rPr>
          <t xml:space="preserve">
Max Greer:</t>
        </r>
        <r>
          <rPr>
            <sz val="9"/>
            <color indexed="81"/>
            <rFont val="Tahoma"/>
            <family val="2"/>
          </rPr>
          <t xml:space="preserve">
https://www.fool.com/investing/2020/05/20/facebooks-vr-content-ecosystem-surpasses-100-milli.aspx
In June 2019, Facebook announced it sold $5 million worth of content for the Oculus Quest in just 2 weeks
Onstage at Oculus  Connect today, Mark Zuckerberg announced that the company has surpassed $100 million in revenue in the Oculus store. This figure spans several different virtual reality headsets, but Zuckerberg noted than 20% of that revenue was for Quest titles sold in the past four months, suggesting that users of the new headset are spending plenty of cash on content.</t>
        </r>
      </text>
    </comment>
    <comment ref="G34" authorId="0" shapeId="0" xr:uid="{5CE3BC56-5014-4535-889E-E20850ECD633}">
      <text>
        <r>
          <rPr>
            <b/>
            <sz val="9"/>
            <color indexed="81"/>
            <rFont val="Tahoma"/>
            <family val="2"/>
          </rPr>
          <t>Max Greer:</t>
        </r>
        <r>
          <rPr>
            <sz val="9"/>
            <color indexed="81"/>
            <rFont val="Tahoma"/>
            <family val="2"/>
          </rPr>
          <t xml:space="preserve">
Subtracting 2019’s $35 million means that the first 5 months of 2020 saw software sales of $65 million.
Yet, the company just revealed that it has sold about $100 million in VR content, over the past year.
Facebook recently said about 20 original titles had surpassed the $1 million revenue mark on the Quest platform.
Painting a clearer picture of its VR business, Facebook is now saying that Moss, Pistol Whip, and 10 other titles have generated over $2 million in revenue on the platform.
https://www.mediapost.com/publications/article/351544/facebook-reports-100-million-in-vr-content-sold-y.html</t>
        </r>
      </text>
    </comment>
    <comment ref="E35" authorId="0" shapeId="0" xr:uid="{2C3FDE37-09EC-4BAB-AA95-21720996E896}">
      <text>
        <r>
          <rPr>
            <b/>
            <sz val="9"/>
            <color indexed="81"/>
            <rFont val="Tahoma"/>
            <family val="2"/>
          </rPr>
          <t>Max Greer:</t>
        </r>
        <r>
          <rPr>
            <sz val="9"/>
            <color indexed="81"/>
            <rFont val="Tahoma"/>
            <family val="2"/>
          </rPr>
          <t xml:space="preserve">
Introduction of Go
</t>
        </r>
      </text>
    </comment>
    <comment ref="F40" authorId="0" shapeId="0" xr:uid="{F50C0288-2ACB-411C-B0AA-581CA1E7C41E}">
      <text>
        <r>
          <rPr>
            <b/>
            <sz val="9"/>
            <color indexed="81"/>
            <rFont val="Tahoma"/>
            <family val="2"/>
          </rPr>
          <t>Max Greer:</t>
        </r>
        <r>
          <rPr>
            <sz val="9"/>
            <color indexed="81"/>
            <rFont val="Tahoma"/>
            <family val="2"/>
          </rPr>
          <t xml:space="preserve">
https://www.fool.com/investing/2020/05/20/facebooks-vr-content-ecosystem-surpasses-100-milli.aspx
</t>
        </r>
      </text>
    </comment>
    <comment ref="A48" authorId="0" shapeId="0" xr:uid="{27D47D60-B5FC-4E6E-BAF4-E0FD49FA6171}">
      <text>
        <r>
          <rPr>
            <b/>
            <sz val="9"/>
            <color indexed="81"/>
            <rFont val="Tahoma"/>
            <family val="2"/>
          </rPr>
          <t xml:space="preserve">Max Greer:
</t>
        </r>
        <r>
          <rPr>
            <sz val="9"/>
            <color indexed="81"/>
            <rFont val="Tahoma"/>
            <family val="2"/>
          </rPr>
          <t>Other revenue. Other revenue consists of revenue from the delivery of consumer hardware devices and net fees we receive from developers using our
Payments infrastructure, as well as revenue from vario</t>
        </r>
        <r>
          <rPr>
            <b/>
            <sz val="9"/>
            <color indexed="81"/>
            <rFont val="Tahoma"/>
            <family val="2"/>
          </rPr>
          <t>us other sources.</t>
        </r>
        <r>
          <rPr>
            <sz val="9"/>
            <color indexed="81"/>
            <rFont val="Tahoma"/>
            <family val="2"/>
          </rPr>
          <t xml:space="preserve">
</t>
        </r>
      </text>
    </comment>
    <comment ref="G54" authorId="0" shapeId="0" xr:uid="{034DBA74-D923-4780-8287-AFFF96AD7CE4}">
      <text>
        <r>
          <rPr>
            <b/>
            <sz val="9"/>
            <color indexed="81"/>
            <rFont val="Tahoma"/>
            <family val="2"/>
          </rPr>
          <t>Max Greer:</t>
        </r>
        <r>
          <rPr>
            <sz val="9"/>
            <color indexed="81"/>
            <rFont val="Tahoma"/>
            <family val="2"/>
          </rPr>
          <t xml:space="preserve">
The first is Facebook’s Q1 quarterly earnings. The company revealed that non-advertising revenues were up 80 percent year-over-year, fueled by Oculus. This is the exact period (starting Q2 2019) of Quest’s tenure.
165 to 297
Q2 was up 40%</t>
        </r>
      </text>
    </comment>
    <comment ref="B57" authorId="0" shapeId="0" xr:uid="{57D869C7-D763-4985-8C21-5CD328DB2B4E}">
      <text>
        <r>
          <rPr>
            <b/>
            <sz val="9"/>
            <color indexed="81"/>
            <rFont val="Tahoma"/>
            <family val="2"/>
          </rPr>
          <t>Max Greer:</t>
        </r>
        <r>
          <rPr>
            <sz val="9"/>
            <color indexed="81"/>
            <rFont val="Tahoma"/>
            <family val="2"/>
          </rPr>
          <t xml:space="preserve">
Oculus and </t>
        </r>
      </text>
    </comment>
    <comment ref="C63" authorId="0" shapeId="0" xr:uid="{CC706B87-88F2-4B6B-80BE-FAA5089BE91E}">
      <text>
        <r>
          <rPr>
            <b/>
            <sz val="9"/>
            <color indexed="81"/>
            <rFont val="Tahoma"/>
            <family val="2"/>
          </rPr>
          <t>Max Greer:</t>
        </r>
        <r>
          <rPr>
            <sz val="9"/>
            <color indexed="81"/>
            <rFont val="Tahoma"/>
            <family val="2"/>
          </rPr>
          <t xml:space="preserve">
</t>
        </r>
      </text>
    </comment>
    <comment ref="E63" authorId="0" shapeId="0" xr:uid="{6B75285E-6348-4320-82EF-8327CE2703BA}">
      <text>
        <r>
          <rPr>
            <b/>
            <sz val="9"/>
            <color indexed="81"/>
            <rFont val="Tahoma"/>
            <family val="2"/>
          </rPr>
          <t>Max Greer:</t>
        </r>
        <r>
          <rPr>
            <sz val="9"/>
            <color indexed="81"/>
            <rFont val="Tahoma"/>
            <family val="2"/>
          </rPr>
          <t xml:space="preserve">
https://artillry.co/artillry-intelligence/vr-global-revenue-forecast-2018-2023/</t>
        </r>
      </text>
    </comment>
    <comment ref="G63" authorId="0" shapeId="0" xr:uid="{D98862A5-C9E0-4F4D-BBE0-0883BBF9A86F}">
      <text>
        <r>
          <rPr>
            <b/>
            <sz val="9"/>
            <color indexed="81"/>
            <rFont val="Tahoma"/>
            <family val="2"/>
          </rPr>
          <t>Max Greer:</t>
        </r>
        <r>
          <rPr>
            <sz val="9"/>
            <color indexed="81"/>
            <rFont val="Tahoma"/>
            <family val="2"/>
          </rPr>
          <t xml:space="preserve">
Max Greer:
https://www.businesswire.com/news/home/20190204005668/en/Virtual-Reality-VR-Worldwide-Market-Size-Share</t>
        </r>
      </text>
    </comment>
    <comment ref="L63" authorId="0" shapeId="0" xr:uid="{9867C094-45F2-431C-AA08-CCE566F896DA}">
      <text>
        <r>
          <rPr>
            <b/>
            <sz val="9"/>
            <color indexed="81"/>
            <rFont val="Tahoma"/>
            <family val="2"/>
          </rPr>
          <t>Max Greer:</t>
        </r>
        <r>
          <rPr>
            <sz val="9"/>
            <color indexed="81"/>
            <rFont val="Tahoma"/>
            <family val="2"/>
          </rPr>
          <t xml:space="preserve">
https://www.prnewswire.com/in/news-releases/virtual-reality-headsets-market-size-to-reach-usd-19-8-billion-by-2026-valuates-reports-851664323.html</t>
        </r>
      </text>
    </comment>
    <comment ref="D64" authorId="0" shapeId="0" xr:uid="{3D3C341E-E718-450A-AEE5-187BC02E9A50}">
      <text>
        <r>
          <rPr>
            <b/>
            <sz val="9"/>
            <color indexed="81"/>
            <rFont val="Tahoma"/>
            <family val="2"/>
          </rPr>
          <t>Max Greer:</t>
        </r>
        <r>
          <rPr>
            <sz val="9"/>
            <color indexed="81"/>
            <rFont val="Tahoma"/>
            <family val="2"/>
          </rPr>
          <t xml:space="preserve">
https://www.businesswire.com/news/home/20190204005668/en/Virtual-Reality-VR-Worldwide-Market-Size-Share</t>
        </r>
      </text>
    </comment>
    <comment ref="J64" authorId="0" shapeId="0" xr:uid="{C840F923-4B4C-488B-B410-70160CC36AB9}">
      <text>
        <r>
          <rPr>
            <b/>
            <sz val="9"/>
            <color indexed="81"/>
            <rFont val="Tahoma"/>
            <family val="2"/>
          </rPr>
          <t>Max Greer:</t>
        </r>
        <r>
          <rPr>
            <sz val="9"/>
            <color indexed="81"/>
            <rFont val="Tahoma"/>
            <family val="2"/>
          </rPr>
          <t xml:space="preserve">
https://www.businesswire.com/news/home/20190204005668/en/Virtual-Reality-VR-Worldwide-Market-Size-Share
</t>
        </r>
      </text>
    </comment>
    <comment ref="H65" authorId="0" shapeId="0" xr:uid="{0A6400EE-9DDB-41A9-A8BE-59C3FD66678F}">
      <text>
        <r>
          <rPr>
            <b/>
            <sz val="9"/>
            <color indexed="81"/>
            <rFont val="Tahoma"/>
            <family val="2"/>
          </rPr>
          <t>Max Greer:</t>
        </r>
        <r>
          <rPr>
            <sz val="9"/>
            <color indexed="81"/>
            <rFont val="Tahoma"/>
            <family val="2"/>
          </rPr>
          <t xml:space="preserve">
https://www.marketsandmarkets.com/PressReleases/ar-market.asp
Global Forecast to 2025", size is projected to grow from USD 6.1 billion in 2020 to USD 20.9 billion by 2025; it is expected to grow at a CAGR of 27.9% from 2020 to 2025. Increase in demand for hardware devices is the major reason for the growth of the VR market. The VR content creation market is expected to witness a surge in its growth to bring in the inflow of the content to fulfill the requirements of different applications using virtual reality HMDs. This will be a massive boost to the high growth of the virtual reality market as a whole. The increased need for content in the virtual reality market will also pave the path for many content creation start-ups. The use of virtual reality for commercial purposes to attract customers has been on the rise with business owners using virtual reality headsets to build their sales.</t>
        </r>
      </text>
    </comment>
    <comment ref="F92" authorId="0" shapeId="0" xr:uid="{4FAE140E-F9EF-4527-9288-B5DB12C181E4}">
      <text>
        <r>
          <rPr>
            <b/>
            <sz val="9"/>
            <color indexed="81"/>
            <rFont val="Tahoma"/>
            <family val="2"/>
          </rPr>
          <t>Max Greer:</t>
        </r>
        <r>
          <rPr>
            <sz val="9"/>
            <color indexed="81"/>
            <rFont val="Tahoma"/>
            <family val="2"/>
          </rPr>
          <t xml:space="preserve">
https://www.superdataresearch.com/blog/will-the-oculus-quest-be-the-answer-to-vrs-prayers</t>
        </r>
      </text>
    </comment>
  </commentList>
</comments>
</file>

<file path=xl/sharedStrings.xml><?xml version="1.0" encoding="utf-8"?>
<sst xmlns="http://schemas.openxmlformats.org/spreadsheetml/2006/main" count="312" uniqueCount="152">
  <si>
    <t>Oculus investments</t>
  </si>
  <si>
    <t>Investment (CAPEX)</t>
  </si>
  <si>
    <t>In Millions</t>
  </si>
  <si>
    <t>R&amp;D Exp.</t>
  </si>
  <si>
    <t>Income Statement</t>
  </si>
  <si>
    <t xml:space="preserve">For the Fiscal Period Ending
</t>
  </si>
  <si>
    <t>12 months
Dec-31-2009</t>
  </si>
  <si>
    <t>12 months
Dec-31-2010</t>
  </si>
  <si>
    <t>Reclassified
12 months
Dec-31-2011</t>
  </si>
  <si>
    <t>Reclassified
12 months
Dec-31-2012</t>
  </si>
  <si>
    <t>Reclassified
12 months
Dec-31-2013</t>
  </si>
  <si>
    <t>Reclassified
12 months
Dec-31-2014</t>
  </si>
  <si>
    <t>Reclassified
12 months
Dec-31-2015</t>
  </si>
  <si>
    <t>Reclassified
12 months
Dec-31-2016</t>
  </si>
  <si>
    <t>12 months
Dec-31-2017</t>
  </si>
  <si>
    <t>12 months
Dec-31-2018</t>
  </si>
  <si>
    <t>LTM
12 months
Jun-30-2019</t>
  </si>
  <si>
    <t>Currency</t>
  </si>
  <si>
    <t>USD</t>
  </si>
  <si>
    <t xml:space="preserve"> </t>
  </si>
  <si>
    <t>Revenue</t>
  </si>
  <si>
    <t>Ratio</t>
  </si>
  <si>
    <t>R&amp;D Investmemnt</t>
  </si>
  <si>
    <t>Future % Revnue growth</t>
  </si>
  <si>
    <t>% of R&amp;D dedicated to Oculus</t>
  </si>
  <si>
    <t>Future % R&amp;D Increase</t>
  </si>
  <si>
    <t>Actual, 3.6 B</t>
  </si>
  <si>
    <t>1.3M Quest</t>
  </si>
  <si>
    <t>.43M Rift S</t>
  </si>
  <si>
    <t>2.6M units sold by 3rd quarter</t>
  </si>
  <si>
    <t>Market size</t>
  </si>
  <si>
    <t>FB Market Share (hardware)</t>
  </si>
  <si>
    <t>Hardware will account for nearly two thirds of all AR/VR spending throughout the forecast, followed by software and services. Services spending will see strong CAGRs for systems integration (113.4%), consulting services (99.9%), and custom application development (96.1%) while software spending will have a 78.2% CAGR.</t>
  </si>
  <si>
    <t>notes</t>
  </si>
  <si>
    <t>Of the two reality types, spending in VR solutions will be greater than that for AR solutions initially. However, strong growth in AR hardware, software, and services spending (164.9% CAGR) will push overall AR spending well ahead of VR spending by the end of the forecast.</t>
  </si>
  <si>
    <t>On a geographic basis, China will deliver the largest AR/VR spending total in 2020 ($5.8 billion), followed by the United States ($5.1 billion). Western Europe ($3.3 billion) and Japan ($1.8 billion) and will be the next two largest regions in 2020, but Western Europe will move ahead of China into the second position by 2023. The regions that will see the fastest growth in AR/VR spending over the forecast period are Western Europe (104.2% CAGR) and the United States (96.1% CAGR).</t>
  </si>
  <si>
    <t>FB Sales (Hardware)</t>
  </si>
  <si>
    <t xml:space="preserve">   Y/Y Growth</t>
  </si>
  <si>
    <t xml:space="preserve">   Oculus share of units sold </t>
  </si>
  <si>
    <t>Pice per headset</t>
  </si>
  <si>
    <t>Oculus Hardware Revenue</t>
  </si>
  <si>
    <t>Video Game Attach Rate</t>
  </si>
  <si>
    <t>Pice per game</t>
  </si>
  <si>
    <t xml:space="preserve">  Oculus Video game revenues</t>
  </si>
  <si>
    <t>Assumes Royalty Rate</t>
  </si>
  <si>
    <t>Oculus Software Royalty Revenue</t>
  </si>
  <si>
    <t>Total Facebook VR Revenue</t>
  </si>
  <si>
    <t>Gene Munster, Piper Jaffray: “We believe Oculus could sell ~500k units in 2016 at $599 each.”</t>
  </si>
  <si>
    <t>Axiom’s Victor Anthony: “For now we are assuming a conservative sales estimate of 500K headsets at $599 for sales of $300M this year, and one million unit sales in 2017.</t>
  </si>
  <si>
    <t>Youssef Squali, Cantor Fitzgerald: “We believe Facebook’s Oculus Rift could sell 600K+ units in 2016 and 2M+ in 2017, generating over $1.6B of revenue in 2017.”</t>
  </si>
  <si>
    <t xml:space="preserve">"This implies the company will ship 950k units in 2016, growing to as many as 12mm over 5 years," Ken Sena, Evercore ISI: </t>
  </si>
  <si>
    <t>Ross Sandler, Deutsche Bank: “We forecast Oculus to sell 1m units for 2016, trailing PSVR, but off to a strong debut.”</t>
  </si>
  <si>
    <t>Worldwide VR units</t>
  </si>
  <si>
    <t>Wolrdwide Revenue (Console)</t>
  </si>
  <si>
    <t xml:space="preserve">   PC</t>
  </si>
  <si>
    <t xml:space="preserve">  Mobile</t>
  </si>
  <si>
    <t xml:space="preserve">  Samsung</t>
  </si>
  <si>
    <t xml:space="preserve">  PSVR</t>
  </si>
  <si>
    <t xml:space="preserve">  HTC VIVE</t>
  </si>
  <si>
    <r>
      <t xml:space="preserve">  </t>
    </r>
    <r>
      <rPr>
        <b/>
        <sz val="11"/>
        <color theme="1"/>
        <rFont val="Calibri"/>
        <family val="2"/>
        <scheme val="minor"/>
      </rPr>
      <t>Oculus</t>
    </r>
  </si>
  <si>
    <t xml:space="preserve">  Google</t>
  </si>
  <si>
    <t>Facebook "Other" Revenue</t>
  </si>
  <si>
    <t>superdata</t>
  </si>
  <si>
    <t>he global VR market could still grow at a compound annual growth rate of 34.2% between 2018 to 2025, according to Fior Markets. That bullish forecast could be too optimistic, but Facebook's slow but steady progress in the market indicates VR headsets could eventually become as common as mainstream gaming consoles.</t>
  </si>
  <si>
    <t>https://www.fool.com/investing/2020/05/20/facebooks-vr-content-ecosystem-surpasses-100-milli.aspx</t>
  </si>
  <si>
    <t xml:space="preserve">  Quest</t>
  </si>
  <si>
    <t>Oculus VR Headsets sold (units sold)</t>
  </si>
  <si>
    <t>SuperData’s estimate for the annual 2019 consumer VR headsets revenue will be up 16% over 2018 earnings. Meanwhile, enterprise headset revenue is on track to jump 69% during the same period. Enterprise customers are rapidly adopting VR for purposes like employee training and automotive design.</t>
  </si>
  <si>
    <t xml:space="preserve">  Go</t>
  </si>
  <si>
    <t xml:space="preserve">  console</t>
  </si>
  <si>
    <t>VR hardware Market</t>
  </si>
  <si>
    <t>https://www.viar360.com/virtual-reality-market-size-2018/#:~:text=By%20contrast%2C%20the%20standalone%20Oculus,%2C%20PC%2C%20and%20standalone%20headsets.</t>
  </si>
  <si>
    <t>The second clue was the recent announcement that Quest has sold $100 million in content/games since it launched last May. As we’ve done a few times in the past, we can back into unit sales using formula inputs such as average price-per-game and games-per-user.
There’s evidence that the average Quest game price is $25. In past exercises we’ve estimated the average game purchases per headset at 3. Given more time in market and accumulated game libraries per headset, we’ll increase that to 5: Some buy 7, some buy 3, and outliers loom.</t>
  </si>
  <si>
    <t xml:space="preserve"> -</t>
  </si>
  <si>
    <t>Still a nascent market, with lots of growth potential</t>
  </si>
  <si>
    <t>The global VR market could still grow at a compound annual growth rate of 34.2% between 2018 to 2025, according to Fior Markets. That bullish forecast could be too optimistic, but Facebook's slow but steady progress in the market indicates VR headsets could eventually become as common as mainstream gaming consoles.</t>
  </si>
  <si>
    <t>4 months after launch quest is accounting for 40% of VR software sales</t>
  </si>
  <si>
    <t>cumulative</t>
  </si>
  <si>
    <t>Investment</t>
  </si>
  <si>
    <t>CAGR</t>
  </si>
  <si>
    <t>https://www.roadtovr.com/2019-major-inflection-point-vr-heres-proof/</t>
  </si>
  <si>
    <t>https://www.gamasutra.com/view/news/351136/20_of_the_Oculus_Stores_100_million_lifetime_sales_were_Quest_titles.php</t>
  </si>
  <si>
    <t>19.5-27.9- 58.54 CAGR</t>
  </si>
  <si>
    <t>https://www.marketsandmarkets.com/Market-Reports/reality-applications-market-458.html</t>
  </si>
  <si>
    <t>https://www.grandviewresearch.com/industry-analysis/virtual-reality-vr-market#:~:text=The%20global%20virtual%20reality%20market%20size%20was%20estimated%20at%20USD,USD%2015.8%20billion%20in%202020.</t>
  </si>
  <si>
    <t>https://www.businesswire.com/news/home/20200708005537/en/Global-Virtual-Reality-VR-Market-2019-2025-Expected</t>
  </si>
  <si>
    <t>Games</t>
  </si>
  <si>
    <t xml:space="preserve">   Y/Y Growth Video game revenues</t>
  </si>
  <si>
    <t>% of cum users</t>
  </si>
  <si>
    <t>R&amp;D increase</t>
  </si>
  <si>
    <t>Rev Increase</t>
  </si>
  <si>
    <t>"We estimate Facebook will spend $36 billion on R&amp;D over the next three years (2018-2020)," Gene Munster, managing partner at Loup Ventures, said in a blog. "If we assume 15% is going to VR that would imply over $5.5 billion in spending, which we see as more than adequate to accomplish it's billion-user target."</t>
  </si>
  <si>
    <t>https://uploadvr.com/facebook-predicts-40-50-increase-in-spending-in-2019-due-to-vr-ar-and-more/</t>
  </si>
  <si>
    <t>% increase in (other rev):</t>
  </si>
  <si>
    <t>https://marketrealist.com/2019/11/tracing-oculuss-footprint-in-facebooks-earnings-numbers/</t>
  </si>
  <si>
    <t>https://arinsider.co/2019/03/25/data-point-of-the-week-positive-signs-for-oculus-go/</t>
  </si>
  <si>
    <t>Facebook Ad Revenue</t>
  </si>
  <si>
    <t xml:space="preserve">  Rift / Rift S</t>
  </si>
  <si>
    <t>More money is in games; they account for 43% of VR’s $1.2 billion software revenue. Some of the promising games expected this year are “Stormland,” by Insomniac games; “Lone Echo II,” by Ready at Dawn; and “Defector,” by Twisted Pixel. https://www.marketwatch.com/story/heres-why-you-will-be-hearing-more-about-virtual-reality-2019-07-15</t>
  </si>
  <si>
    <t xml:space="preserve">    % of  "Other Payment and Other Fees"</t>
  </si>
  <si>
    <t>https://www.businessinsider.com/facebook-expects-to-ship-26-million-oculus-rifts-by-2017-2016-4</t>
  </si>
  <si>
    <t>Sources</t>
  </si>
  <si>
    <t xml:space="preserve">   YoY Change</t>
  </si>
  <si>
    <t xml:space="preserve">   Oculus Share</t>
  </si>
  <si>
    <t>CAGR 2021+</t>
  </si>
  <si>
    <t>R&amp;D Total</t>
  </si>
  <si>
    <t>Acquisitions + CAPEX</t>
  </si>
  <si>
    <t xml:space="preserve">   YoY Increase</t>
  </si>
  <si>
    <t>% of headset bought that year</t>
  </si>
  <si>
    <t>Return after CAPEX and R&amp;D</t>
  </si>
  <si>
    <t>$ R&amp;D for Oculus</t>
  </si>
  <si>
    <t>% of FB R&amp;D spent on Oculus</t>
  </si>
  <si>
    <t>1% Oculus boost to Add Rev</t>
  </si>
  <si>
    <t>VAR: R&amp;D Increase</t>
  </si>
  <si>
    <t>VAR: R&amp;D Towards Oculus</t>
  </si>
  <si>
    <t>VAR: Unit Sale increase</t>
  </si>
  <si>
    <t>Worldwide VR Revenue (all)</t>
  </si>
  <si>
    <t>Predicted Oculus Hardware</t>
  </si>
  <si>
    <t>Predicted Oculus Software</t>
  </si>
  <si>
    <t>VAR: Headset cost increase</t>
  </si>
  <si>
    <t>VAR: Price Per Game</t>
  </si>
  <si>
    <t>VAR: Increasing # of users to project sofware sales</t>
  </si>
  <si>
    <t>VAR: Royalty rate for non-FB games</t>
  </si>
  <si>
    <t>VAR: % of games sold by FB vs other</t>
  </si>
  <si>
    <t>VAR: Cumulative Active users</t>
  </si>
  <si>
    <t>FB MAU</t>
  </si>
  <si>
    <t xml:space="preserve">   YOY</t>
  </si>
  <si>
    <t xml:space="preserve">   Revenue per MAU</t>
  </si>
  <si>
    <t>https://variety.com/2019/digital/news/vr-headsets-6-hours-a-month-1203211063/</t>
  </si>
  <si>
    <t>https://techjury.net/blog/virtual-reality-statistics/#gref</t>
  </si>
  <si>
    <t>minutes in VR a day</t>
  </si>
  <si>
    <t>Minutes in FB per day</t>
  </si>
  <si>
    <t>1% boost to ad rev</t>
  </si>
  <si>
    <t>Boost to ad rev based on Oculus users</t>
  </si>
  <si>
    <t>Worldwide users</t>
  </si>
  <si>
    <t>Oculus users</t>
  </si>
  <si>
    <t>VAR Total - using for Adds</t>
  </si>
  <si>
    <t>Conservative</t>
  </si>
  <si>
    <t>Aggressive</t>
  </si>
  <si>
    <t>Year</t>
  </si>
  <si>
    <t>Metric</t>
  </si>
  <si>
    <t>ID</t>
  </si>
  <si>
    <t>Oculus R&amp;D</t>
  </si>
  <si>
    <t>Value</t>
  </si>
  <si>
    <t>Headsets Sold</t>
  </si>
  <si>
    <t>Royalty</t>
  </si>
  <si>
    <t>Price per headset</t>
  </si>
  <si>
    <t>Oculus Investment</t>
  </si>
  <si>
    <t xml:space="preserve"> Oculus Software Revenues</t>
  </si>
  <si>
    <t>with 1% Boost to Advertising</t>
  </si>
  <si>
    <t>with Boost to Advertising as % of Oculus Users</t>
  </si>
  <si>
    <t>Acquisitions + CAPEX_cum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</si>
</sst>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 #,##0.0_);_(* \(#,##0.0\)_)\ ;_(* 0_)"/>
    <numFmt numFmtId="165" formatCode="_(&quot;$&quot;* #,##0_);_(&quot;$&quot;* \(#,##0\);_(&quot;$&quot;* &quot;-&quot;??_);_(@_)"/>
    <numFmt numFmtId="166" formatCode="&quot;$&quot;#,##0.00"/>
    <numFmt numFmtId="167" formatCode="_(* #,##0.000_);_(* \(#,##0.000\);_(* &quot;-&quot;???_);_(@_)"/>
    <numFmt numFmtId="168" formatCode="0.0%"/>
    <numFmt numFmtId="169" formatCode="_(&quot;$&quot;* #,##0.00_);_(&quot;$&quot;* \(#,##0.00\);_(&quot;$&quot;* &quot;-&quot;_);_(@_)"/>
  </numFmts>
  <fonts count="25" x14ac:knownFonts="1">
    <font>
      <sz val="11"/>
      <color theme="1"/>
      <name val="Calibri"/>
      <family val="2"/>
      <scheme val="minor"/>
    </font>
    <font>
      <sz val="11"/>
      <color rgb="FFFF0000"/>
      <name val="Calibri"/>
      <family val="2"/>
      <scheme val="minor"/>
    </font>
    <font>
      <b/>
      <u/>
      <sz val="11"/>
      <color theme="1"/>
      <name val="Calibri"/>
      <family val="2"/>
      <scheme val="minor"/>
    </font>
    <font>
      <sz val="9"/>
      <color indexed="81"/>
      <name val="Tahoma"/>
      <family val="2"/>
    </font>
    <font>
      <b/>
      <sz val="9"/>
      <color indexed="81"/>
      <name val="Tahoma"/>
      <family val="2"/>
    </font>
    <font>
      <sz val="8"/>
      <color indexed="8"/>
      <name val="Arial"/>
      <family val="2"/>
    </font>
    <font>
      <sz val="8"/>
      <name val="Arial"/>
      <family val="2"/>
    </font>
    <font>
      <b/>
      <sz val="8"/>
      <color indexed="9"/>
      <name val="Verdana"/>
      <family val="2"/>
    </font>
    <font>
      <b/>
      <sz val="8"/>
      <color indexed="8"/>
      <name val="Arial"/>
      <family val="2"/>
    </font>
    <font>
      <b/>
      <i/>
      <sz val="8"/>
      <color indexed="8"/>
      <name val="Arial"/>
      <family val="2"/>
    </font>
    <font>
      <sz val="8"/>
      <color rgb="FF444444"/>
      <name val="Arial"/>
      <family val="2"/>
    </font>
    <font>
      <u/>
      <sz val="11"/>
      <color theme="10"/>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0"/>
      <color rgb="FF333333"/>
      <name val="Arial"/>
      <family val="2"/>
    </font>
    <font>
      <sz val="10"/>
      <color rgb="FF1C1D20"/>
      <name val="Segoe UI"/>
      <family val="2"/>
    </font>
    <font>
      <b/>
      <sz val="13"/>
      <color rgb="FF37393B"/>
      <name val="Segoe UI"/>
      <family val="2"/>
    </font>
    <font>
      <b/>
      <sz val="11"/>
      <name val="Calibri"/>
      <family val="2"/>
      <scheme val="minor"/>
    </font>
    <font>
      <sz val="11"/>
      <color rgb="FF444444"/>
      <name val="Arial"/>
      <family val="2"/>
    </font>
    <font>
      <sz val="11"/>
      <name val="Calibri"/>
      <family val="2"/>
      <scheme val="minor"/>
    </font>
    <font>
      <sz val="11"/>
      <color rgb="FF2E2E2E"/>
      <name val="Arial"/>
      <family val="2"/>
    </font>
    <font>
      <sz val="11"/>
      <color rgb="FFFF7C80"/>
      <name val="Calibri"/>
      <family val="2"/>
      <scheme val="minor"/>
    </font>
    <font>
      <sz val="11"/>
      <color rgb="FF0061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indexed="56"/>
        <bgColor indexed="64"/>
      </patternFill>
    </fill>
    <fill>
      <patternFill patternType="solid">
        <fgColor indexed="6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9" tint="-0.249977111117893"/>
        <bgColor indexed="64"/>
      </patternFill>
    </fill>
    <fill>
      <patternFill patternType="gray0625"/>
    </fill>
    <fill>
      <patternFill patternType="solid">
        <fgColor theme="9"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C6EFCE"/>
      </patternFill>
    </fill>
    <fill>
      <patternFill patternType="solid">
        <fgColor theme="7" tint="0.79998168889431442"/>
        <bgColor indexed="64"/>
      </patternFill>
    </fill>
  </fills>
  <borders count="11">
    <border>
      <left/>
      <right/>
      <top/>
      <bottom/>
      <diagonal/>
    </border>
    <border>
      <left/>
      <right/>
      <top style="thick">
        <color auto="1"/>
      </top>
      <bottom/>
      <diagonal/>
    </border>
    <border>
      <left style="dashed">
        <color auto="1"/>
      </left>
      <right style="dashed">
        <color auto="1"/>
      </right>
      <top style="dashed">
        <color auto="1"/>
      </top>
      <bottom style="dashed">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dashed">
        <color auto="1"/>
      </left>
      <right style="thick">
        <color auto="1"/>
      </right>
      <top style="dashed">
        <color auto="1"/>
      </top>
      <bottom style="dashed">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3">
    <xf numFmtId="0" fontId="0" fillId="0" borderId="0"/>
    <xf numFmtId="0" fontId="11" fillId="0" borderId="0" applyNumberFormat="0" applyFill="0" applyBorder="0" applyAlignment="0" applyProtection="0"/>
    <xf numFmtId="0" fontId="24" fillId="13" borderId="0" applyNumberFormat="0" applyBorder="0" applyAlignment="0" applyProtection="0"/>
  </cellStyleXfs>
  <cellXfs count="112">
    <xf numFmtId="0" fontId="0" fillId="0" borderId="0" xfId="0"/>
    <xf numFmtId="44" fontId="0" fillId="0" borderId="0" xfId="0" applyNumberFormat="1"/>
    <xf numFmtId="9" fontId="0" fillId="0" borderId="0" xfId="0" applyNumberFormat="1"/>
    <xf numFmtId="44" fontId="0" fillId="0" borderId="1" xfId="0" applyNumberFormat="1" applyBorder="1"/>
    <xf numFmtId="44" fontId="0" fillId="2" borderId="0" xfId="0" applyNumberFormat="1" applyFill="1"/>
    <xf numFmtId="0" fontId="2" fillId="0" borderId="0" xfId="0" applyFont="1"/>
    <xf numFmtId="0" fontId="5" fillId="0" borderId="0" xfId="0" applyFont="1" applyAlignment="1">
      <alignment horizontal="left" vertical="top"/>
    </xf>
    <xf numFmtId="164" fontId="5" fillId="0" borderId="0" xfId="0" applyNumberFormat="1" applyFont="1" applyAlignment="1">
      <alignment horizontal="right" vertical="top" wrapText="1"/>
    </xf>
    <xf numFmtId="0" fontId="6" fillId="0" borderId="0" xfId="0" applyFont="1"/>
    <xf numFmtId="0" fontId="7" fillId="3" borderId="0" xfId="0" applyFont="1" applyFill="1"/>
    <xf numFmtId="0" fontId="8" fillId="4" borderId="0" xfId="0" applyFont="1" applyFill="1" applyAlignment="1">
      <alignment wrapText="1"/>
    </xf>
    <xf numFmtId="0" fontId="8" fillId="4" borderId="0" xfId="0" applyFont="1" applyFill="1" applyAlignment="1">
      <alignment horizontal="right" wrapText="1"/>
    </xf>
    <xf numFmtId="0" fontId="9" fillId="4" borderId="0" xfId="0" applyFont="1" applyFill="1" applyAlignment="1">
      <alignment wrapText="1"/>
    </xf>
    <xf numFmtId="0" fontId="9" fillId="4" borderId="0" xfId="0" applyFont="1" applyFill="1" applyAlignment="1">
      <alignment horizontal="right" wrapText="1"/>
    </xf>
    <xf numFmtId="0" fontId="8" fillId="0" borderId="0" xfId="0" applyFont="1" applyAlignment="1">
      <alignment horizontal="left" vertical="top"/>
    </xf>
    <xf numFmtId="6" fontId="10" fillId="0" borderId="0" xfId="0" applyNumberFormat="1" applyFont="1"/>
    <xf numFmtId="8" fontId="0" fillId="0" borderId="0" xfId="0" applyNumberFormat="1"/>
    <xf numFmtId="43" fontId="0" fillId="0" borderId="0" xfId="0" applyNumberFormat="1"/>
    <xf numFmtId="44" fontId="1" fillId="0" borderId="0" xfId="0" applyNumberFormat="1" applyFont="1"/>
    <xf numFmtId="0" fontId="1" fillId="0" borderId="0" xfId="0" applyFont="1"/>
    <xf numFmtId="0" fontId="11" fillId="0" borderId="0" xfId="1"/>
    <xf numFmtId="10" fontId="0" fillId="0" borderId="0" xfId="0" applyNumberFormat="1"/>
    <xf numFmtId="44" fontId="1" fillId="5" borderId="0" xfId="0" applyNumberFormat="1" applyFont="1" applyFill="1"/>
    <xf numFmtId="165" fontId="0" fillId="0" borderId="0" xfId="0" applyNumberFormat="1"/>
    <xf numFmtId="0" fontId="14" fillId="0" borderId="0" xfId="0" applyFont="1"/>
    <xf numFmtId="0" fontId="13" fillId="0" borderId="0" xfId="0" applyFont="1"/>
    <xf numFmtId="3" fontId="0" fillId="0" borderId="0" xfId="0" applyNumberFormat="1"/>
    <xf numFmtId="0" fontId="16" fillId="0" borderId="0" xfId="0" applyFont="1"/>
    <xf numFmtId="4" fontId="0" fillId="0" borderId="0" xfId="0" applyNumberFormat="1"/>
    <xf numFmtId="1" fontId="0" fillId="0" borderId="0" xfId="0" applyNumberFormat="1"/>
    <xf numFmtId="0" fontId="17" fillId="0" borderId="0" xfId="0" applyFont="1"/>
    <xf numFmtId="10" fontId="13" fillId="0" borderId="0" xfId="0" applyNumberFormat="1" applyFont="1"/>
    <xf numFmtId="0" fontId="0" fillId="0" borderId="0" xfId="0" applyAlignment="1">
      <alignment wrapText="1"/>
    </xf>
    <xf numFmtId="44" fontId="13" fillId="6" borderId="0" xfId="0" applyNumberFormat="1" applyFont="1" applyFill="1"/>
    <xf numFmtId="0" fontId="18" fillId="0" borderId="0" xfId="0" applyFont="1" applyAlignment="1">
      <alignment vertical="center" wrapText="1"/>
    </xf>
    <xf numFmtId="0" fontId="17" fillId="0" borderId="0" xfId="0" applyFont="1" applyAlignment="1">
      <alignment vertical="center" wrapText="1"/>
    </xf>
    <xf numFmtId="3" fontId="11" fillId="0" borderId="0" xfId="1" applyNumberFormat="1"/>
    <xf numFmtId="0" fontId="20" fillId="0" borderId="0" xfId="0" applyFont="1"/>
    <xf numFmtId="44" fontId="0" fillId="0" borderId="0" xfId="0" applyNumberFormat="1" applyBorder="1"/>
    <xf numFmtId="0" fontId="0" fillId="0" borderId="0" xfId="0" applyBorder="1"/>
    <xf numFmtId="39" fontId="0" fillId="0" borderId="0" xfId="0" applyNumberFormat="1" applyBorder="1"/>
    <xf numFmtId="44" fontId="0" fillId="9" borderId="0" xfId="0" applyNumberFormat="1" applyFill="1" applyBorder="1"/>
    <xf numFmtId="9" fontId="0" fillId="0" borderId="0" xfId="0" applyNumberFormat="1" applyBorder="1"/>
    <xf numFmtId="39" fontId="13" fillId="0" borderId="0" xfId="0" applyNumberFormat="1" applyFont="1" applyBorder="1"/>
    <xf numFmtId="44" fontId="14" fillId="0" borderId="0" xfId="0" applyNumberFormat="1" applyFont="1" applyBorder="1"/>
    <xf numFmtId="10" fontId="0" fillId="0" borderId="0" xfId="0" applyNumberFormat="1" applyBorder="1"/>
    <xf numFmtId="43" fontId="0" fillId="0" borderId="0" xfId="0" applyNumberFormat="1" applyBorder="1"/>
    <xf numFmtId="4" fontId="0" fillId="0" borderId="0" xfId="0" applyNumberFormat="1" applyBorder="1"/>
    <xf numFmtId="167" fontId="0" fillId="0" borderId="0" xfId="0" applyNumberFormat="1" applyBorder="1"/>
    <xf numFmtId="166" fontId="0" fillId="0" borderId="0" xfId="0" applyNumberFormat="1" applyBorder="1"/>
    <xf numFmtId="44" fontId="12" fillId="7" borderId="0" xfId="0" applyNumberFormat="1" applyFont="1" applyFill="1" applyBorder="1"/>
    <xf numFmtId="42" fontId="0" fillId="0" borderId="0" xfId="0" applyNumberFormat="1" applyBorder="1"/>
    <xf numFmtId="168" fontId="0" fillId="0" borderId="0" xfId="0" applyNumberFormat="1" applyBorder="1"/>
    <xf numFmtId="168" fontId="0" fillId="5" borderId="0" xfId="0" applyNumberFormat="1" applyFill="1" applyBorder="1"/>
    <xf numFmtId="42" fontId="21" fillId="0" borderId="0" xfId="0" applyNumberFormat="1" applyFont="1" applyFill="1" applyBorder="1"/>
    <xf numFmtId="44" fontId="21" fillId="10" borderId="0" xfId="0" applyNumberFormat="1" applyFont="1" applyFill="1" applyBorder="1"/>
    <xf numFmtId="166" fontId="12" fillId="8" borderId="2" xfId="0" applyNumberFormat="1" applyFont="1" applyFill="1" applyBorder="1"/>
    <xf numFmtId="168" fontId="13" fillId="0" borderId="0" xfId="0" applyNumberFormat="1" applyFont="1" applyFill="1" applyBorder="1"/>
    <xf numFmtId="0" fontId="22" fillId="0" borderId="0" xfId="0" applyFont="1"/>
    <xf numFmtId="10" fontId="19" fillId="0" borderId="0" xfId="0" applyNumberFormat="1" applyFont="1" applyFill="1" applyBorder="1"/>
    <xf numFmtId="0" fontId="0" fillId="0" borderId="3" xfId="0" applyBorder="1"/>
    <xf numFmtId="0" fontId="0" fillId="0" borderId="1" xfId="0" applyBorder="1"/>
    <xf numFmtId="0" fontId="13" fillId="0" borderId="1" xfId="0" applyFont="1" applyBorder="1"/>
    <xf numFmtId="0" fontId="13" fillId="0" borderId="4" xfId="0" applyFont="1" applyBorder="1"/>
    <xf numFmtId="0" fontId="13" fillId="0" borderId="5" xfId="0" applyFont="1" applyBorder="1"/>
    <xf numFmtId="0" fontId="0" fillId="0" borderId="6" xfId="0" applyBorder="1"/>
    <xf numFmtId="0" fontId="14" fillId="0" borderId="5" xfId="0" applyFont="1" applyBorder="1"/>
    <xf numFmtId="44" fontId="0" fillId="9" borderId="6" xfId="0" applyNumberFormat="1" applyFill="1" applyBorder="1"/>
    <xf numFmtId="0" fontId="0" fillId="0" borderId="5" xfId="0" applyFont="1" applyBorder="1"/>
    <xf numFmtId="39" fontId="13" fillId="0" borderId="6" xfId="0" applyNumberFormat="1" applyFont="1" applyBorder="1"/>
    <xf numFmtId="44" fontId="0" fillId="0" borderId="6" xfId="0" applyNumberFormat="1" applyBorder="1"/>
    <xf numFmtId="0" fontId="15" fillId="0" borderId="5" xfId="0" applyFont="1" applyBorder="1"/>
    <xf numFmtId="10" fontId="0" fillId="0" borderId="6" xfId="0" applyNumberFormat="1" applyBorder="1"/>
    <xf numFmtId="9" fontId="0" fillId="0" borderId="6" xfId="0" applyNumberFormat="1" applyBorder="1"/>
    <xf numFmtId="4" fontId="0" fillId="0" borderId="6" xfId="0" applyNumberFormat="1" applyBorder="1"/>
    <xf numFmtId="44" fontId="21" fillId="10" borderId="6" xfId="0" applyNumberFormat="1" applyFont="1" applyFill="1" applyBorder="1"/>
    <xf numFmtId="43" fontId="0" fillId="0" borderId="6" xfId="0" applyNumberFormat="1" applyBorder="1"/>
    <xf numFmtId="166" fontId="0" fillId="0" borderId="6" xfId="0" applyNumberFormat="1" applyBorder="1"/>
    <xf numFmtId="44" fontId="12" fillId="7" borderId="6" xfId="0" applyNumberFormat="1" applyFont="1" applyFill="1" applyBorder="1"/>
    <xf numFmtId="0" fontId="0" fillId="0" borderId="5" xfId="0" applyBorder="1"/>
    <xf numFmtId="166" fontId="12" fillId="8" borderId="7" xfId="0" applyNumberFormat="1" applyFont="1" applyFill="1" applyBorder="1"/>
    <xf numFmtId="10" fontId="19" fillId="0" borderId="6" xfId="0" applyNumberFormat="1" applyFont="1" applyFill="1" applyBorder="1"/>
    <xf numFmtId="42" fontId="0" fillId="0" borderId="6" xfId="0" applyNumberFormat="1" applyBorder="1"/>
    <xf numFmtId="42" fontId="21" fillId="0" borderId="6" xfId="0" applyNumberFormat="1" applyFont="1" applyFill="1" applyBorder="1"/>
    <xf numFmtId="0" fontId="0" fillId="0" borderId="8" xfId="0" applyBorder="1"/>
    <xf numFmtId="0" fontId="0" fillId="0" borderId="9" xfId="0" applyBorder="1"/>
    <xf numFmtId="166" fontId="0" fillId="11" borderId="0" xfId="0" applyNumberFormat="1" applyFont="1" applyFill="1" applyBorder="1"/>
    <xf numFmtId="166" fontId="0" fillId="11" borderId="6" xfId="0" applyNumberFormat="1" applyFont="1" applyFill="1" applyBorder="1"/>
    <xf numFmtId="0" fontId="13" fillId="12" borderId="0" xfId="0" applyFont="1" applyFill="1"/>
    <xf numFmtId="168" fontId="13" fillId="0" borderId="9" xfId="0" applyNumberFormat="1" applyFont="1" applyFill="1" applyBorder="1"/>
    <xf numFmtId="168" fontId="0" fillId="0" borderId="0" xfId="0" applyNumberFormat="1" applyFill="1" applyBorder="1"/>
    <xf numFmtId="166" fontId="0" fillId="0" borderId="0" xfId="0" applyNumberFormat="1" applyFont="1" applyFill="1" applyBorder="1"/>
    <xf numFmtId="166" fontId="0" fillId="0" borderId="6" xfId="0" applyNumberFormat="1" applyFont="1" applyFill="1" applyBorder="1"/>
    <xf numFmtId="9" fontId="13" fillId="6" borderId="0" xfId="0" applyNumberFormat="1" applyFont="1" applyFill="1"/>
    <xf numFmtId="44" fontId="23" fillId="0" borderId="0" xfId="0" applyNumberFormat="1" applyFont="1" applyBorder="1"/>
    <xf numFmtId="44" fontId="23" fillId="0" borderId="6" xfId="0" applyNumberFormat="1" applyFont="1" applyBorder="1"/>
    <xf numFmtId="44" fontId="21" fillId="0" borderId="0" xfId="0" applyNumberFormat="1" applyFont="1" applyFill="1" applyBorder="1"/>
    <xf numFmtId="9" fontId="0" fillId="0" borderId="9" xfId="0" applyNumberFormat="1" applyBorder="1"/>
    <xf numFmtId="168" fontId="0" fillId="0" borderId="6" xfId="0" applyNumberFormat="1" applyFill="1" applyBorder="1"/>
    <xf numFmtId="39" fontId="0" fillId="14" borderId="0" xfId="0" applyNumberFormat="1" applyFill="1" applyBorder="1"/>
    <xf numFmtId="39" fontId="0" fillId="14" borderId="6" xfId="0" applyNumberFormat="1" applyFill="1" applyBorder="1"/>
    <xf numFmtId="168" fontId="0" fillId="14" borderId="0" xfId="0" applyNumberFormat="1" applyFill="1" applyBorder="1"/>
    <xf numFmtId="10" fontId="0" fillId="14" borderId="0" xfId="0" applyNumberFormat="1" applyFill="1" applyBorder="1"/>
    <xf numFmtId="10" fontId="0" fillId="14" borderId="6" xfId="0" applyNumberFormat="1" applyFill="1" applyBorder="1"/>
    <xf numFmtId="44" fontId="0" fillId="14" borderId="0" xfId="0" applyNumberFormat="1" applyFill="1" applyBorder="1"/>
    <xf numFmtId="44" fontId="0" fillId="14" borderId="6" xfId="0" applyNumberFormat="1" applyFill="1" applyBorder="1"/>
    <xf numFmtId="3" fontId="0" fillId="0" borderId="0" xfId="0" applyNumberFormat="1" applyBorder="1"/>
    <xf numFmtId="169" fontId="0" fillId="0" borderId="0" xfId="0" applyNumberFormat="1" applyBorder="1"/>
    <xf numFmtId="166" fontId="24" fillId="13" borderId="9" xfId="2" applyNumberFormat="1" applyBorder="1"/>
    <xf numFmtId="166" fontId="24" fillId="13" borderId="10" xfId="2" applyNumberFormat="1" applyBorder="1"/>
    <xf numFmtId="166" fontId="24" fillId="12" borderId="0" xfId="2" applyNumberFormat="1" applyFill="1" applyBorder="1"/>
    <xf numFmtId="49" fontId="0" fillId="0" borderId="0" xfId="0" applyNumberFormat="1" applyAlignment="1">
      <alignment horizontal="left" vertical="top" wrapText="1"/>
    </xf>
  </cellXfs>
  <cellStyles count="3">
    <cellStyle name="Good" xfId="2" builtinId="26"/>
    <cellStyle name="Hyperlink" xfId="1" builtinId="8"/>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Oculus Return on Investment</a:t>
            </a:r>
          </a:p>
        </c:rich>
      </c:tx>
      <c:layout>
        <c:manualLayout>
          <c:xMode val="edge"/>
          <c:yMode val="edge"/>
          <c:x val="0.42437872006782285"/>
          <c:y val="9.175182236865699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26939896717929"/>
          <c:y val="0.21090495647807797"/>
          <c:w val="0.8510645191285785"/>
          <c:h val="0.73453067652112225"/>
        </c:manualLayout>
      </c:layout>
      <c:lineChart>
        <c:grouping val="standard"/>
        <c:varyColors val="0"/>
        <c:ser>
          <c:idx val="0"/>
          <c:order val="0"/>
          <c:tx>
            <c:strRef>
              <c:f>Model!$A$11</c:f>
              <c:strCache>
                <c:ptCount val="1"/>
                <c:pt idx="0">
                  <c:v>$ R&amp;D for Oculus</c:v>
                </c:pt>
              </c:strCache>
            </c:strRef>
          </c:tx>
          <c:spPr>
            <a:ln w="38100" cap="rnd">
              <a:solidFill>
                <a:srgbClr val="C00000"/>
              </a:solidFill>
              <a:round/>
            </a:ln>
            <a:effectLst>
              <a:outerShdw blurRad="57150" dist="19050" dir="5400000" algn="ctr" rotWithShape="0">
                <a:srgbClr val="000000">
                  <a:alpha val="63000"/>
                </a:srgbClr>
              </a:outerShdw>
            </a:effectLst>
          </c:spPr>
          <c:marker>
            <c:symbol val="none"/>
          </c:marker>
          <c:dLbls>
            <c:delete val="1"/>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Model!$C$11:$L$11</c:f>
              <c:numCache>
                <c:formatCode>_("$"* #,##0.00_);_("$"* \(#,##0.00\);_("$"* "-"??_);_(@_)</c:formatCode>
                <c:ptCount val="10"/>
                <c:pt idx="0">
                  <c:v>-355140000</c:v>
                </c:pt>
                <c:pt idx="1">
                  <c:v>-441977999.99999994</c:v>
                </c:pt>
                <c:pt idx="2">
                  <c:v>-556282950</c:v>
                </c:pt>
                <c:pt idx="3">
                  <c:v>-699617999.99999988</c:v>
                </c:pt>
                <c:pt idx="4">
                  <c:v>-877042229.59409285</c:v>
                </c:pt>
                <c:pt idx="5">
                  <c:v>-1102117185.6815119</c:v>
                </c:pt>
                <c:pt idx="6">
                  <c:v>-1384221293.9409845</c:v>
                </c:pt>
                <c:pt idx="7">
                  <c:v>-1737749914.0155907</c:v>
                </c:pt>
                <c:pt idx="8">
                  <c:v>-2182610469.1711702</c:v>
                </c:pt>
                <c:pt idx="9">
                  <c:v>-2740894993.577426</c:v>
                </c:pt>
              </c:numCache>
            </c:numRef>
          </c:val>
          <c:smooth val="0"/>
          <c:extLst>
            <c:ext xmlns:c16="http://schemas.microsoft.com/office/drawing/2014/chart" uri="{C3380CC4-5D6E-409C-BE32-E72D297353CC}">
              <c16:uniqueId val="{00000000-914E-4DD6-A328-C958A24C6E23}"/>
            </c:ext>
          </c:extLst>
        </c:ser>
        <c:ser>
          <c:idx val="1"/>
          <c:order val="1"/>
          <c:tx>
            <c:strRef>
              <c:f>Model!$A$29</c:f>
              <c:strCache>
                <c:ptCount val="1"/>
                <c:pt idx="0">
                  <c:v>Oculus Hardware Revenue</c:v>
                </c:pt>
              </c:strCache>
            </c:strRef>
          </c:tx>
          <c:spPr>
            <a:ln w="38100" cap="rnd">
              <a:solidFill>
                <a:schemeClr val="accent2"/>
              </a:solidFill>
              <a:round/>
            </a:ln>
            <a:effectLst>
              <a:outerShdw blurRad="57150" dist="19050" dir="5400000" algn="ctr" rotWithShape="0">
                <a:srgbClr val="000000">
                  <a:alpha val="63000"/>
                </a:srgbClr>
              </a:outerShdw>
            </a:effectLst>
          </c:spPr>
          <c:marker>
            <c:symbol val="none"/>
          </c:marker>
          <c:dLbls>
            <c:delete val="1"/>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Model!$C$29:$L$29</c:f>
              <c:numCache>
                <c:formatCode>_("$"* #,##0.00_);_("$"* \(#,##0.00\);_("$"* "-"??_);_(@_)</c:formatCode>
                <c:ptCount val="10"/>
                <c:pt idx="0">
                  <c:v>213052800</c:v>
                </c:pt>
                <c:pt idx="1">
                  <c:v>170400000</c:v>
                </c:pt>
                <c:pt idx="2">
                  <c:v>175000000</c:v>
                </c:pt>
                <c:pt idx="3">
                  <c:v>349200000</c:v>
                </c:pt>
                <c:pt idx="4">
                  <c:v>538000000.00000012</c:v>
                </c:pt>
                <c:pt idx="5">
                  <c:v>806400000</c:v>
                </c:pt>
                <c:pt idx="6">
                  <c:v>1286208000</c:v>
                </c:pt>
                <c:pt idx="7">
                  <c:v>1865001600</c:v>
                </c:pt>
                <c:pt idx="8">
                  <c:v>2666952288</c:v>
                </c:pt>
                <c:pt idx="9">
                  <c:v>3467037974.3999996</c:v>
                </c:pt>
              </c:numCache>
            </c:numRef>
          </c:val>
          <c:smooth val="0"/>
          <c:extLst>
            <c:ext xmlns:c16="http://schemas.microsoft.com/office/drawing/2014/chart" uri="{C3380CC4-5D6E-409C-BE32-E72D297353CC}">
              <c16:uniqueId val="{00000001-914E-4DD6-A328-C958A24C6E23}"/>
            </c:ext>
          </c:extLst>
        </c:ser>
        <c:ser>
          <c:idx val="3"/>
          <c:order val="2"/>
          <c:tx>
            <c:strRef>
              <c:f>Model!$A$40</c:f>
              <c:strCache>
                <c:ptCount val="1"/>
                <c:pt idx="0">
                  <c:v>Oculus Software Royalty Revenue</c:v>
                </c:pt>
              </c:strCache>
            </c:strRef>
          </c:tx>
          <c:spPr>
            <a:ln w="38100" cap="rnd">
              <a:solidFill>
                <a:schemeClr val="accent4"/>
              </a:solidFill>
              <a:round/>
            </a:ln>
            <a:effectLst>
              <a:outerShdw blurRad="57150" dist="19050" dir="5400000" algn="ctr" rotWithShape="0">
                <a:srgbClr val="000000">
                  <a:alpha val="63000"/>
                </a:srgbClr>
              </a:outerShdw>
            </a:effectLst>
          </c:spPr>
          <c:marker>
            <c:symbol val="none"/>
          </c:marker>
          <c:dLbls>
            <c:delete val="1"/>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Model!$C$40:$L$40</c:f>
              <c:numCache>
                <c:formatCode>"$"#,##0.00</c:formatCode>
                <c:ptCount val="10"/>
                <c:pt idx="0">
                  <c:v>4200000</c:v>
                </c:pt>
                <c:pt idx="1">
                  <c:v>5712000</c:v>
                </c:pt>
                <c:pt idx="2">
                  <c:v>10080000</c:v>
                </c:pt>
                <c:pt idx="3">
                  <c:v>35840000</c:v>
                </c:pt>
                <c:pt idx="4">
                  <c:v>50400000</c:v>
                </c:pt>
                <c:pt idx="5">
                  <c:v>84258707.146680012</c:v>
                </c:pt>
                <c:pt idx="6">
                  <c:v>126597262.42322478</c:v>
                </c:pt>
                <c:pt idx="7">
                  <c:v>202104534.41919059</c:v>
                </c:pt>
                <c:pt idx="8">
                  <c:v>278030363.75365037</c:v>
                </c:pt>
                <c:pt idx="9">
                  <c:v>380046929.74723071</c:v>
                </c:pt>
              </c:numCache>
            </c:numRef>
          </c:val>
          <c:smooth val="0"/>
          <c:extLst>
            <c:ext xmlns:c16="http://schemas.microsoft.com/office/drawing/2014/chart" uri="{C3380CC4-5D6E-409C-BE32-E72D297353CC}">
              <c16:uniqueId val="{00000002-914E-4DD6-A328-C958A24C6E23}"/>
            </c:ext>
          </c:extLst>
        </c:ser>
        <c:ser>
          <c:idx val="4"/>
          <c:order val="3"/>
          <c:tx>
            <c:strRef>
              <c:f>Model!$A$50</c:f>
              <c:strCache>
                <c:ptCount val="1"/>
                <c:pt idx="0">
                  <c:v>Total Facebook VR Revenue</c:v>
                </c:pt>
              </c:strCache>
            </c:strRef>
          </c:tx>
          <c:spPr>
            <a:ln w="50800" cap="rnd">
              <a:solidFill>
                <a:srgbClr val="00B050">
                  <a:alpha val="97000"/>
                </a:srgbClr>
              </a:solidFill>
              <a:round/>
            </a:ln>
            <a:effectLst>
              <a:outerShdw blurRad="57150" dist="19050" dir="5400000" algn="ctr" rotWithShape="0">
                <a:srgbClr val="000000">
                  <a:alpha val="63000"/>
                </a:srgbClr>
              </a:outerShdw>
            </a:effectLst>
          </c:spPr>
          <c:marker>
            <c:symbol val="none"/>
          </c:marker>
          <c:dLbls>
            <c:delete val="1"/>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Model!$C$50:$L$50</c:f>
              <c:numCache>
                <c:formatCode>"$"#,##0.00</c:formatCode>
                <c:ptCount val="10"/>
                <c:pt idx="0">
                  <c:v>217252800</c:v>
                </c:pt>
                <c:pt idx="1">
                  <c:v>176112000</c:v>
                </c:pt>
                <c:pt idx="2">
                  <c:v>185080000</c:v>
                </c:pt>
                <c:pt idx="3">
                  <c:v>385040000</c:v>
                </c:pt>
                <c:pt idx="4">
                  <c:v>588400000.00000012</c:v>
                </c:pt>
                <c:pt idx="5">
                  <c:v>890658707.14668</c:v>
                </c:pt>
                <c:pt idx="6">
                  <c:v>1412805262.4232247</c:v>
                </c:pt>
                <c:pt idx="7">
                  <c:v>2067106134.4191906</c:v>
                </c:pt>
                <c:pt idx="8">
                  <c:v>2944982651.7536502</c:v>
                </c:pt>
                <c:pt idx="9">
                  <c:v>3847084904.1472301</c:v>
                </c:pt>
              </c:numCache>
            </c:numRef>
          </c:val>
          <c:smooth val="0"/>
          <c:extLst>
            <c:ext xmlns:c16="http://schemas.microsoft.com/office/drawing/2014/chart" uri="{C3380CC4-5D6E-409C-BE32-E72D297353CC}">
              <c16:uniqueId val="{00000003-914E-4DD6-A328-C958A24C6E23}"/>
            </c:ext>
          </c:extLst>
        </c:ser>
        <c:ser>
          <c:idx val="5"/>
          <c:order val="4"/>
          <c:tx>
            <c:strRef>
              <c:f>Model!$A$57</c:f>
              <c:strCache>
                <c:ptCount val="1"/>
                <c:pt idx="0">
                  <c:v>Return after CAPEX and R&amp;D</c:v>
                </c:pt>
              </c:strCache>
            </c:strRef>
          </c:tx>
          <c:spPr>
            <a:ln w="50800" cap="rnd">
              <a:solidFill>
                <a:srgbClr val="FF0000"/>
              </a:solidFill>
              <a:round/>
            </a:ln>
            <a:effectLst>
              <a:outerShdw blurRad="57150" dist="19050" dir="5400000" algn="ctr" rotWithShape="0">
                <a:srgbClr val="000000">
                  <a:alpha val="63000"/>
                </a:srgbClr>
              </a:outerShdw>
            </a:effectLst>
          </c:spPr>
          <c:marker>
            <c:symbol val="none"/>
          </c:marker>
          <c:dLbls>
            <c:dLbl>
              <c:idx val="9"/>
              <c:layout>
                <c:manualLayout>
                  <c:x val="-2.6742666791702313E-2"/>
                  <c:y val="-8.02635602530399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914E-4DD6-A328-C958A24C6E2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Model!$C$57:$L$57</c:f>
              <c:numCache>
                <c:formatCode>_("$"* #,##0.00_);_("$"* \(#,##0.00\);_("$"* "-"??_);_(@_)</c:formatCode>
                <c:ptCount val="10"/>
                <c:pt idx="0">
                  <c:v>-3138587200</c:v>
                </c:pt>
                <c:pt idx="1">
                  <c:v>-3417853200</c:v>
                </c:pt>
                <c:pt idx="2">
                  <c:v>-3877356150</c:v>
                </c:pt>
                <c:pt idx="3">
                  <c:v>-4706934150</c:v>
                </c:pt>
                <c:pt idx="4">
                  <c:v>-4995576379.5940933</c:v>
                </c:pt>
                <c:pt idx="5">
                  <c:v>-5207034858.1289253</c:v>
                </c:pt>
                <c:pt idx="6">
                  <c:v>-5178450889.6466856</c:v>
                </c:pt>
                <c:pt idx="7">
                  <c:v>-4849094669.2430859</c:v>
                </c:pt>
                <c:pt idx="8">
                  <c:v>-4086722486.6606059</c:v>
                </c:pt>
                <c:pt idx="9">
                  <c:v>-2980532576.0908012</c:v>
                </c:pt>
              </c:numCache>
            </c:numRef>
          </c:val>
          <c:smooth val="0"/>
          <c:extLst>
            <c:ext xmlns:c16="http://schemas.microsoft.com/office/drawing/2014/chart" uri="{C3380CC4-5D6E-409C-BE32-E72D297353CC}">
              <c16:uniqueId val="{00000005-914E-4DD6-A328-C958A24C6E23}"/>
            </c:ext>
          </c:extLst>
        </c:ser>
        <c:dLbls>
          <c:dLblPos val="ctr"/>
          <c:showLegendKey val="0"/>
          <c:showVal val="1"/>
          <c:showCatName val="0"/>
          <c:showSerName val="0"/>
          <c:showPercent val="0"/>
          <c:showBubbleSize val="0"/>
        </c:dLbls>
        <c:smooth val="0"/>
        <c:axId val="888141231"/>
        <c:axId val="894335183"/>
      </c:lineChart>
      <c:catAx>
        <c:axId val="8881412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94335183"/>
        <c:crosses val="autoZero"/>
        <c:auto val="1"/>
        <c:lblAlgn val="ctr"/>
        <c:lblOffset val="100"/>
        <c:noMultiLvlLbl val="0"/>
      </c:catAx>
      <c:valAx>
        <c:axId val="894335183"/>
        <c:scaling>
          <c:orientation val="minMax"/>
          <c:min val="-600000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41231"/>
        <c:crosses val="autoZero"/>
        <c:crossBetween val="between"/>
      </c:valAx>
      <c:spPr>
        <a:noFill/>
        <a:ln>
          <a:noFill/>
        </a:ln>
        <a:effectLst/>
      </c:spPr>
    </c:plotArea>
    <c:legend>
      <c:legendPos val="t"/>
      <c:layout>
        <c:manualLayout>
          <c:xMode val="edge"/>
          <c:yMode val="edge"/>
          <c:x val="0.20994852760012192"/>
          <c:y val="5.2799899403832146E-2"/>
          <c:w val="0.62417077491883188"/>
          <c:h val="5.1927279067653022E-2"/>
        </c:manualLayout>
      </c:layout>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t>Oculus Return on Investment</a:t>
            </a:r>
          </a:p>
        </c:rich>
      </c:tx>
      <c:layout>
        <c:manualLayout>
          <c:xMode val="edge"/>
          <c:yMode val="edge"/>
          <c:x val="0.42301220726866867"/>
          <c:y val="3.516551984663299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69305036866655"/>
          <c:y val="0.20617856515512842"/>
          <c:w val="0.8510645191285785"/>
          <c:h val="0.73453067652112225"/>
        </c:manualLayout>
      </c:layout>
      <c:lineChart>
        <c:grouping val="standard"/>
        <c:varyColors val="0"/>
        <c:ser>
          <c:idx val="0"/>
          <c:order val="0"/>
          <c:tx>
            <c:strRef>
              <c:f>Model!$A$11</c:f>
              <c:strCache>
                <c:ptCount val="1"/>
                <c:pt idx="0">
                  <c:v>$ R&amp;D for Oculus</c:v>
                </c:pt>
              </c:strCache>
            </c:strRef>
          </c:tx>
          <c:spPr>
            <a:ln w="38100" cap="rnd">
              <a:solidFill>
                <a:srgbClr val="C00000"/>
              </a:solidFill>
              <a:round/>
            </a:ln>
            <a:effectLst>
              <a:outerShdw blurRad="57150" dist="19050" dir="5400000" algn="ctr" rotWithShape="0">
                <a:srgbClr val="000000">
                  <a:alpha val="63000"/>
                </a:srgbClr>
              </a:outerShdw>
            </a:effectLst>
          </c:spPr>
          <c:marker>
            <c:symbol val="none"/>
          </c:marker>
          <c:dLbls>
            <c:delete val="1"/>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Model!$C$11:$L$11</c:f>
              <c:numCache>
                <c:formatCode>_("$"* #,##0.00_);_("$"* \(#,##0.00\);_("$"* "-"??_);_(@_)</c:formatCode>
                <c:ptCount val="10"/>
                <c:pt idx="0">
                  <c:v>-355140000</c:v>
                </c:pt>
                <c:pt idx="1">
                  <c:v>-441977999.99999994</c:v>
                </c:pt>
                <c:pt idx="2">
                  <c:v>-556282950</c:v>
                </c:pt>
                <c:pt idx="3">
                  <c:v>-699617999.99999988</c:v>
                </c:pt>
                <c:pt idx="4">
                  <c:v>-877042229.59409285</c:v>
                </c:pt>
                <c:pt idx="5">
                  <c:v>-1102117185.6815119</c:v>
                </c:pt>
                <c:pt idx="6">
                  <c:v>-1384221293.9409845</c:v>
                </c:pt>
                <c:pt idx="7">
                  <c:v>-1737749914.0155907</c:v>
                </c:pt>
                <c:pt idx="8">
                  <c:v>-2182610469.1711702</c:v>
                </c:pt>
                <c:pt idx="9">
                  <c:v>-2740894993.577426</c:v>
                </c:pt>
              </c:numCache>
            </c:numRef>
          </c:val>
          <c:smooth val="0"/>
          <c:extLst>
            <c:ext xmlns:c16="http://schemas.microsoft.com/office/drawing/2014/chart" uri="{C3380CC4-5D6E-409C-BE32-E72D297353CC}">
              <c16:uniqueId val="{00000000-A912-45F1-9E8B-FA0EC1251E44}"/>
            </c:ext>
          </c:extLst>
        </c:ser>
        <c:ser>
          <c:idx val="1"/>
          <c:order val="1"/>
          <c:tx>
            <c:strRef>
              <c:f>Model!$A$29</c:f>
              <c:strCache>
                <c:ptCount val="1"/>
                <c:pt idx="0">
                  <c:v>Oculus Hardware Revenue</c:v>
                </c:pt>
              </c:strCache>
            </c:strRef>
          </c:tx>
          <c:spPr>
            <a:ln w="38100" cap="rnd">
              <a:solidFill>
                <a:schemeClr val="accent2"/>
              </a:solidFill>
              <a:round/>
            </a:ln>
            <a:effectLst>
              <a:outerShdw blurRad="57150" dist="19050" dir="5400000" algn="ctr" rotWithShape="0">
                <a:srgbClr val="000000">
                  <a:alpha val="63000"/>
                </a:srgbClr>
              </a:outerShdw>
            </a:effectLst>
          </c:spPr>
          <c:marker>
            <c:symbol val="none"/>
          </c:marker>
          <c:dLbls>
            <c:delete val="1"/>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Model!$C$29:$L$29</c:f>
              <c:numCache>
                <c:formatCode>_("$"* #,##0.00_);_("$"* \(#,##0.00\);_("$"* "-"??_);_(@_)</c:formatCode>
                <c:ptCount val="10"/>
                <c:pt idx="0">
                  <c:v>213052800</c:v>
                </c:pt>
                <c:pt idx="1">
                  <c:v>170400000</c:v>
                </c:pt>
                <c:pt idx="2">
                  <c:v>175000000</c:v>
                </c:pt>
                <c:pt idx="3">
                  <c:v>349200000</c:v>
                </c:pt>
                <c:pt idx="4">
                  <c:v>538000000.00000012</c:v>
                </c:pt>
                <c:pt idx="5">
                  <c:v>806400000</c:v>
                </c:pt>
                <c:pt idx="6">
                  <c:v>1286208000</c:v>
                </c:pt>
                <c:pt idx="7">
                  <c:v>1865001600</c:v>
                </c:pt>
                <c:pt idx="8">
                  <c:v>2666952288</c:v>
                </c:pt>
                <c:pt idx="9">
                  <c:v>3467037974.3999996</c:v>
                </c:pt>
              </c:numCache>
            </c:numRef>
          </c:val>
          <c:smooth val="0"/>
          <c:extLst>
            <c:ext xmlns:c16="http://schemas.microsoft.com/office/drawing/2014/chart" uri="{C3380CC4-5D6E-409C-BE32-E72D297353CC}">
              <c16:uniqueId val="{00000001-A912-45F1-9E8B-FA0EC1251E44}"/>
            </c:ext>
          </c:extLst>
        </c:ser>
        <c:ser>
          <c:idx val="3"/>
          <c:order val="2"/>
          <c:tx>
            <c:strRef>
              <c:f>Model!$A$40</c:f>
              <c:strCache>
                <c:ptCount val="1"/>
                <c:pt idx="0">
                  <c:v>Oculus Software Royalty Revenue</c:v>
                </c:pt>
              </c:strCache>
            </c:strRef>
          </c:tx>
          <c:spPr>
            <a:ln w="38100" cap="rnd">
              <a:solidFill>
                <a:schemeClr val="accent4"/>
              </a:solidFill>
              <a:round/>
            </a:ln>
            <a:effectLst>
              <a:outerShdw blurRad="57150" dist="19050" dir="5400000" algn="ctr" rotWithShape="0">
                <a:srgbClr val="000000">
                  <a:alpha val="63000"/>
                </a:srgbClr>
              </a:outerShdw>
            </a:effectLst>
          </c:spPr>
          <c:marker>
            <c:symbol val="none"/>
          </c:marker>
          <c:dLbls>
            <c:delete val="1"/>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Model!$C$40:$L$40</c:f>
              <c:numCache>
                <c:formatCode>"$"#,##0.00</c:formatCode>
                <c:ptCount val="10"/>
                <c:pt idx="0">
                  <c:v>4200000</c:v>
                </c:pt>
                <c:pt idx="1">
                  <c:v>5712000</c:v>
                </c:pt>
                <c:pt idx="2">
                  <c:v>10080000</c:v>
                </c:pt>
                <c:pt idx="3">
                  <c:v>35840000</c:v>
                </c:pt>
                <c:pt idx="4">
                  <c:v>50400000</c:v>
                </c:pt>
                <c:pt idx="5">
                  <c:v>84258707.146680012</c:v>
                </c:pt>
                <c:pt idx="6">
                  <c:v>126597262.42322478</c:v>
                </c:pt>
                <c:pt idx="7">
                  <c:v>202104534.41919059</c:v>
                </c:pt>
                <c:pt idx="8">
                  <c:v>278030363.75365037</c:v>
                </c:pt>
                <c:pt idx="9">
                  <c:v>380046929.74723071</c:v>
                </c:pt>
              </c:numCache>
            </c:numRef>
          </c:val>
          <c:smooth val="0"/>
          <c:extLst>
            <c:ext xmlns:c16="http://schemas.microsoft.com/office/drawing/2014/chart" uri="{C3380CC4-5D6E-409C-BE32-E72D297353CC}">
              <c16:uniqueId val="{00000002-A912-45F1-9E8B-FA0EC1251E44}"/>
            </c:ext>
          </c:extLst>
        </c:ser>
        <c:ser>
          <c:idx val="4"/>
          <c:order val="3"/>
          <c:tx>
            <c:strRef>
              <c:f>Model!$A$50</c:f>
              <c:strCache>
                <c:ptCount val="1"/>
                <c:pt idx="0">
                  <c:v>Total Facebook VR Revenue</c:v>
                </c:pt>
              </c:strCache>
            </c:strRef>
          </c:tx>
          <c:spPr>
            <a:ln w="50800" cap="rnd">
              <a:solidFill>
                <a:srgbClr val="00B050">
                  <a:alpha val="97000"/>
                </a:srgbClr>
              </a:solidFill>
              <a:round/>
            </a:ln>
            <a:effectLst>
              <a:outerShdw blurRad="57150" dist="19050" dir="5400000" algn="ctr" rotWithShape="0">
                <a:srgbClr val="000000">
                  <a:alpha val="63000"/>
                </a:srgbClr>
              </a:outerShdw>
            </a:effectLst>
          </c:spPr>
          <c:marker>
            <c:symbol val="none"/>
          </c:marker>
          <c:dLbls>
            <c:delete val="1"/>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Model!$C$50:$L$50</c:f>
              <c:numCache>
                <c:formatCode>"$"#,##0.00</c:formatCode>
                <c:ptCount val="10"/>
                <c:pt idx="0">
                  <c:v>217252800</c:v>
                </c:pt>
                <c:pt idx="1">
                  <c:v>176112000</c:v>
                </c:pt>
                <c:pt idx="2">
                  <c:v>185080000</c:v>
                </c:pt>
                <c:pt idx="3">
                  <c:v>385040000</c:v>
                </c:pt>
                <c:pt idx="4">
                  <c:v>588400000.00000012</c:v>
                </c:pt>
                <c:pt idx="5">
                  <c:v>890658707.14668</c:v>
                </c:pt>
                <c:pt idx="6">
                  <c:v>1412805262.4232247</c:v>
                </c:pt>
                <c:pt idx="7">
                  <c:v>2067106134.4191906</c:v>
                </c:pt>
                <c:pt idx="8">
                  <c:v>2944982651.7536502</c:v>
                </c:pt>
                <c:pt idx="9">
                  <c:v>3847084904.1472301</c:v>
                </c:pt>
              </c:numCache>
            </c:numRef>
          </c:val>
          <c:smooth val="0"/>
          <c:extLst>
            <c:ext xmlns:c16="http://schemas.microsoft.com/office/drawing/2014/chart" uri="{C3380CC4-5D6E-409C-BE32-E72D297353CC}">
              <c16:uniqueId val="{00000003-A912-45F1-9E8B-FA0EC1251E44}"/>
            </c:ext>
          </c:extLst>
        </c:ser>
        <c:ser>
          <c:idx val="5"/>
          <c:order val="4"/>
          <c:tx>
            <c:strRef>
              <c:f>Model!$A$57</c:f>
              <c:strCache>
                <c:ptCount val="1"/>
                <c:pt idx="0">
                  <c:v>Return after CAPEX and R&amp;D</c:v>
                </c:pt>
              </c:strCache>
            </c:strRef>
          </c:tx>
          <c:spPr>
            <a:ln w="50800" cap="rnd">
              <a:solidFill>
                <a:srgbClr val="FF0000"/>
              </a:solidFill>
              <a:round/>
            </a:ln>
            <a:effectLst>
              <a:outerShdw blurRad="57150" dist="19050" dir="5400000" algn="ctr" rotWithShape="0">
                <a:srgbClr val="000000">
                  <a:alpha val="63000"/>
                </a:srgbClr>
              </a:outerShdw>
            </a:effectLst>
          </c:spPr>
          <c:marker>
            <c:symbol val="none"/>
          </c:marker>
          <c:dLbls>
            <c:dLbl>
              <c:idx val="9"/>
              <c:layout>
                <c:manualLayout>
                  <c:x val="-2.6742666791702313E-2"/>
                  <c:y val="-8.02635602530399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A912-45F1-9E8B-FA0EC1251E44}"/>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Model!$C$57:$L$57</c:f>
              <c:numCache>
                <c:formatCode>_("$"* #,##0.00_);_("$"* \(#,##0.00\);_("$"* "-"??_);_(@_)</c:formatCode>
                <c:ptCount val="10"/>
                <c:pt idx="0">
                  <c:v>-3138587200</c:v>
                </c:pt>
                <c:pt idx="1">
                  <c:v>-3417853200</c:v>
                </c:pt>
                <c:pt idx="2">
                  <c:v>-3877356150</c:v>
                </c:pt>
                <c:pt idx="3">
                  <c:v>-4706934150</c:v>
                </c:pt>
                <c:pt idx="4">
                  <c:v>-4995576379.5940933</c:v>
                </c:pt>
                <c:pt idx="5">
                  <c:v>-5207034858.1289253</c:v>
                </c:pt>
                <c:pt idx="6">
                  <c:v>-5178450889.6466856</c:v>
                </c:pt>
                <c:pt idx="7">
                  <c:v>-4849094669.2430859</c:v>
                </c:pt>
                <c:pt idx="8">
                  <c:v>-4086722486.6606059</c:v>
                </c:pt>
                <c:pt idx="9">
                  <c:v>-2980532576.0908012</c:v>
                </c:pt>
              </c:numCache>
            </c:numRef>
          </c:val>
          <c:smooth val="0"/>
          <c:extLst>
            <c:ext xmlns:c16="http://schemas.microsoft.com/office/drawing/2014/chart" uri="{C3380CC4-5D6E-409C-BE32-E72D297353CC}">
              <c16:uniqueId val="{00000005-A912-45F1-9E8B-FA0EC1251E44}"/>
            </c:ext>
          </c:extLst>
        </c:ser>
        <c:ser>
          <c:idx val="2"/>
          <c:order val="5"/>
          <c:tx>
            <c:strRef>
              <c:f>Model!$A$59</c:f>
              <c:strCache>
                <c:ptCount val="1"/>
                <c:pt idx="0">
                  <c:v>1% boost to ad rev</c:v>
                </c:pt>
              </c:strCache>
            </c:strRef>
          </c:tx>
          <c:spPr>
            <a:ln w="50800" cap="rnd">
              <a:solidFill>
                <a:srgbClr val="FF0000"/>
              </a:solidFill>
              <a:prstDash val="sysDot"/>
              <a:round/>
            </a:ln>
            <a:effectLst>
              <a:outerShdw blurRad="57150" dist="19050" dir="5400000" algn="ctr" rotWithShape="0">
                <a:srgbClr val="000000">
                  <a:alpha val="63000"/>
                </a:srgbClr>
              </a:outerShdw>
            </a:effectLst>
          </c:spPr>
          <c:marker>
            <c:symbol val="none"/>
          </c:marker>
          <c:dLbls>
            <c:dLbl>
              <c:idx val="9"/>
              <c:layout>
                <c:manualLayout>
                  <c:x val="-3.4822882003432781E-2"/>
                  <c:y val="-5.78875051266674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A912-45F1-9E8B-FA0EC1251E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Model!$C$59:$L$59</c:f>
              <c:numCache>
                <c:formatCode>_("$"* #,##0.00_);_("$"* \(#,##0.00\);_("$"* "-"??_);_(@_)</c:formatCode>
                <c:ptCount val="10"/>
                <c:pt idx="0">
                  <c:v>-3138587200</c:v>
                </c:pt>
                <c:pt idx="1">
                  <c:v>-3417853200</c:v>
                </c:pt>
                <c:pt idx="2">
                  <c:v>-3877356150</c:v>
                </c:pt>
                <c:pt idx="3">
                  <c:v>-4706934150</c:v>
                </c:pt>
                <c:pt idx="4">
                  <c:v>-4995576379.5940933</c:v>
                </c:pt>
                <c:pt idx="5">
                  <c:v>-4090361301.1175556</c:v>
                </c:pt>
                <c:pt idx="6">
                  <c:v>-3764568777.8980637</c:v>
                </c:pt>
                <c:pt idx="7">
                  <c:v>-3058900378.9144311</c:v>
                </c:pt>
                <c:pt idx="8">
                  <c:v>-1820058547.3582144</c:v>
                </c:pt>
                <c:pt idx="9">
                  <c:v>-110584078.60642385</c:v>
                </c:pt>
              </c:numCache>
            </c:numRef>
          </c:val>
          <c:smooth val="0"/>
          <c:extLst>
            <c:ext xmlns:c16="http://schemas.microsoft.com/office/drawing/2014/chart" uri="{C3380CC4-5D6E-409C-BE32-E72D297353CC}">
              <c16:uniqueId val="{00000007-A912-45F1-9E8B-FA0EC1251E44}"/>
            </c:ext>
          </c:extLst>
        </c:ser>
        <c:ser>
          <c:idx val="6"/>
          <c:order val="6"/>
          <c:tx>
            <c:strRef>
              <c:f>Model!$A$60</c:f>
              <c:strCache>
                <c:ptCount val="1"/>
                <c:pt idx="0">
                  <c:v>Boost to ad rev based on Oculus users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delete val="1"/>
          </c:dLbls>
          <c:cat>
            <c:numRef>
              <c:f>Model!$C$7:$L$7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Model!$C$60:$L$60</c:f>
              <c:numCache>
                <c:formatCode>_("$"* #,##0.00_);_("$"* \(#,##0.00\);_("$"* "-"??_);_(@_)</c:formatCode>
                <c:ptCount val="10"/>
                <c:pt idx="0">
                  <c:v>-3138587200</c:v>
                </c:pt>
                <c:pt idx="1">
                  <c:v>-3417853200</c:v>
                </c:pt>
                <c:pt idx="2">
                  <c:v>-3877356150</c:v>
                </c:pt>
                <c:pt idx="3">
                  <c:v>-4706934150</c:v>
                </c:pt>
                <c:pt idx="4">
                  <c:v>-4995576379.5940933</c:v>
                </c:pt>
                <c:pt idx="5">
                  <c:v>-5206816333.2380047</c:v>
                </c:pt>
                <c:pt idx="6">
                  <c:v>-5178173637.9632025</c:v>
                </c:pt>
                <c:pt idx="7">
                  <c:v>-4848717334.7258739</c:v>
                </c:pt>
                <c:pt idx="8">
                  <c:v>-4086246097.2378111</c:v>
                </c:pt>
                <c:pt idx="9">
                  <c:v>-2979957957.9227071</c:v>
                </c:pt>
              </c:numCache>
            </c:numRef>
          </c:val>
          <c:smooth val="0"/>
          <c:extLst>
            <c:ext xmlns:c16="http://schemas.microsoft.com/office/drawing/2014/chart" uri="{C3380CC4-5D6E-409C-BE32-E72D297353CC}">
              <c16:uniqueId val="{0000000A-A912-45F1-9E8B-FA0EC1251E44}"/>
            </c:ext>
          </c:extLst>
        </c:ser>
        <c:dLbls>
          <c:dLblPos val="ctr"/>
          <c:showLegendKey val="0"/>
          <c:showVal val="1"/>
          <c:showCatName val="0"/>
          <c:showSerName val="0"/>
          <c:showPercent val="0"/>
          <c:showBubbleSize val="0"/>
        </c:dLbls>
        <c:smooth val="0"/>
        <c:axId val="888141231"/>
        <c:axId val="894335183"/>
      </c:lineChart>
      <c:catAx>
        <c:axId val="8881412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94335183"/>
        <c:crosses val="autoZero"/>
        <c:auto val="1"/>
        <c:lblAlgn val="ctr"/>
        <c:lblOffset val="100"/>
        <c:noMultiLvlLbl val="0"/>
      </c:catAx>
      <c:valAx>
        <c:axId val="894335183"/>
        <c:scaling>
          <c:orientation val="minMax"/>
          <c:min val="-6000000000"/>
        </c:scaling>
        <c:delete val="0"/>
        <c:axPos val="l"/>
        <c:majorGridlines>
          <c:spPr>
            <a:ln w="222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41231"/>
        <c:crosses val="autoZero"/>
        <c:crossBetween val="between"/>
      </c:valAx>
      <c:spPr>
        <a:noFill/>
        <a:ln>
          <a:noFill/>
        </a:ln>
        <a:effectLst/>
      </c:spPr>
    </c:plotArea>
    <c:legend>
      <c:legendPos val="t"/>
      <c:layout>
        <c:manualLayout>
          <c:xMode val="edge"/>
          <c:yMode val="edge"/>
          <c:x val="0.25576475463429843"/>
          <c:y val="8.1885288062181358E-2"/>
          <c:w val="0.74423530689367423"/>
          <c:h val="2.4489540345397083E-2"/>
        </c:manualLayout>
      </c:layout>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chart" Target="../charts/chart1.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1.png"/><Relationship Id="rId10" Type="http://schemas.openxmlformats.org/officeDocument/2006/relationships/image" Target="../media/image10.pn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23</xdr:col>
      <xdr:colOff>497205</xdr:colOff>
      <xdr:row>94</xdr:row>
      <xdr:rowOff>19050</xdr:rowOff>
    </xdr:from>
    <xdr:to>
      <xdr:col>38</xdr:col>
      <xdr:colOff>170346</xdr:colOff>
      <xdr:row>127</xdr:row>
      <xdr:rowOff>96744</xdr:rowOff>
    </xdr:to>
    <xdr:pic>
      <xdr:nvPicPr>
        <xdr:cNvPr id="2" name="Picture 1">
          <a:extLst>
            <a:ext uri="{FF2B5EF4-FFF2-40B4-BE49-F238E27FC236}">
              <a16:creationId xmlns:a16="http://schemas.microsoft.com/office/drawing/2014/main" id="{06348964-5BCE-4346-AD15-44D3747D52D3}"/>
            </a:ext>
          </a:extLst>
        </xdr:cNvPr>
        <xdr:cNvPicPr>
          <a:picLocks noChangeAspect="1"/>
        </xdr:cNvPicPr>
      </xdr:nvPicPr>
      <xdr:blipFill>
        <a:blip xmlns:r="http://schemas.openxmlformats.org/officeDocument/2006/relationships" r:embed="rId1"/>
        <a:stretch>
          <a:fillRect/>
        </a:stretch>
      </xdr:blipFill>
      <xdr:spPr>
        <a:xfrm>
          <a:off x="27929205" y="13735050"/>
          <a:ext cx="8820950" cy="6360385"/>
        </a:xfrm>
        <a:prstGeom prst="rect">
          <a:avLst/>
        </a:prstGeom>
      </xdr:spPr>
    </xdr:pic>
    <xdr:clientData/>
  </xdr:twoCellAnchor>
  <xdr:twoCellAnchor editAs="oneCell">
    <xdr:from>
      <xdr:col>10</xdr:col>
      <xdr:colOff>114300</xdr:colOff>
      <xdr:row>98</xdr:row>
      <xdr:rowOff>38100</xdr:rowOff>
    </xdr:from>
    <xdr:to>
      <xdr:col>19</xdr:col>
      <xdr:colOff>135120</xdr:colOff>
      <xdr:row>133</xdr:row>
      <xdr:rowOff>75406</xdr:rowOff>
    </xdr:to>
    <xdr:pic>
      <xdr:nvPicPr>
        <xdr:cNvPr id="3" name="Picture 2">
          <a:extLst>
            <a:ext uri="{FF2B5EF4-FFF2-40B4-BE49-F238E27FC236}">
              <a16:creationId xmlns:a16="http://schemas.microsoft.com/office/drawing/2014/main" id="{C01D91B9-E480-4A03-96A3-D32BEDF076D5}"/>
            </a:ext>
          </a:extLst>
        </xdr:cNvPr>
        <xdr:cNvPicPr>
          <a:picLocks noChangeAspect="1"/>
        </xdr:cNvPicPr>
      </xdr:nvPicPr>
      <xdr:blipFill>
        <a:blip xmlns:r="http://schemas.openxmlformats.org/officeDocument/2006/relationships" r:embed="rId2"/>
        <a:stretch>
          <a:fillRect/>
        </a:stretch>
      </xdr:blipFill>
      <xdr:spPr>
        <a:xfrm>
          <a:off x="17487900" y="14516100"/>
          <a:ext cx="9201905" cy="6704804"/>
        </a:xfrm>
        <a:prstGeom prst="rect">
          <a:avLst/>
        </a:prstGeom>
      </xdr:spPr>
    </xdr:pic>
    <xdr:clientData/>
  </xdr:twoCellAnchor>
  <xdr:twoCellAnchor editAs="oneCell">
    <xdr:from>
      <xdr:col>21</xdr:col>
      <xdr:colOff>593864</xdr:colOff>
      <xdr:row>20</xdr:row>
      <xdr:rowOff>106808</xdr:rowOff>
    </xdr:from>
    <xdr:to>
      <xdr:col>35</xdr:col>
      <xdr:colOff>478912</xdr:colOff>
      <xdr:row>48</xdr:row>
      <xdr:rowOff>171852</xdr:rowOff>
    </xdr:to>
    <xdr:pic>
      <xdr:nvPicPr>
        <xdr:cNvPr id="4" name="Picture 3">
          <a:extLst>
            <a:ext uri="{FF2B5EF4-FFF2-40B4-BE49-F238E27FC236}">
              <a16:creationId xmlns:a16="http://schemas.microsoft.com/office/drawing/2014/main" id="{A33664AC-1E4A-43BA-BF69-36E853911E81}"/>
            </a:ext>
          </a:extLst>
        </xdr:cNvPr>
        <xdr:cNvPicPr>
          <a:picLocks noChangeAspect="1"/>
        </xdr:cNvPicPr>
      </xdr:nvPicPr>
      <xdr:blipFill>
        <a:blip xmlns:r="http://schemas.openxmlformats.org/officeDocument/2006/relationships" r:embed="rId3"/>
        <a:stretch>
          <a:fillRect/>
        </a:stretch>
      </xdr:blipFill>
      <xdr:spPr>
        <a:xfrm>
          <a:off x="26806664" y="2011808"/>
          <a:ext cx="8415638" cy="5210450"/>
        </a:xfrm>
        <a:prstGeom prst="rect">
          <a:avLst/>
        </a:prstGeom>
      </xdr:spPr>
    </xdr:pic>
    <xdr:clientData/>
  </xdr:twoCellAnchor>
  <xdr:twoCellAnchor editAs="oneCell">
    <xdr:from>
      <xdr:col>43</xdr:col>
      <xdr:colOff>487952</xdr:colOff>
      <xdr:row>13</xdr:row>
      <xdr:rowOff>152400</xdr:rowOff>
    </xdr:from>
    <xdr:to>
      <xdr:col>62</xdr:col>
      <xdr:colOff>58469</xdr:colOff>
      <xdr:row>50</xdr:row>
      <xdr:rowOff>18050</xdr:rowOff>
    </xdr:to>
    <xdr:pic>
      <xdr:nvPicPr>
        <xdr:cNvPr id="5" name="Picture 4">
          <a:extLst>
            <a:ext uri="{FF2B5EF4-FFF2-40B4-BE49-F238E27FC236}">
              <a16:creationId xmlns:a16="http://schemas.microsoft.com/office/drawing/2014/main" id="{D1463105-0659-48C9-88F8-D624DF295F99}"/>
            </a:ext>
          </a:extLst>
        </xdr:cNvPr>
        <xdr:cNvPicPr>
          <a:picLocks noChangeAspect="1"/>
        </xdr:cNvPicPr>
      </xdr:nvPicPr>
      <xdr:blipFill>
        <a:blip xmlns:r="http://schemas.openxmlformats.org/officeDocument/2006/relationships" r:embed="rId4"/>
        <a:stretch>
          <a:fillRect/>
        </a:stretch>
      </xdr:blipFill>
      <xdr:spPr>
        <a:xfrm>
          <a:off x="40111952" y="1104900"/>
          <a:ext cx="11149109" cy="6689584"/>
        </a:xfrm>
        <a:prstGeom prst="rect">
          <a:avLst/>
        </a:prstGeom>
      </xdr:spPr>
    </xdr:pic>
    <xdr:clientData/>
  </xdr:twoCellAnchor>
  <xdr:twoCellAnchor editAs="oneCell">
    <xdr:from>
      <xdr:col>57</xdr:col>
      <xdr:colOff>495300</xdr:colOff>
      <xdr:row>63</xdr:row>
      <xdr:rowOff>76200</xdr:rowOff>
    </xdr:from>
    <xdr:to>
      <xdr:col>80</xdr:col>
      <xdr:colOff>230256</xdr:colOff>
      <xdr:row>106</xdr:row>
      <xdr:rowOff>134172</xdr:rowOff>
    </xdr:to>
    <xdr:pic>
      <xdr:nvPicPr>
        <xdr:cNvPr id="6" name="Picture 5">
          <a:extLst>
            <a:ext uri="{FF2B5EF4-FFF2-40B4-BE49-F238E27FC236}">
              <a16:creationId xmlns:a16="http://schemas.microsoft.com/office/drawing/2014/main" id="{AD7E3403-9AA0-4622-83B1-41A68F2BBA12}"/>
            </a:ext>
          </a:extLst>
        </xdr:cNvPr>
        <xdr:cNvPicPr>
          <a:picLocks noChangeAspect="1"/>
        </xdr:cNvPicPr>
      </xdr:nvPicPr>
      <xdr:blipFill>
        <a:blip xmlns:r="http://schemas.openxmlformats.org/officeDocument/2006/relationships" r:embed="rId5"/>
        <a:stretch>
          <a:fillRect/>
        </a:stretch>
      </xdr:blipFill>
      <xdr:spPr>
        <a:xfrm>
          <a:off x="48653700" y="9029700"/>
          <a:ext cx="13755754" cy="8245661"/>
        </a:xfrm>
        <a:prstGeom prst="rect">
          <a:avLst/>
        </a:prstGeom>
      </xdr:spPr>
    </xdr:pic>
    <xdr:clientData/>
  </xdr:twoCellAnchor>
  <xdr:twoCellAnchor editAs="oneCell">
    <xdr:from>
      <xdr:col>53</xdr:col>
      <xdr:colOff>211628</xdr:colOff>
      <xdr:row>121</xdr:row>
      <xdr:rowOff>86938</xdr:rowOff>
    </xdr:from>
    <xdr:to>
      <xdr:col>65</xdr:col>
      <xdr:colOff>402884</xdr:colOff>
      <xdr:row>155</xdr:row>
      <xdr:rowOff>2636</xdr:rowOff>
    </xdr:to>
    <xdr:pic>
      <xdr:nvPicPr>
        <xdr:cNvPr id="7" name="Picture 6">
          <a:extLst>
            <a:ext uri="{FF2B5EF4-FFF2-40B4-BE49-F238E27FC236}">
              <a16:creationId xmlns:a16="http://schemas.microsoft.com/office/drawing/2014/main" id="{BB5DDD91-5B1B-4276-AB6B-1948A244C0A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931628" y="18946438"/>
          <a:ext cx="7502647" cy="6388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139</xdr:row>
      <xdr:rowOff>0</xdr:rowOff>
    </xdr:from>
    <xdr:to>
      <xdr:col>44</xdr:col>
      <xdr:colOff>59732</xdr:colOff>
      <xdr:row>168</xdr:row>
      <xdr:rowOff>56450</xdr:rowOff>
    </xdr:to>
    <xdr:pic>
      <xdr:nvPicPr>
        <xdr:cNvPr id="8" name="Picture 7">
          <a:extLst>
            <a:ext uri="{FF2B5EF4-FFF2-40B4-BE49-F238E27FC236}">
              <a16:creationId xmlns:a16="http://schemas.microsoft.com/office/drawing/2014/main" id="{99492D34-FDAE-4CD9-823E-7E2C146FF09A}"/>
            </a:ext>
          </a:extLst>
        </xdr:cNvPr>
        <xdr:cNvPicPr>
          <a:picLocks noChangeAspect="1"/>
        </xdr:cNvPicPr>
      </xdr:nvPicPr>
      <xdr:blipFill>
        <a:blip xmlns:r="http://schemas.openxmlformats.org/officeDocument/2006/relationships" r:embed="rId7"/>
        <a:stretch>
          <a:fillRect/>
        </a:stretch>
      </xdr:blipFill>
      <xdr:spPr>
        <a:xfrm>
          <a:off x="30480000" y="20955000"/>
          <a:ext cx="9809524" cy="5590476"/>
        </a:xfrm>
        <a:prstGeom prst="rect">
          <a:avLst/>
        </a:prstGeom>
      </xdr:spPr>
    </xdr:pic>
    <xdr:clientData/>
  </xdr:twoCellAnchor>
  <xdr:twoCellAnchor editAs="oneCell">
    <xdr:from>
      <xdr:col>36</xdr:col>
      <xdr:colOff>38100</xdr:colOff>
      <xdr:row>54</xdr:row>
      <xdr:rowOff>0</xdr:rowOff>
    </xdr:from>
    <xdr:to>
      <xdr:col>51</xdr:col>
      <xdr:colOff>17143</xdr:colOff>
      <xdr:row>83</xdr:row>
      <xdr:rowOff>59057</xdr:rowOff>
    </xdr:to>
    <xdr:pic>
      <xdr:nvPicPr>
        <xdr:cNvPr id="9" name="Picture 8" descr="Facebook’s 10-year product strategy and roadmap — Photo by Vladimer Botsvadze">
          <a:extLst>
            <a:ext uri="{FF2B5EF4-FFF2-40B4-BE49-F238E27FC236}">
              <a16:creationId xmlns:a16="http://schemas.microsoft.com/office/drawing/2014/main" id="{0B336D54-4FD1-4FD7-ADFA-17CBA3B4F01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4232850" y="7143750"/>
          <a:ext cx="8555355" cy="5581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46</xdr:col>
      <xdr:colOff>419100</xdr:colOff>
      <xdr:row>175</xdr:row>
      <xdr:rowOff>95250</xdr:rowOff>
    </xdr:from>
    <xdr:to>
      <xdr:col>61</xdr:col>
      <xdr:colOff>362724</xdr:colOff>
      <xdr:row>207</xdr:row>
      <xdr:rowOff>117350</xdr:rowOff>
    </xdr:to>
    <xdr:pic>
      <xdr:nvPicPr>
        <xdr:cNvPr id="10" name="Picture 9">
          <a:extLst>
            <a:ext uri="{FF2B5EF4-FFF2-40B4-BE49-F238E27FC236}">
              <a16:creationId xmlns:a16="http://schemas.microsoft.com/office/drawing/2014/main" id="{D923F700-17C0-43B3-A7C4-607B3DA31825}"/>
            </a:ext>
          </a:extLst>
        </xdr:cNvPr>
        <xdr:cNvPicPr>
          <a:picLocks noChangeAspect="1"/>
        </xdr:cNvPicPr>
      </xdr:nvPicPr>
      <xdr:blipFill>
        <a:blip xmlns:r="http://schemas.openxmlformats.org/officeDocument/2006/relationships" r:embed="rId9"/>
        <a:stretch>
          <a:fillRect/>
        </a:stretch>
      </xdr:blipFill>
      <xdr:spPr>
        <a:xfrm>
          <a:off x="40328850" y="29241750"/>
          <a:ext cx="8512310" cy="6118096"/>
        </a:xfrm>
        <a:prstGeom prst="rect">
          <a:avLst/>
        </a:prstGeom>
      </xdr:spPr>
    </xdr:pic>
    <xdr:clientData/>
  </xdr:twoCellAnchor>
  <xdr:twoCellAnchor editAs="oneCell">
    <xdr:from>
      <xdr:col>20</xdr:col>
      <xdr:colOff>168366</xdr:colOff>
      <xdr:row>151</xdr:row>
      <xdr:rowOff>0</xdr:rowOff>
    </xdr:from>
    <xdr:to>
      <xdr:col>36</xdr:col>
      <xdr:colOff>282128</xdr:colOff>
      <xdr:row>175</xdr:row>
      <xdr:rowOff>78580</xdr:rowOff>
    </xdr:to>
    <xdr:pic>
      <xdr:nvPicPr>
        <xdr:cNvPr id="11" name="Picture 10" descr="SuperData Research's extended reality sales data for Q3 2019.">
          <a:extLst>
            <a:ext uri="{FF2B5EF4-FFF2-40B4-BE49-F238E27FC236}">
              <a16:creationId xmlns:a16="http://schemas.microsoft.com/office/drawing/2014/main" id="{0221B7DE-22EC-4AB3-A51F-157C9FF27CF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5219116" y="24574500"/>
          <a:ext cx="9257761" cy="4650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95250</xdr:colOff>
      <xdr:row>158</xdr:row>
      <xdr:rowOff>6424</xdr:rowOff>
    </xdr:from>
    <xdr:to>
      <xdr:col>17</xdr:col>
      <xdr:colOff>396545</xdr:colOff>
      <xdr:row>185</xdr:row>
      <xdr:rowOff>97140</xdr:rowOff>
    </xdr:to>
    <xdr:pic>
      <xdr:nvPicPr>
        <xdr:cNvPr id="12" name="Picture 11">
          <a:extLst>
            <a:ext uri="{FF2B5EF4-FFF2-40B4-BE49-F238E27FC236}">
              <a16:creationId xmlns:a16="http://schemas.microsoft.com/office/drawing/2014/main" id="{EAD0B769-20B3-459E-B5B4-3E9CAFAC859B}"/>
            </a:ext>
          </a:extLst>
        </xdr:cNvPr>
        <xdr:cNvPicPr>
          <a:picLocks noChangeAspect="1"/>
        </xdr:cNvPicPr>
      </xdr:nvPicPr>
      <xdr:blipFill>
        <a:blip xmlns:r="http://schemas.openxmlformats.org/officeDocument/2006/relationships" r:embed="rId11"/>
        <a:stretch>
          <a:fillRect/>
        </a:stretch>
      </xdr:blipFill>
      <xdr:spPr>
        <a:xfrm>
          <a:off x="17240250" y="25914424"/>
          <a:ext cx="7940889" cy="5234215"/>
        </a:xfrm>
        <a:prstGeom prst="rect">
          <a:avLst/>
        </a:prstGeom>
      </xdr:spPr>
    </xdr:pic>
    <xdr:clientData/>
  </xdr:twoCellAnchor>
  <xdr:twoCellAnchor editAs="oneCell">
    <xdr:from>
      <xdr:col>24</xdr:col>
      <xdr:colOff>413311</xdr:colOff>
      <xdr:row>178</xdr:row>
      <xdr:rowOff>92521</xdr:rowOff>
    </xdr:from>
    <xdr:to>
      <xdr:col>38</xdr:col>
      <xdr:colOff>247608</xdr:colOff>
      <xdr:row>200</xdr:row>
      <xdr:rowOff>37128</xdr:rowOff>
    </xdr:to>
    <xdr:pic>
      <xdr:nvPicPr>
        <xdr:cNvPr id="13" name="Picture 12">
          <a:extLst>
            <a:ext uri="{FF2B5EF4-FFF2-40B4-BE49-F238E27FC236}">
              <a16:creationId xmlns:a16="http://schemas.microsoft.com/office/drawing/2014/main" id="{71F69CD1-B6FD-445F-8601-D4DF6F8CD414}"/>
            </a:ext>
          </a:extLst>
        </xdr:cNvPr>
        <xdr:cNvPicPr>
          <a:picLocks noChangeAspect="1"/>
        </xdr:cNvPicPr>
      </xdr:nvPicPr>
      <xdr:blipFill>
        <a:blip xmlns:r="http://schemas.openxmlformats.org/officeDocument/2006/relationships" r:embed="rId12"/>
        <a:stretch>
          <a:fillRect/>
        </a:stretch>
      </xdr:blipFill>
      <xdr:spPr>
        <a:xfrm>
          <a:off x="27750061" y="29810521"/>
          <a:ext cx="7846727" cy="4135608"/>
        </a:xfrm>
        <a:prstGeom prst="rect">
          <a:avLst/>
        </a:prstGeom>
      </xdr:spPr>
    </xdr:pic>
    <xdr:clientData/>
  </xdr:twoCellAnchor>
  <xdr:twoCellAnchor editAs="oneCell">
    <xdr:from>
      <xdr:col>2</xdr:col>
      <xdr:colOff>100964</xdr:colOff>
      <xdr:row>0</xdr:row>
      <xdr:rowOff>0</xdr:rowOff>
    </xdr:from>
    <xdr:to>
      <xdr:col>3</xdr:col>
      <xdr:colOff>93615</xdr:colOff>
      <xdr:row>5</xdr:row>
      <xdr:rowOff>53790</xdr:rowOff>
    </xdr:to>
    <xdr:pic>
      <xdr:nvPicPr>
        <xdr:cNvPr id="14" name="Picture 13" descr="Oculus Rift - Wikipedia">
          <a:extLst>
            <a:ext uri="{FF2B5EF4-FFF2-40B4-BE49-F238E27FC236}">
              <a16:creationId xmlns:a16="http://schemas.microsoft.com/office/drawing/2014/main" id="{65922424-0C74-438B-A2EB-0D83C5502C7B}"/>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536893" y="0"/>
          <a:ext cx="1572713" cy="9382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2762250</xdr:colOff>
      <xdr:row>94</xdr:row>
      <xdr:rowOff>0</xdr:rowOff>
    </xdr:from>
    <xdr:to>
      <xdr:col>7</xdr:col>
      <xdr:colOff>1333745</xdr:colOff>
      <xdr:row>132</xdr:row>
      <xdr:rowOff>60046</xdr:rowOff>
    </xdr:to>
    <xdr:pic>
      <xdr:nvPicPr>
        <xdr:cNvPr id="15" name="Picture 14">
          <a:extLst>
            <a:ext uri="{FF2B5EF4-FFF2-40B4-BE49-F238E27FC236}">
              <a16:creationId xmlns:a16="http://schemas.microsoft.com/office/drawing/2014/main" id="{D1CE5634-42E1-4B74-A647-2384B0F8F75F}"/>
            </a:ext>
          </a:extLst>
        </xdr:cNvPr>
        <xdr:cNvPicPr>
          <a:picLocks noChangeAspect="1"/>
        </xdr:cNvPicPr>
      </xdr:nvPicPr>
      <xdr:blipFill>
        <a:blip xmlns:r="http://schemas.openxmlformats.org/officeDocument/2006/relationships" r:embed="rId14"/>
        <a:stretch>
          <a:fillRect/>
        </a:stretch>
      </xdr:blipFill>
      <xdr:spPr>
        <a:xfrm>
          <a:off x="2762250" y="14287500"/>
          <a:ext cx="11897143" cy="7299048"/>
        </a:xfrm>
        <a:prstGeom prst="rect">
          <a:avLst/>
        </a:prstGeom>
      </xdr:spPr>
    </xdr:pic>
    <xdr:clientData/>
  </xdr:twoCellAnchor>
  <xdr:twoCellAnchor editAs="oneCell">
    <xdr:from>
      <xdr:col>3</xdr:col>
      <xdr:colOff>1539515</xdr:colOff>
      <xdr:row>0</xdr:row>
      <xdr:rowOff>58240</xdr:rowOff>
    </xdr:from>
    <xdr:to>
      <xdr:col>4</xdr:col>
      <xdr:colOff>1391619</xdr:colOff>
      <xdr:row>5</xdr:row>
      <xdr:rowOff>21228</xdr:rowOff>
    </xdr:to>
    <xdr:pic>
      <xdr:nvPicPr>
        <xdr:cNvPr id="16" name="Picture 15">
          <a:extLst>
            <a:ext uri="{FF2B5EF4-FFF2-40B4-BE49-F238E27FC236}">
              <a16:creationId xmlns:a16="http://schemas.microsoft.com/office/drawing/2014/main" id="{E1BE381E-BBB3-43CE-A481-BF28FB46A834}"/>
            </a:ext>
          </a:extLst>
        </xdr:cNvPr>
        <xdr:cNvPicPr>
          <a:picLocks noChangeAspect="1"/>
        </xdr:cNvPicPr>
      </xdr:nvPicPr>
      <xdr:blipFill>
        <a:blip xmlns:r="http://schemas.openxmlformats.org/officeDocument/2006/relationships" r:embed="rId15"/>
        <a:stretch>
          <a:fillRect/>
        </a:stretch>
      </xdr:blipFill>
      <xdr:spPr>
        <a:xfrm>
          <a:off x="7540265" y="58240"/>
          <a:ext cx="1531769" cy="839832"/>
        </a:xfrm>
        <a:prstGeom prst="rect">
          <a:avLst/>
        </a:prstGeom>
      </xdr:spPr>
    </xdr:pic>
    <xdr:clientData/>
  </xdr:twoCellAnchor>
  <xdr:twoCellAnchor editAs="oneCell">
    <xdr:from>
      <xdr:col>3</xdr:col>
      <xdr:colOff>210095</xdr:colOff>
      <xdr:row>0</xdr:row>
      <xdr:rowOff>0</xdr:rowOff>
    </xdr:from>
    <xdr:to>
      <xdr:col>3</xdr:col>
      <xdr:colOff>1502501</xdr:colOff>
      <xdr:row>5</xdr:row>
      <xdr:rowOff>117374</xdr:rowOff>
    </xdr:to>
    <xdr:pic>
      <xdr:nvPicPr>
        <xdr:cNvPr id="17" name="Picture 16">
          <a:extLst>
            <a:ext uri="{FF2B5EF4-FFF2-40B4-BE49-F238E27FC236}">
              <a16:creationId xmlns:a16="http://schemas.microsoft.com/office/drawing/2014/main" id="{01260F38-CB20-495B-9C33-4F422677F4BD}"/>
            </a:ext>
          </a:extLst>
        </xdr:cNvPr>
        <xdr:cNvPicPr>
          <a:picLocks noChangeAspect="1"/>
        </xdr:cNvPicPr>
      </xdr:nvPicPr>
      <xdr:blipFill>
        <a:blip xmlns:r="http://schemas.openxmlformats.org/officeDocument/2006/relationships" r:embed="rId16"/>
        <a:stretch>
          <a:fillRect/>
        </a:stretch>
      </xdr:blipFill>
      <xdr:spPr>
        <a:xfrm>
          <a:off x="6210845" y="0"/>
          <a:ext cx="1286691" cy="1001838"/>
        </a:xfrm>
        <a:prstGeom prst="rect">
          <a:avLst/>
        </a:prstGeom>
      </xdr:spPr>
    </xdr:pic>
    <xdr:clientData/>
  </xdr:twoCellAnchor>
  <xdr:twoCellAnchor editAs="oneCell">
    <xdr:from>
      <xdr:col>5</xdr:col>
      <xdr:colOff>136072</xdr:colOff>
      <xdr:row>0</xdr:row>
      <xdr:rowOff>1</xdr:rowOff>
    </xdr:from>
    <xdr:to>
      <xdr:col>5</xdr:col>
      <xdr:colOff>1657895</xdr:colOff>
      <xdr:row>5</xdr:row>
      <xdr:rowOff>17259</xdr:rowOff>
    </xdr:to>
    <xdr:pic>
      <xdr:nvPicPr>
        <xdr:cNvPr id="18" name="Picture 17">
          <a:extLst>
            <a:ext uri="{FF2B5EF4-FFF2-40B4-BE49-F238E27FC236}">
              <a16:creationId xmlns:a16="http://schemas.microsoft.com/office/drawing/2014/main" id="{42F5E5B5-713C-497D-8AA8-EF82B97F2F76}"/>
            </a:ext>
          </a:extLst>
        </xdr:cNvPr>
        <xdr:cNvPicPr>
          <a:picLocks noChangeAspect="1"/>
        </xdr:cNvPicPr>
      </xdr:nvPicPr>
      <xdr:blipFill>
        <a:blip xmlns:r="http://schemas.openxmlformats.org/officeDocument/2006/relationships" r:embed="rId17"/>
        <a:stretch>
          <a:fillRect/>
        </a:stretch>
      </xdr:blipFill>
      <xdr:spPr>
        <a:xfrm>
          <a:off x="9266465" y="1"/>
          <a:ext cx="1506583" cy="916962"/>
        </a:xfrm>
        <a:prstGeom prst="rect">
          <a:avLst/>
        </a:prstGeom>
      </xdr:spPr>
    </xdr:pic>
    <xdr:clientData/>
  </xdr:twoCellAnchor>
  <xdr:twoCellAnchor editAs="oneCell">
    <xdr:from>
      <xdr:col>6</xdr:col>
      <xdr:colOff>65464</xdr:colOff>
      <xdr:row>0</xdr:row>
      <xdr:rowOff>0</xdr:rowOff>
    </xdr:from>
    <xdr:to>
      <xdr:col>6</xdr:col>
      <xdr:colOff>2036231</xdr:colOff>
      <xdr:row>5</xdr:row>
      <xdr:rowOff>173653</xdr:rowOff>
    </xdr:to>
    <xdr:pic>
      <xdr:nvPicPr>
        <xdr:cNvPr id="19" name="Picture 18">
          <a:extLst>
            <a:ext uri="{FF2B5EF4-FFF2-40B4-BE49-F238E27FC236}">
              <a16:creationId xmlns:a16="http://schemas.microsoft.com/office/drawing/2014/main" id="{AA6F7A1A-CC68-49C2-9229-B8A14546109D}"/>
            </a:ext>
          </a:extLst>
        </xdr:cNvPr>
        <xdr:cNvPicPr>
          <a:picLocks noChangeAspect="1"/>
        </xdr:cNvPicPr>
      </xdr:nvPicPr>
      <xdr:blipFill>
        <a:blip xmlns:r="http://schemas.openxmlformats.org/officeDocument/2006/relationships" r:embed="rId18"/>
        <a:stretch>
          <a:fillRect/>
        </a:stretch>
      </xdr:blipFill>
      <xdr:spPr>
        <a:xfrm>
          <a:off x="11339600" y="0"/>
          <a:ext cx="1965052" cy="1039562"/>
        </a:xfrm>
        <a:prstGeom prst="rect">
          <a:avLst/>
        </a:prstGeom>
      </xdr:spPr>
    </xdr:pic>
    <xdr:clientData/>
  </xdr:twoCellAnchor>
  <xdr:twoCellAnchor editAs="oneCell">
    <xdr:from>
      <xdr:col>10</xdr:col>
      <xdr:colOff>0</xdr:colOff>
      <xdr:row>191</xdr:row>
      <xdr:rowOff>0</xdr:rowOff>
    </xdr:from>
    <xdr:to>
      <xdr:col>12</xdr:col>
      <xdr:colOff>191539</xdr:colOff>
      <xdr:row>206</xdr:row>
      <xdr:rowOff>114299</xdr:rowOff>
    </xdr:to>
    <xdr:pic>
      <xdr:nvPicPr>
        <xdr:cNvPr id="20" name="Picture 19" descr="Facebook Oculus Rift Revenue Chart">
          <a:extLst>
            <a:ext uri="{FF2B5EF4-FFF2-40B4-BE49-F238E27FC236}">
              <a16:creationId xmlns:a16="http://schemas.microsoft.com/office/drawing/2014/main" id="{9E971724-EB83-4EEB-AFAA-DD21F1B575DF}"/>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7861280" y="32148780"/>
          <a:ext cx="38100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1564822</xdr:colOff>
      <xdr:row>91</xdr:row>
      <xdr:rowOff>54429</xdr:rowOff>
    </xdr:from>
    <xdr:to>
      <xdr:col>9</xdr:col>
      <xdr:colOff>134711</xdr:colOff>
      <xdr:row>137</xdr:row>
      <xdr:rowOff>16602</xdr:rowOff>
    </xdr:to>
    <xdr:pic>
      <xdr:nvPicPr>
        <xdr:cNvPr id="21" name="Picture 20" descr="SNL Image">
          <a:extLst>
            <a:ext uri="{FF2B5EF4-FFF2-40B4-BE49-F238E27FC236}">
              <a16:creationId xmlns:a16="http://schemas.microsoft.com/office/drawing/2014/main" id="{2FED4BC4-3FA2-4C50-A968-5154073255E2}"/>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2722679" y="13716000"/>
          <a:ext cx="4298497" cy="8093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2324100</xdr:colOff>
      <xdr:row>142</xdr:row>
      <xdr:rowOff>114300</xdr:rowOff>
    </xdr:from>
    <xdr:to>
      <xdr:col>8</xdr:col>
      <xdr:colOff>1655643</xdr:colOff>
      <xdr:row>187</xdr:row>
      <xdr:rowOff>98786</xdr:rowOff>
    </xdr:to>
    <xdr:graphicFrame macro="">
      <xdr:nvGraphicFramePr>
        <xdr:cNvPr id="25" name="Chart 24">
          <a:extLst>
            <a:ext uri="{FF2B5EF4-FFF2-40B4-BE49-F238E27FC236}">
              <a16:creationId xmlns:a16="http://schemas.microsoft.com/office/drawing/2014/main" id="{BD723B34-C0E4-4AAF-B0C1-65316154B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1705407</xdr:colOff>
      <xdr:row>91</xdr:row>
      <xdr:rowOff>11713</xdr:rowOff>
    </xdr:from>
    <xdr:to>
      <xdr:col>22</xdr:col>
      <xdr:colOff>408449</xdr:colOff>
      <xdr:row>150</xdr:row>
      <xdr:rowOff>35238</xdr:rowOff>
    </xdr:to>
    <xdr:graphicFrame macro="">
      <xdr:nvGraphicFramePr>
        <xdr:cNvPr id="26" name="Chart 25">
          <a:extLst>
            <a:ext uri="{FF2B5EF4-FFF2-40B4-BE49-F238E27FC236}">
              <a16:creationId xmlns:a16="http://schemas.microsoft.com/office/drawing/2014/main" id="{70009C80-3377-4A56-93C9-7A0B465EA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0</xdr:col>
      <xdr:colOff>0</xdr:colOff>
      <xdr:row>104</xdr:row>
      <xdr:rowOff>0</xdr:rowOff>
    </xdr:from>
    <xdr:to>
      <xdr:col>4</xdr:col>
      <xdr:colOff>934257</xdr:colOff>
      <xdr:row>131</xdr:row>
      <xdr:rowOff>18405</xdr:rowOff>
    </xdr:to>
    <xdr:pic>
      <xdr:nvPicPr>
        <xdr:cNvPr id="27" name="Picture 26">
          <a:extLst>
            <a:ext uri="{FF2B5EF4-FFF2-40B4-BE49-F238E27FC236}">
              <a16:creationId xmlns:a16="http://schemas.microsoft.com/office/drawing/2014/main" id="{4A0E3AE8-2B71-47D6-8BF7-AADE7420FC8F}"/>
            </a:ext>
          </a:extLst>
        </xdr:cNvPr>
        <xdr:cNvPicPr>
          <a:picLocks noChangeAspect="1"/>
        </xdr:cNvPicPr>
      </xdr:nvPicPr>
      <xdr:blipFill>
        <a:blip xmlns:r="http://schemas.openxmlformats.org/officeDocument/2006/relationships" r:embed="rId23"/>
        <a:stretch>
          <a:fillRect/>
        </a:stretch>
      </xdr:blipFill>
      <xdr:spPr>
        <a:xfrm>
          <a:off x="0" y="19073813"/>
          <a:ext cx="8780952" cy="51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wsj.com/articles/facebooks-vr-quest-finally-getting-real-11578916800"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marketsandmarkets.com/Market-Reports/reality-applications-market-458.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9ABA0-E56D-408B-9C07-9228621B7BDF}">
  <dimension ref="A1:U42"/>
  <sheetViews>
    <sheetView topLeftCell="A13" zoomScale="55" zoomScaleNormal="55" workbookViewId="0">
      <selection activeCell="N18" sqref="N17:N18"/>
    </sheetView>
  </sheetViews>
  <sheetFormatPr defaultRowHeight="14.4" x14ac:dyDescent="0.3"/>
  <cols>
    <col min="2" max="2" width="25" bestFit="1" customWidth="1"/>
    <col min="3" max="3" width="17.44140625" bestFit="1" customWidth="1"/>
    <col min="4" max="4" width="11" bestFit="1" customWidth="1"/>
    <col min="8" max="8" width="17.77734375" bestFit="1" customWidth="1"/>
    <col min="9" max="9" width="15.44140625" bestFit="1" customWidth="1"/>
    <col min="10" max="10" width="11.6640625" bestFit="1" customWidth="1"/>
    <col min="11" max="12" width="12.6640625" bestFit="1" customWidth="1"/>
    <col min="13" max="13" width="16.44140625" bestFit="1" customWidth="1"/>
    <col min="14" max="14" width="10.5546875" bestFit="1" customWidth="1"/>
    <col min="18" max="18" width="12.6640625" bestFit="1" customWidth="1"/>
  </cols>
  <sheetData>
    <row r="1" spans="1:18" x14ac:dyDescent="0.3">
      <c r="A1" t="s">
        <v>0</v>
      </c>
      <c r="E1" s="5" t="s">
        <v>2</v>
      </c>
    </row>
    <row r="2" spans="1:18" x14ac:dyDescent="0.3">
      <c r="R2" t="s">
        <v>24</v>
      </c>
    </row>
    <row r="3" spans="1:18" x14ac:dyDescent="0.3">
      <c r="C3">
        <v>2014</v>
      </c>
      <c r="D3">
        <v>2015</v>
      </c>
      <c r="E3">
        <v>2016</v>
      </c>
      <c r="F3">
        <v>2017</v>
      </c>
      <c r="G3">
        <v>2018</v>
      </c>
      <c r="H3">
        <v>2019</v>
      </c>
      <c r="I3">
        <v>2020</v>
      </c>
      <c r="J3">
        <v>2021</v>
      </c>
      <c r="K3">
        <v>2022</v>
      </c>
      <c r="L3">
        <v>2023</v>
      </c>
      <c r="M3">
        <v>2024</v>
      </c>
      <c r="N3">
        <v>2025</v>
      </c>
      <c r="O3">
        <v>2026</v>
      </c>
      <c r="R3">
        <v>0.05</v>
      </c>
    </row>
    <row r="4" spans="1:18" x14ac:dyDescent="0.3">
      <c r="B4" t="s">
        <v>31</v>
      </c>
      <c r="G4" s="21">
        <v>0.19400000000000001</v>
      </c>
      <c r="H4" s="21">
        <v>0.28299999999999997</v>
      </c>
      <c r="I4" s="2">
        <v>0.35</v>
      </c>
    </row>
    <row r="5" spans="1:18" x14ac:dyDescent="0.3">
      <c r="B5" t="s">
        <v>30</v>
      </c>
      <c r="C5" s="1"/>
      <c r="D5" s="1"/>
      <c r="E5" s="1"/>
      <c r="F5" s="1"/>
      <c r="G5" s="1"/>
      <c r="H5" s="1">
        <v>10500</v>
      </c>
      <c r="I5" s="1">
        <f>H5+H5*0.785</f>
        <v>18742.5</v>
      </c>
      <c r="J5" s="1">
        <f>I5+I5*0.785</f>
        <v>33455.362500000003</v>
      </c>
      <c r="K5" s="1">
        <f>J5+J5*0.785</f>
        <v>59717.82206250001</v>
      </c>
      <c r="L5" s="1">
        <f>K5+K5*0.785</f>
        <v>106596.31238156251</v>
      </c>
      <c r="M5" s="1">
        <f>L5+L5*0.785</f>
        <v>190274.41760108911</v>
      </c>
    </row>
    <row r="6" spans="1:18" x14ac:dyDescent="0.3">
      <c r="B6" t="s">
        <v>1</v>
      </c>
      <c r="C6" s="18">
        <v>-2300000</v>
      </c>
      <c r="D6" s="18"/>
      <c r="E6" s="18"/>
      <c r="F6" s="18"/>
      <c r="G6" s="18"/>
      <c r="H6" s="18">
        <v>-1500000</v>
      </c>
      <c r="I6" s="2"/>
      <c r="J6" s="2"/>
      <c r="K6" s="2"/>
      <c r="L6" s="2"/>
      <c r="M6" s="2"/>
      <c r="N6" s="19"/>
    </row>
    <row r="7" spans="1:18" x14ac:dyDescent="0.3">
      <c r="B7" t="s">
        <v>22</v>
      </c>
      <c r="D7" s="18">
        <f>'FB R&amp;D '!H6*$R3</f>
        <v>240.8</v>
      </c>
      <c r="E7" s="18">
        <f>'FB R&amp;D '!I6*$R3</f>
        <v>295.95</v>
      </c>
      <c r="F7" s="18">
        <f>'FB R&amp;D '!J6*$R3</f>
        <v>387.70000000000005</v>
      </c>
      <c r="G7" s="18">
        <f>'FB R&amp;D '!K6*$R3</f>
        <v>513.65</v>
      </c>
      <c r="H7" s="18">
        <f>'FB R&amp;D '!L6*$R3</f>
        <v>680</v>
      </c>
      <c r="I7" s="18">
        <f>'FB R&amp;D '!M6*$R3</f>
        <v>897.31481454162486</v>
      </c>
      <c r="J7" s="18">
        <f>'FB R&amp;D '!N6*$R3</f>
        <v>1184.0792299939274</v>
      </c>
      <c r="K7" s="18">
        <f>'FB R&amp;D '!O6*$R3</f>
        <v>1562.48799215381</v>
      </c>
      <c r="L7" s="18">
        <f>'FB R&amp;D '!P6*$R3</f>
        <v>2061.8288572103115</v>
      </c>
      <c r="M7" s="18">
        <f>'FB R&amp;D '!Q6*$R3</f>
        <v>2720.7493803297657</v>
      </c>
      <c r="N7" s="22">
        <f>'FB R&amp;D '!R6*$R3</f>
        <v>3590.2481259188885</v>
      </c>
    </row>
    <row r="8" spans="1:18" x14ac:dyDescent="0.3">
      <c r="C8" s="1"/>
      <c r="D8" s="1"/>
      <c r="E8" s="1"/>
      <c r="F8" s="1"/>
      <c r="G8" s="1"/>
      <c r="H8" s="1"/>
      <c r="I8" s="2"/>
      <c r="J8" s="2"/>
      <c r="K8" s="2"/>
      <c r="L8" s="2"/>
      <c r="M8" s="2"/>
      <c r="R8" s="1">
        <f>H5+H5*0.785</f>
        <v>18742.5</v>
      </c>
    </row>
    <row r="9" spans="1:18" x14ac:dyDescent="0.3">
      <c r="B9" t="s">
        <v>36</v>
      </c>
      <c r="C9" s="1"/>
      <c r="D9" s="1"/>
      <c r="E9" s="1"/>
      <c r="F9" s="1"/>
      <c r="G9" s="1"/>
      <c r="H9" s="23">
        <f>297*0.7</f>
        <v>207.89999999999998</v>
      </c>
      <c r="I9" s="1">
        <f>I5*0.55*I4</f>
        <v>3607.9312499999996</v>
      </c>
    </row>
    <row r="10" spans="1:18" x14ac:dyDescent="0.3">
      <c r="C10" s="2"/>
      <c r="D10" s="1"/>
      <c r="E10" s="1"/>
      <c r="F10" s="1"/>
      <c r="G10" s="1"/>
      <c r="H10" s="1"/>
      <c r="I10" s="1"/>
    </row>
    <row r="11" spans="1:18" x14ac:dyDescent="0.3">
      <c r="C11" s="2"/>
      <c r="D11" s="1"/>
      <c r="E11" s="1"/>
      <c r="F11" s="1"/>
      <c r="G11" s="1"/>
      <c r="H11" s="1"/>
      <c r="I11" s="1"/>
    </row>
    <row r="12" spans="1:18" x14ac:dyDescent="0.3">
      <c r="C12" s="1"/>
      <c r="D12" s="1"/>
      <c r="E12" s="1"/>
      <c r="F12" s="1"/>
      <c r="G12" s="1"/>
      <c r="H12" s="1"/>
      <c r="I12" s="1"/>
    </row>
    <row r="13" spans="1:18" ht="15" thickBot="1" x14ac:dyDescent="0.35">
      <c r="C13" s="1"/>
      <c r="D13" s="1"/>
      <c r="E13" s="1"/>
      <c r="F13" s="1"/>
      <c r="G13" s="1"/>
      <c r="H13" s="1"/>
      <c r="I13" s="1"/>
    </row>
    <row r="14" spans="1:18" ht="15" thickTop="1" x14ac:dyDescent="0.3">
      <c r="C14" s="1"/>
      <c r="D14" s="3"/>
      <c r="E14" s="3"/>
      <c r="F14" s="3"/>
      <c r="G14" s="3"/>
      <c r="H14" s="3"/>
      <c r="I14" s="3"/>
    </row>
    <row r="15" spans="1:18" ht="15" thickBot="1" x14ac:dyDescent="0.35">
      <c r="C15" s="1"/>
      <c r="D15" s="1"/>
      <c r="E15" s="1"/>
      <c r="F15" s="1"/>
      <c r="G15" s="1"/>
      <c r="H15" s="1"/>
      <c r="I15" s="1"/>
    </row>
    <row r="16" spans="1:18" ht="15" thickTop="1" x14ac:dyDescent="0.3">
      <c r="C16" s="1"/>
      <c r="D16" s="3"/>
      <c r="E16" s="3"/>
      <c r="F16" s="3"/>
      <c r="G16" s="3"/>
      <c r="H16" s="3"/>
      <c r="I16" s="3"/>
    </row>
    <row r="17" spans="3:9" x14ac:dyDescent="0.3">
      <c r="C17" s="2"/>
      <c r="D17" s="1"/>
      <c r="E17" s="4"/>
      <c r="F17" s="1"/>
      <c r="G17" s="1"/>
      <c r="H17" s="1"/>
      <c r="I17" s="1"/>
    </row>
    <row r="18" spans="3:9" x14ac:dyDescent="0.3">
      <c r="C18" s="1"/>
      <c r="D18" s="1"/>
      <c r="E18" s="1"/>
      <c r="F18" s="1"/>
      <c r="G18" s="1"/>
      <c r="H18" s="1"/>
      <c r="I18" s="1"/>
    </row>
    <row r="19" spans="3:9" x14ac:dyDescent="0.3">
      <c r="C19" s="1"/>
      <c r="D19" s="1"/>
      <c r="E19" s="1"/>
      <c r="F19" s="1"/>
      <c r="G19" s="1"/>
      <c r="H19" s="1"/>
      <c r="I19" s="1"/>
    </row>
    <row r="20" spans="3:9" x14ac:dyDescent="0.3">
      <c r="C20" s="2"/>
      <c r="D20" s="1"/>
      <c r="E20" s="1"/>
      <c r="F20" s="1"/>
      <c r="G20" s="1"/>
      <c r="H20" s="1"/>
      <c r="I20" s="1"/>
    </row>
    <row r="21" spans="3:9" x14ac:dyDescent="0.3">
      <c r="C21" s="1"/>
      <c r="D21" s="1"/>
      <c r="E21" s="1"/>
      <c r="F21" s="1"/>
      <c r="G21" s="1"/>
      <c r="H21" s="1"/>
      <c r="I21" s="1"/>
    </row>
    <row r="22" spans="3:9" x14ac:dyDescent="0.3">
      <c r="C22" s="1"/>
      <c r="D22" s="1"/>
      <c r="E22" s="1"/>
      <c r="F22" s="1"/>
      <c r="G22" s="1"/>
      <c r="H22" s="1"/>
      <c r="I22" s="1"/>
    </row>
    <row r="23" spans="3:9" x14ac:dyDescent="0.3">
      <c r="C23" s="1"/>
      <c r="D23" s="1"/>
      <c r="E23" s="1"/>
      <c r="F23" s="1"/>
      <c r="G23" s="1"/>
      <c r="H23" s="1"/>
      <c r="I23" s="1"/>
    </row>
    <row r="39" spans="19:21" x14ac:dyDescent="0.3">
      <c r="S39" t="s">
        <v>26</v>
      </c>
      <c r="U39" t="s">
        <v>27</v>
      </c>
    </row>
    <row r="40" spans="19:21" x14ac:dyDescent="0.3">
      <c r="U40" t="s">
        <v>28</v>
      </c>
    </row>
    <row r="42" spans="19:21" x14ac:dyDescent="0.3">
      <c r="U42" s="20" t="s">
        <v>29</v>
      </c>
    </row>
  </sheetData>
  <hyperlinks>
    <hyperlink ref="U42" r:id="rId1" location=":~:text=Facebook%20FB%20%2D2.88%25%20may%20have,for%20Instagram%20two%20years%20prior." xr:uid="{413ED8F8-E2B4-4D6E-9CF9-E2D6B598D7B2}"/>
  </hyperlinks>
  <pageMargins left="0.7" right="0.7" top="0.75" bottom="0.75" header="0.3" footer="0.3"/>
  <pageSetup orientation="portrait" horizontalDpi="4294967293" verticalDpi="4294967293"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E4566-0545-4DD0-99A0-E41DBDFF9EEC}">
  <dimension ref="A1:J21"/>
  <sheetViews>
    <sheetView workbookViewId="0">
      <selection activeCell="A2" sqref="A2:J7"/>
    </sheetView>
  </sheetViews>
  <sheetFormatPr defaultRowHeight="14.4" x14ac:dyDescent="0.3"/>
  <sheetData>
    <row r="1" spans="1:10" x14ac:dyDescent="0.3">
      <c r="A1" t="s">
        <v>33</v>
      </c>
    </row>
    <row r="2" spans="1:10" x14ac:dyDescent="0.3">
      <c r="A2" s="111" t="s">
        <v>32</v>
      </c>
      <c r="B2" s="111"/>
      <c r="C2" s="111"/>
      <c r="D2" s="111"/>
      <c r="E2" s="111"/>
      <c r="F2" s="111"/>
      <c r="G2" s="111"/>
      <c r="H2" s="111"/>
      <c r="I2" s="111"/>
      <c r="J2" s="111"/>
    </row>
    <row r="3" spans="1:10" x14ac:dyDescent="0.3">
      <c r="A3" s="111"/>
      <c r="B3" s="111"/>
      <c r="C3" s="111"/>
      <c r="D3" s="111"/>
      <c r="E3" s="111"/>
      <c r="F3" s="111"/>
      <c r="G3" s="111"/>
      <c r="H3" s="111"/>
      <c r="I3" s="111"/>
      <c r="J3" s="111"/>
    </row>
    <row r="4" spans="1:10" x14ac:dyDescent="0.3">
      <c r="A4" s="111"/>
      <c r="B4" s="111"/>
      <c r="C4" s="111"/>
      <c r="D4" s="111"/>
      <c r="E4" s="111"/>
      <c r="F4" s="111"/>
      <c r="G4" s="111"/>
      <c r="H4" s="111"/>
      <c r="I4" s="111"/>
      <c r="J4" s="111"/>
    </row>
    <row r="5" spans="1:10" x14ac:dyDescent="0.3">
      <c r="A5" s="111"/>
      <c r="B5" s="111"/>
      <c r="C5" s="111"/>
      <c r="D5" s="111"/>
      <c r="E5" s="111"/>
      <c r="F5" s="111"/>
      <c r="G5" s="111"/>
      <c r="H5" s="111"/>
      <c r="I5" s="111"/>
      <c r="J5" s="111"/>
    </row>
    <row r="6" spans="1:10" x14ac:dyDescent="0.3">
      <c r="A6" s="111"/>
      <c r="B6" s="111"/>
      <c r="C6" s="111"/>
      <c r="D6" s="111"/>
      <c r="E6" s="111"/>
      <c r="F6" s="111"/>
      <c r="G6" s="111"/>
      <c r="H6" s="111"/>
      <c r="I6" s="111"/>
      <c r="J6" s="111"/>
    </row>
    <row r="7" spans="1:10" x14ac:dyDescent="0.3">
      <c r="A7" s="111"/>
      <c r="B7" s="111"/>
      <c r="C7" s="111"/>
      <c r="D7" s="111"/>
      <c r="E7" s="111"/>
      <c r="F7" s="111"/>
      <c r="G7" s="111"/>
      <c r="H7" s="111"/>
      <c r="I7" s="111"/>
      <c r="J7" s="111"/>
    </row>
    <row r="9" spans="1:10" x14ac:dyDescent="0.3">
      <c r="A9" s="111" t="s">
        <v>34</v>
      </c>
      <c r="B9" s="111"/>
      <c r="C9" s="111"/>
      <c r="D9" s="111"/>
      <c r="E9" s="111"/>
      <c r="F9" s="111"/>
      <c r="G9" s="111"/>
      <c r="H9" s="111"/>
      <c r="I9" s="111"/>
      <c r="J9" s="111"/>
    </row>
    <row r="10" spans="1:10" x14ac:dyDescent="0.3">
      <c r="A10" s="111"/>
      <c r="B10" s="111"/>
      <c r="C10" s="111"/>
      <c r="D10" s="111"/>
      <c r="E10" s="111"/>
      <c r="F10" s="111"/>
      <c r="G10" s="111"/>
      <c r="H10" s="111"/>
      <c r="I10" s="111"/>
      <c r="J10" s="111"/>
    </row>
    <row r="11" spans="1:10" x14ac:dyDescent="0.3">
      <c r="A11" s="111"/>
      <c r="B11" s="111"/>
      <c r="C11" s="111"/>
      <c r="D11" s="111"/>
      <c r="E11" s="111"/>
      <c r="F11" s="111"/>
      <c r="G11" s="111"/>
      <c r="H11" s="111"/>
      <c r="I11" s="111"/>
      <c r="J11" s="111"/>
    </row>
    <row r="12" spans="1:10" x14ac:dyDescent="0.3">
      <c r="A12" s="111"/>
      <c r="B12" s="111"/>
      <c r="C12" s="111"/>
      <c r="D12" s="111"/>
      <c r="E12" s="111"/>
      <c r="F12" s="111"/>
      <c r="G12" s="111"/>
      <c r="H12" s="111"/>
      <c r="I12" s="111"/>
      <c r="J12" s="111"/>
    </row>
    <row r="13" spans="1:10" x14ac:dyDescent="0.3">
      <c r="A13" s="111"/>
      <c r="B13" s="111"/>
      <c r="C13" s="111"/>
      <c r="D13" s="111"/>
      <c r="E13" s="111"/>
      <c r="F13" s="111"/>
      <c r="G13" s="111"/>
      <c r="H13" s="111"/>
      <c r="I13" s="111"/>
      <c r="J13" s="111"/>
    </row>
    <row r="14" spans="1:10" x14ac:dyDescent="0.3">
      <c r="A14" s="111"/>
      <c r="B14" s="111"/>
      <c r="C14" s="111"/>
      <c r="D14" s="111"/>
      <c r="E14" s="111"/>
      <c r="F14" s="111"/>
      <c r="G14" s="111"/>
      <c r="H14" s="111"/>
      <c r="I14" s="111"/>
      <c r="J14" s="111"/>
    </row>
    <row r="15" spans="1:10" x14ac:dyDescent="0.3">
      <c r="A15" s="111"/>
      <c r="B15" s="111"/>
      <c r="C15" s="111"/>
      <c r="D15" s="111"/>
      <c r="E15" s="111"/>
      <c r="F15" s="111"/>
      <c r="G15" s="111"/>
      <c r="H15" s="111"/>
      <c r="I15" s="111"/>
      <c r="J15" s="111"/>
    </row>
    <row r="17" spans="1:10" x14ac:dyDescent="0.3">
      <c r="A17" s="111" t="s">
        <v>35</v>
      </c>
      <c r="B17" s="111"/>
      <c r="C17" s="111"/>
      <c r="D17" s="111"/>
      <c r="E17" s="111"/>
      <c r="F17" s="111"/>
      <c r="G17" s="111"/>
      <c r="H17" s="111"/>
      <c r="I17" s="111"/>
      <c r="J17" s="111"/>
    </row>
    <row r="18" spans="1:10" x14ac:dyDescent="0.3">
      <c r="A18" s="111"/>
      <c r="B18" s="111"/>
      <c r="C18" s="111"/>
      <c r="D18" s="111"/>
      <c r="E18" s="111"/>
      <c r="F18" s="111"/>
      <c r="G18" s="111"/>
      <c r="H18" s="111"/>
      <c r="I18" s="111"/>
      <c r="J18" s="111"/>
    </row>
    <row r="19" spans="1:10" x14ac:dyDescent="0.3">
      <c r="A19" s="111"/>
      <c r="B19" s="111"/>
      <c r="C19" s="111"/>
      <c r="D19" s="111"/>
      <c r="E19" s="111"/>
      <c r="F19" s="111"/>
      <c r="G19" s="111"/>
      <c r="H19" s="111"/>
      <c r="I19" s="111"/>
      <c r="J19" s="111"/>
    </row>
    <row r="20" spans="1:10" x14ac:dyDescent="0.3">
      <c r="A20" s="111"/>
      <c r="B20" s="111"/>
      <c r="C20" s="111"/>
      <c r="D20" s="111"/>
      <c r="E20" s="111"/>
      <c r="F20" s="111"/>
      <c r="G20" s="111"/>
      <c r="H20" s="111"/>
      <c r="I20" s="111"/>
      <c r="J20" s="111"/>
    </row>
    <row r="21" spans="1:10" x14ac:dyDescent="0.3">
      <c r="A21" s="111"/>
      <c r="B21" s="111"/>
      <c r="C21" s="111"/>
      <c r="D21" s="111"/>
      <c r="E21" s="111"/>
      <c r="F21" s="111"/>
      <c r="G21" s="111"/>
      <c r="H21" s="111"/>
      <c r="I21" s="111"/>
      <c r="J21" s="111"/>
    </row>
  </sheetData>
  <mergeCells count="4">
    <mergeCell ref="A2:J7"/>
    <mergeCell ref="A9:J14"/>
    <mergeCell ref="A15:J15"/>
    <mergeCell ref="A17:J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A88C-EC02-4A6D-BF48-5AC651F8A00B}">
  <dimension ref="A1:R26"/>
  <sheetViews>
    <sheetView workbookViewId="0">
      <selection activeCell="L16" sqref="L16"/>
    </sheetView>
  </sheetViews>
  <sheetFormatPr defaultRowHeight="14.4" x14ac:dyDescent="0.3"/>
  <cols>
    <col min="1" max="1" width="17.88671875" bestFit="1" customWidth="1"/>
    <col min="4" max="4" width="12.88671875" customWidth="1"/>
    <col min="5" max="5" width="12.77734375" customWidth="1"/>
    <col min="6" max="6" width="11.5546875" customWidth="1"/>
    <col min="7" max="7" width="11.44140625" customWidth="1"/>
    <col min="8" max="8" width="14.33203125" customWidth="1"/>
    <col min="9" max="9" width="17.6640625" customWidth="1"/>
    <col min="13" max="14" width="10.5546875" bestFit="1" customWidth="1"/>
    <col min="15" max="17" width="11.109375" bestFit="1" customWidth="1"/>
    <col min="18" max="18" width="11.5546875" bestFit="1" customWidth="1"/>
  </cols>
  <sheetData>
    <row r="1" spans="1:18" x14ac:dyDescent="0.3">
      <c r="A1" s="9" t="s">
        <v>4</v>
      </c>
      <c r="B1" s="9"/>
      <c r="C1" s="9"/>
      <c r="D1" s="9"/>
      <c r="E1" s="9"/>
      <c r="F1" s="9"/>
      <c r="G1" s="9"/>
      <c r="H1" s="9"/>
      <c r="I1" s="9"/>
      <c r="J1" s="9"/>
      <c r="K1" s="9"/>
      <c r="L1" s="9"/>
    </row>
    <row r="2" spans="1:18" ht="52.2" x14ac:dyDescent="0.3">
      <c r="A2" s="10" t="s">
        <v>5</v>
      </c>
      <c r="B2" s="11" t="s">
        <v>6</v>
      </c>
      <c r="C2" s="11" t="s">
        <v>7</v>
      </c>
      <c r="D2" s="11" t="s">
        <v>8</v>
      </c>
      <c r="E2" s="11" t="s">
        <v>9</v>
      </c>
      <c r="F2" s="11" t="s">
        <v>10</v>
      </c>
      <c r="G2" s="11" t="s">
        <v>11</v>
      </c>
      <c r="H2" s="11" t="s">
        <v>12</v>
      </c>
      <c r="I2" s="11" t="s">
        <v>13</v>
      </c>
      <c r="J2" s="11" t="s">
        <v>14</v>
      </c>
      <c r="K2" s="11" t="s">
        <v>15</v>
      </c>
      <c r="L2" s="11" t="s">
        <v>16</v>
      </c>
    </row>
    <row r="3" spans="1:18" x14ac:dyDescent="0.3">
      <c r="A3" s="12" t="s">
        <v>17</v>
      </c>
      <c r="B3" s="13" t="s">
        <v>18</v>
      </c>
      <c r="C3" s="13" t="s">
        <v>18</v>
      </c>
      <c r="D3" s="13" t="s">
        <v>18</v>
      </c>
      <c r="E3" s="13" t="s">
        <v>18</v>
      </c>
      <c r="F3" s="13" t="s">
        <v>18</v>
      </c>
      <c r="G3" s="13" t="s">
        <v>18</v>
      </c>
      <c r="H3" s="13" t="s">
        <v>18</v>
      </c>
      <c r="I3" s="13" t="s">
        <v>18</v>
      </c>
      <c r="J3" s="13" t="s">
        <v>18</v>
      </c>
      <c r="K3" s="13" t="s">
        <v>18</v>
      </c>
      <c r="L3" s="13" t="s">
        <v>18</v>
      </c>
    </row>
    <row r="4" spans="1:18" x14ac:dyDescent="0.3">
      <c r="A4" s="14" t="s">
        <v>19</v>
      </c>
      <c r="B4" s="6"/>
      <c r="C4" s="6"/>
      <c r="D4" s="6"/>
      <c r="E4" s="6"/>
      <c r="F4" s="6"/>
      <c r="G4" s="6"/>
      <c r="H4" s="6"/>
      <c r="I4" s="6"/>
      <c r="J4" s="6"/>
      <c r="K4" s="6"/>
      <c r="L4" s="6"/>
    </row>
    <row r="5" spans="1:18" x14ac:dyDescent="0.3">
      <c r="A5" s="6" t="s">
        <v>20</v>
      </c>
      <c r="B5" s="7">
        <v>777</v>
      </c>
      <c r="C5" s="7">
        <v>1974</v>
      </c>
      <c r="D5" s="7">
        <v>3711</v>
      </c>
      <c r="E5" s="7">
        <v>5089</v>
      </c>
      <c r="F5" s="7">
        <v>7872</v>
      </c>
      <c r="G5" s="7">
        <v>12466</v>
      </c>
      <c r="H5" s="7">
        <v>17928</v>
      </c>
      <c r="I5" s="7">
        <v>27638</v>
      </c>
      <c r="J5" s="7">
        <v>40653</v>
      </c>
      <c r="K5" s="7">
        <v>55838</v>
      </c>
      <c r="L5" s="7">
        <v>62604</v>
      </c>
      <c r="M5" s="17">
        <f>L5*$L13</f>
        <v>88991.15619327419</v>
      </c>
      <c r="N5" s="17">
        <f t="shared" ref="N5:R5" si="0">M5*$L13</f>
        <v>126500.31756142936</v>
      </c>
      <c r="O5" s="17">
        <f t="shared" si="0"/>
        <v>179819.33292773541</v>
      </c>
      <c r="P5" s="17">
        <f t="shared" si="0"/>
        <v>255611.94721012196</v>
      </c>
      <c r="Q5" s="17">
        <f t="shared" si="0"/>
        <v>363350.62805959559</v>
      </c>
      <c r="R5" s="17">
        <f t="shared" si="0"/>
        <v>516500.42320899223</v>
      </c>
    </row>
    <row r="6" spans="1:18" x14ac:dyDescent="0.3">
      <c r="A6" s="6" t="s">
        <v>3</v>
      </c>
      <c r="B6" s="7">
        <v>87</v>
      </c>
      <c r="C6" s="7">
        <v>144</v>
      </c>
      <c r="D6" s="7">
        <v>388</v>
      </c>
      <c r="E6" s="7">
        <v>1399</v>
      </c>
      <c r="F6" s="7">
        <v>1415</v>
      </c>
      <c r="G6" s="7">
        <v>2666</v>
      </c>
      <c r="H6" s="7">
        <v>4816</v>
      </c>
      <c r="I6" s="7">
        <v>5919</v>
      </c>
      <c r="J6" s="7">
        <v>7754</v>
      </c>
      <c r="K6" s="7">
        <v>10273</v>
      </c>
      <c r="L6" s="15">
        <v>13600</v>
      </c>
      <c r="M6" s="16">
        <f t="shared" ref="M6:R6" si="1">L6*$L16</f>
        <v>17946.296290832495</v>
      </c>
      <c r="N6" s="16">
        <f t="shared" si="1"/>
        <v>23681.584599878544</v>
      </c>
      <c r="O6" s="16">
        <f t="shared" si="1"/>
        <v>31249.759843076197</v>
      </c>
      <c r="P6" s="16">
        <f t="shared" si="1"/>
        <v>41236.577144206225</v>
      </c>
      <c r="Q6" s="16">
        <f t="shared" si="1"/>
        <v>54414.987606595314</v>
      </c>
      <c r="R6" s="16">
        <f t="shared" si="1"/>
        <v>71804.962518377768</v>
      </c>
    </row>
    <row r="7" spans="1:18" x14ac:dyDescent="0.3">
      <c r="A7" t="s">
        <v>21</v>
      </c>
      <c r="B7">
        <f>B6/B5</f>
        <v>0.11196911196911197</v>
      </c>
      <c r="C7">
        <f t="shared" ref="C7:L7" si="2">C6/C5</f>
        <v>7.29483282674772E-2</v>
      </c>
      <c r="D7">
        <f t="shared" si="2"/>
        <v>0.10455402856372946</v>
      </c>
      <c r="E7">
        <f t="shared" si="2"/>
        <v>0.27490666142660641</v>
      </c>
      <c r="F7">
        <f t="shared" si="2"/>
        <v>0.1797510162601626</v>
      </c>
      <c r="G7">
        <f t="shared" si="2"/>
        <v>0.21386170383442965</v>
      </c>
      <c r="H7">
        <f t="shared" si="2"/>
        <v>0.26863007585899151</v>
      </c>
      <c r="I7">
        <f t="shared" si="2"/>
        <v>0.21416166148057023</v>
      </c>
      <c r="J7">
        <f t="shared" si="2"/>
        <v>0.19073623102846038</v>
      </c>
      <c r="K7">
        <f t="shared" si="2"/>
        <v>0.18397865253053475</v>
      </c>
      <c r="L7">
        <f t="shared" si="2"/>
        <v>0.21723851511085554</v>
      </c>
    </row>
    <row r="8" spans="1:18" x14ac:dyDescent="0.3">
      <c r="A8" t="s">
        <v>90</v>
      </c>
      <c r="C8">
        <f>C5/B5</f>
        <v>2.5405405405405403</v>
      </c>
      <c r="D8">
        <f t="shared" ref="D8:L8" si="3">D5/C5</f>
        <v>1.8799392097264438</v>
      </c>
      <c r="E8">
        <f t="shared" si="3"/>
        <v>1.3713284828887093</v>
      </c>
      <c r="F8">
        <f t="shared" si="3"/>
        <v>1.5468657889565729</v>
      </c>
      <c r="G8">
        <f t="shared" si="3"/>
        <v>1.5835873983739837</v>
      </c>
      <c r="H8">
        <f t="shared" si="3"/>
        <v>1.4381517728220761</v>
      </c>
      <c r="I8">
        <f t="shared" si="3"/>
        <v>1.5416108879964301</v>
      </c>
      <c r="J8">
        <f t="shared" si="3"/>
        <v>1.4709096171937188</v>
      </c>
      <c r="K8">
        <f t="shared" si="3"/>
        <v>1.37352716896662</v>
      </c>
      <c r="L8">
        <f t="shared" si="3"/>
        <v>1.1211719617464808</v>
      </c>
    </row>
    <row r="9" spans="1:18" s="8" customFormat="1" ht="10.199999999999999" x14ac:dyDescent="0.2">
      <c r="A9" s="8" t="s">
        <v>89</v>
      </c>
      <c r="C9" s="8">
        <f>C6/B6</f>
        <v>1.6551724137931034</v>
      </c>
      <c r="D9" s="8">
        <f t="shared" ref="D9:L9" si="4">D6/C6</f>
        <v>2.6944444444444446</v>
      </c>
      <c r="E9" s="8">
        <f t="shared" si="4"/>
        <v>3.6056701030927836</v>
      </c>
      <c r="F9" s="8">
        <f t="shared" si="4"/>
        <v>1.0114367405289493</v>
      </c>
      <c r="G9" s="8">
        <f t="shared" si="4"/>
        <v>1.8840989399293286</v>
      </c>
      <c r="H9" s="8">
        <f t="shared" si="4"/>
        <v>1.8064516129032258</v>
      </c>
      <c r="I9" s="8">
        <f t="shared" si="4"/>
        <v>1.2290282392026579</v>
      </c>
      <c r="J9" s="8">
        <f t="shared" si="4"/>
        <v>1.3100185842203076</v>
      </c>
      <c r="K9" s="8">
        <f t="shared" si="4"/>
        <v>1.3248645860201187</v>
      </c>
      <c r="L9" s="8">
        <f t="shared" si="4"/>
        <v>1.3238586586196828</v>
      </c>
    </row>
    <row r="12" spans="1:18" x14ac:dyDescent="0.3">
      <c r="L12" t="s">
        <v>23</v>
      </c>
    </row>
    <row r="13" spans="1:18" x14ac:dyDescent="0.3">
      <c r="L13">
        <f>AVERAGE(G8:L8)</f>
        <v>1.4214931345165516</v>
      </c>
    </row>
    <row r="15" spans="1:18" x14ac:dyDescent="0.3">
      <c r="L15" t="s">
        <v>25</v>
      </c>
    </row>
    <row r="16" spans="1:18" x14ac:dyDescent="0.3">
      <c r="L16">
        <f>AVERAGE(J9:L9)</f>
        <v>1.3195806096200364</v>
      </c>
    </row>
    <row r="19" spans="1:8" x14ac:dyDescent="0.3">
      <c r="H19">
        <f>5.5/3</f>
        <v>1.8333333333333333</v>
      </c>
    </row>
    <row r="25" spans="1:8" x14ac:dyDescent="0.3">
      <c r="A25" s="37" t="s">
        <v>91</v>
      </c>
    </row>
    <row r="26" spans="1:8" x14ac:dyDescent="0.3">
      <c r="A26"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44F0C-464B-44F3-B206-4807E19DA109}">
  <dimension ref="A2:S101"/>
  <sheetViews>
    <sheetView zoomScale="70" zoomScaleNormal="70" workbookViewId="0">
      <selection activeCell="A8" sqref="A8:F8"/>
    </sheetView>
  </sheetViews>
  <sheetFormatPr defaultRowHeight="14.4" x14ac:dyDescent="0.3"/>
  <cols>
    <col min="1" max="1" width="43.21875" bestFit="1" customWidth="1"/>
    <col min="2" max="2" width="23.88671875" bestFit="1" customWidth="1"/>
    <col min="3" max="3" width="22.77734375" bestFit="1" customWidth="1"/>
    <col min="4" max="4" width="24.5546875" bestFit="1" customWidth="1"/>
    <col min="5" max="5" width="26.6640625" customWidth="1"/>
    <col min="6" max="6" width="25.77734375" bestFit="1" customWidth="1"/>
    <col min="7" max="7" width="30.21875" customWidth="1"/>
    <col min="8" max="8" width="26.88671875" bestFit="1" customWidth="1"/>
    <col min="9" max="9" width="26.109375" bestFit="1" customWidth="1"/>
    <col min="10" max="10" width="29.88671875" customWidth="1"/>
    <col min="11" max="11" width="25.77734375" bestFit="1" customWidth="1"/>
    <col min="12" max="12" width="26.88671875" bestFit="1" customWidth="1"/>
    <col min="13" max="13" width="27.44140625" bestFit="1" customWidth="1"/>
  </cols>
  <sheetData>
    <row r="2" spans="1:13" x14ac:dyDescent="0.3">
      <c r="I2" s="1">
        <f>2000000000/G46</f>
        <v>2.2677267934576351E-2</v>
      </c>
    </row>
    <row r="6" spans="1:13" ht="15" thickBot="1" x14ac:dyDescent="0.35">
      <c r="G6" s="24"/>
    </row>
    <row r="7" spans="1:13" ht="15" thickTop="1" x14ac:dyDescent="0.3">
      <c r="A7" s="60"/>
      <c r="B7" s="61" t="s">
        <v>78</v>
      </c>
      <c r="C7" s="62">
        <v>2016</v>
      </c>
      <c r="D7" s="62">
        <v>2017</v>
      </c>
      <c r="E7" s="62">
        <v>2018</v>
      </c>
      <c r="F7" s="62">
        <v>2019</v>
      </c>
      <c r="G7" s="62">
        <v>2020</v>
      </c>
      <c r="H7" s="62">
        <v>2021</v>
      </c>
      <c r="I7" s="62">
        <v>2022</v>
      </c>
      <c r="J7" s="62">
        <v>2023</v>
      </c>
      <c r="K7" s="62">
        <v>2024</v>
      </c>
      <c r="L7" s="63">
        <v>2025</v>
      </c>
    </row>
    <row r="8" spans="1:13" x14ac:dyDescent="0.3">
      <c r="A8" s="64" t="s">
        <v>106</v>
      </c>
      <c r="B8" s="94">
        <v>-3000000000</v>
      </c>
      <c r="C8" s="94">
        <v>-700000</v>
      </c>
      <c r="D8" s="94">
        <v>-13400000</v>
      </c>
      <c r="E8" s="94">
        <v>-88300000</v>
      </c>
      <c r="F8" s="94">
        <v>-515000000</v>
      </c>
      <c r="G8" s="94"/>
      <c r="H8" s="94"/>
      <c r="I8" s="94"/>
      <c r="J8" s="94"/>
      <c r="K8" s="94"/>
      <c r="L8" s="95"/>
    </row>
    <row r="9" spans="1:13" x14ac:dyDescent="0.3">
      <c r="A9" s="64" t="s">
        <v>105</v>
      </c>
      <c r="B9" s="38"/>
      <c r="C9" s="40">
        <v>5919000000</v>
      </c>
      <c r="D9" s="40">
        <v>7754000000</v>
      </c>
      <c r="E9" s="40">
        <v>10273000000</v>
      </c>
      <c r="F9" s="40">
        <v>13600000000</v>
      </c>
      <c r="G9" s="99">
        <f>F9+(F9*AVERAGE(D10:F10))</f>
        <v>17946296290.832493</v>
      </c>
      <c r="H9" s="99">
        <f>G9+(G9*AVERAGE(E10:G10))</f>
        <v>23738785580.199867</v>
      </c>
      <c r="I9" s="99">
        <f>H9+(H9*AVERAGE(F10:H10))</f>
        <v>31384314251.380486</v>
      </c>
      <c r="J9" s="99">
        <f t="shared" ref="J9:L9" si="0">I9+(I9*AVERAGE(G10:I10))</f>
        <v>41473509619.108719</v>
      </c>
      <c r="K9" s="99">
        <f t="shared" si="0"/>
        <v>54832259359.529564</v>
      </c>
      <c r="L9" s="100">
        <f t="shared" si="0"/>
        <v>72481754875.821671</v>
      </c>
    </row>
    <row r="10" spans="1:13" x14ac:dyDescent="0.3">
      <c r="A10" s="68" t="s">
        <v>107</v>
      </c>
      <c r="B10" s="38"/>
      <c r="C10" s="40"/>
      <c r="D10" s="42">
        <f>(D9-C9)/C9</f>
        <v>0.31001858422030748</v>
      </c>
      <c r="E10" s="42">
        <f t="shared" ref="E10:I10" si="1">(E9-D9)/D9</f>
        <v>0.32486458602011864</v>
      </c>
      <c r="F10" s="42">
        <f t="shared" si="1"/>
        <v>0.32385865861968266</v>
      </c>
      <c r="G10" s="42">
        <f t="shared" si="1"/>
        <v>0.31958060962003626</v>
      </c>
      <c r="H10" s="42">
        <f t="shared" si="1"/>
        <v>0.32276795141994574</v>
      </c>
      <c r="I10" s="42">
        <f t="shared" si="1"/>
        <v>0.32206907321988826</v>
      </c>
      <c r="J10" s="42">
        <f t="shared" ref="J10" si="2">(J9-I9)/I9</f>
        <v>0.32147254475329012</v>
      </c>
      <c r="K10" s="42">
        <f t="shared" ref="K10" si="3">(K9-J9)/J9</f>
        <v>0.32210318979770802</v>
      </c>
      <c r="L10" s="73">
        <f t="shared" ref="L10" si="4">(L9-K9)/K9</f>
        <v>0.32188160259029552</v>
      </c>
      <c r="M10" t="s">
        <v>113</v>
      </c>
    </row>
    <row r="11" spans="1:13" x14ac:dyDescent="0.3">
      <c r="A11" s="64" t="s">
        <v>110</v>
      </c>
      <c r="B11" s="39"/>
      <c r="C11" s="94">
        <f t="shared" ref="C11:L11" si="5">C12*C9*-1</f>
        <v>-355140000</v>
      </c>
      <c r="D11" s="94">
        <f t="shared" si="5"/>
        <v>-441977999.99999994</v>
      </c>
      <c r="E11" s="94">
        <f t="shared" si="5"/>
        <v>-556282950</v>
      </c>
      <c r="F11" s="94">
        <f t="shared" si="5"/>
        <v>-699617999.99999988</v>
      </c>
      <c r="G11" s="94">
        <f t="shared" si="5"/>
        <v>-877042229.59409285</v>
      </c>
      <c r="H11" s="94">
        <f t="shared" si="5"/>
        <v>-1102117185.6815119</v>
      </c>
      <c r="I11" s="94">
        <f t="shared" si="5"/>
        <v>-1384221293.9409845</v>
      </c>
      <c r="J11" s="94">
        <f t="shared" si="5"/>
        <v>-1737749914.0155907</v>
      </c>
      <c r="K11" s="94">
        <f t="shared" si="5"/>
        <v>-2182610469.1711702</v>
      </c>
      <c r="L11" s="95">
        <f t="shared" si="5"/>
        <v>-2740894993.577426</v>
      </c>
    </row>
    <row r="12" spans="1:13" x14ac:dyDescent="0.3">
      <c r="A12" s="64" t="s">
        <v>111</v>
      </c>
      <c r="B12" s="42"/>
      <c r="C12" s="101">
        <v>0.06</v>
      </c>
      <c r="D12" s="101">
        <f>C12-(C12*0.05)</f>
        <v>5.6999999999999995E-2</v>
      </c>
      <c r="E12" s="101">
        <f t="shared" ref="E12:L12" si="6">D12-(D12*0.05)</f>
        <v>5.4149999999999997E-2</v>
      </c>
      <c r="F12" s="101">
        <f t="shared" si="6"/>
        <v>5.1442499999999995E-2</v>
      </c>
      <c r="G12" s="101">
        <f t="shared" si="6"/>
        <v>4.8870374999999994E-2</v>
      </c>
      <c r="H12" s="101">
        <f t="shared" si="6"/>
        <v>4.6426856249999995E-2</v>
      </c>
      <c r="I12" s="101">
        <f t="shared" si="6"/>
        <v>4.4105513437499994E-2</v>
      </c>
      <c r="J12" s="101">
        <f t="shared" si="6"/>
        <v>4.1900237765624994E-2</v>
      </c>
      <c r="K12" s="101">
        <f t="shared" si="6"/>
        <v>3.9805225877343746E-2</v>
      </c>
      <c r="L12" s="101">
        <f t="shared" si="6"/>
        <v>3.7814964583476558E-2</v>
      </c>
      <c r="M12" t="s">
        <v>114</v>
      </c>
    </row>
    <row r="13" spans="1:13" x14ac:dyDescent="0.3">
      <c r="A13" s="64"/>
      <c r="B13" s="39"/>
      <c r="C13" s="39"/>
      <c r="D13" s="39"/>
      <c r="E13" s="39"/>
      <c r="F13" s="39"/>
      <c r="G13" s="39"/>
      <c r="H13" s="39"/>
      <c r="I13" s="39"/>
      <c r="J13" s="39"/>
      <c r="K13" s="39"/>
      <c r="L13" s="65"/>
    </row>
    <row r="14" spans="1:13" x14ac:dyDescent="0.3">
      <c r="A14" s="64" t="s">
        <v>66</v>
      </c>
      <c r="B14" s="40"/>
      <c r="C14" s="40">
        <f>SUM(C15:C17)</f>
        <v>355088</v>
      </c>
      <c r="D14" s="40">
        <f>SUM(D15:D17)</f>
        <v>526000</v>
      </c>
      <c r="E14" s="40">
        <f>SUM(E15:E17)</f>
        <v>715000</v>
      </c>
      <c r="F14" s="40">
        <f>SUM(F15:F17)</f>
        <v>1083000</v>
      </c>
      <c r="G14" s="40">
        <f>SUM(G15:G17)</f>
        <v>1440000</v>
      </c>
      <c r="H14" s="99">
        <f>G14+(G14*H22)</f>
        <v>2016000</v>
      </c>
      <c r="I14" s="99">
        <f t="shared" ref="I14:L14" si="7">H14+(H14*I22)</f>
        <v>2923200</v>
      </c>
      <c r="J14" s="99">
        <f t="shared" si="7"/>
        <v>4238640</v>
      </c>
      <c r="K14" s="99">
        <f t="shared" si="7"/>
        <v>5510232</v>
      </c>
      <c r="L14" s="100">
        <f t="shared" si="7"/>
        <v>7163301.5999999996</v>
      </c>
    </row>
    <row r="15" spans="1:13" x14ac:dyDescent="0.3">
      <c r="A15" s="66" t="s">
        <v>65</v>
      </c>
      <c r="B15" s="38"/>
      <c r="C15" s="38" t="s">
        <v>73</v>
      </c>
      <c r="D15" s="38"/>
      <c r="E15" s="38" t="s">
        <v>73</v>
      </c>
      <c r="F15" s="40">
        <v>470000</v>
      </c>
      <c r="G15" s="38">
        <v>1110000</v>
      </c>
      <c r="H15" s="41"/>
      <c r="I15" s="41"/>
      <c r="J15" s="41"/>
      <c r="K15" s="41"/>
      <c r="L15" s="67"/>
    </row>
    <row r="16" spans="1:13" x14ac:dyDescent="0.3">
      <c r="A16" s="66" t="s">
        <v>97</v>
      </c>
      <c r="B16" s="40"/>
      <c r="C16" s="40">
        <v>355088</v>
      </c>
      <c r="D16" s="40">
        <v>326000</v>
      </c>
      <c r="E16" s="40">
        <v>160000</v>
      </c>
      <c r="F16" s="40">
        <v>193000</v>
      </c>
      <c r="G16" s="40">
        <v>140000</v>
      </c>
      <c r="H16" s="41"/>
      <c r="I16" s="41"/>
      <c r="J16" s="41"/>
      <c r="K16" s="41"/>
      <c r="L16" s="67"/>
    </row>
    <row r="17" spans="1:15" x14ac:dyDescent="0.3">
      <c r="A17" s="66" t="s">
        <v>68</v>
      </c>
      <c r="B17" s="40"/>
      <c r="C17" s="40"/>
      <c r="D17" s="38">
        <v>200000</v>
      </c>
      <c r="E17" s="40">
        <v>555000</v>
      </c>
      <c r="F17" s="40">
        <v>420000</v>
      </c>
      <c r="G17" s="40">
        <f>55000+50000+45000+40000</f>
        <v>190000</v>
      </c>
      <c r="H17" s="41"/>
      <c r="I17" s="41"/>
      <c r="J17" s="41"/>
      <c r="K17" s="41"/>
      <c r="L17" s="67"/>
    </row>
    <row r="18" spans="1:15" x14ac:dyDescent="0.3">
      <c r="A18" s="66" t="s">
        <v>134</v>
      </c>
      <c r="B18" s="40"/>
      <c r="C18" s="40"/>
      <c r="D18" s="38">
        <v>43000000</v>
      </c>
      <c r="E18" s="40">
        <v>90000000</v>
      </c>
      <c r="F18" s="40">
        <v>171000000</v>
      </c>
      <c r="G18" s="40"/>
      <c r="H18" s="41"/>
      <c r="I18" s="41"/>
      <c r="J18" s="41"/>
      <c r="K18" s="41"/>
      <c r="L18" s="67"/>
    </row>
    <row r="19" spans="1:15" x14ac:dyDescent="0.3">
      <c r="A19" s="66" t="s">
        <v>135</v>
      </c>
      <c r="B19" s="40"/>
      <c r="C19" s="40"/>
      <c r="D19" s="38"/>
      <c r="E19" s="40">
        <f>E18*0.194</f>
        <v>17460000</v>
      </c>
      <c r="F19" s="40">
        <f>F18*0.283</f>
        <v>48392999.999999993</v>
      </c>
      <c r="G19" s="40"/>
      <c r="H19" s="41"/>
      <c r="I19" s="41"/>
      <c r="J19" s="41"/>
      <c r="K19" s="41"/>
      <c r="L19" s="67"/>
    </row>
    <row r="20" spans="1:15" x14ac:dyDescent="0.3">
      <c r="A20" s="68" t="s">
        <v>77</v>
      </c>
      <c r="B20" s="42"/>
      <c r="C20" s="43">
        <f>C14</f>
        <v>355088</v>
      </c>
      <c r="D20" s="43">
        <f>C20*0.85+D14*0.5</f>
        <v>564824.80000000005</v>
      </c>
      <c r="E20" s="43">
        <f t="shared" ref="E20" si="8">D20*0.85+E14*0.5</f>
        <v>837601.08000000007</v>
      </c>
      <c r="F20" s="43">
        <f>E20*0.65+F14*0.4</f>
        <v>977640.70200000005</v>
      </c>
      <c r="G20" s="43">
        <f>F20*0.7+G14*0.9</f>
        <v>1980348.4913999999</v>
      </c>
      <c r="H20" s="43">
        <f>G20*0.5+H14*0.9</f>
        <v>2804574.2456999999</v>
      </c>
      <c r="I20" s="43">
        <f t="shared" ref="I20:L20" si="9">H20*0.7+I14*0.9</f>
        <v>4594081.9719899995</v>
      </c>
      <c r="J20" s="43">
        <f t="shared" si="9"/>
        <v>7030633.3803929994</v>
      </c>
      <c r="K20" s="43">
        <f t="shared" si="9"/>
        <v>9880652.1662750989</v>
      </c>
      <c r="L20" s="69">
        <f t="shared" si="9"/>
        <v>13363427.956392568</v>
      </c>
      <c r="M20" t="s">
        <v>124</v>
      </c>
      <c r="O20" t="s">
        <v>137</v>
      </c>
    </row>
    <row r="21" spans="1:15" x14ac:dyDescent="0.3">
      <c r="A21" s="64"/>
      <c r="B21" s="38"/>
      <c r="C21" s="38"/>
      <c r="D21" s="38">
        <f>C20+D14</f>
        <v>881088</v>
      </c>
      <c r="E21" s="38">
        <f>D20+E14</f>
        <v>1279824.8</v>
      </c>
      <c r="F21" s="38">
        <f t="shared" ref="F21:K21" si="10">E20+F14</f>
        <v>1920601.08</v>
      </c>
      <c r="G21" s="38">
        <f t="shared" si="10"/>
        <v>2417640.702</v>
      </c>
      <c r="H21" s="38">
        <f t="shared" si="10"/>
        <v>3996348.4913999997</v>
      </c>
      <c r="I21" s="38">
        <f t="shared" si="10"/>
        <v>5727774.2456999999</v>
      </c>
      <c r="J21" s="38">
        <f t="shared" si="10"/>
        <v>8832721.9719900005</v>
      </c>
      <c r="K21" s="38">
        <f t="shared" si="10"/>
        <v>12540865.380392998</v>
      </c>
      <c r="L21" s="70">
        <f>K20+L14</f>
        <v>17043953.7662751</v>
      </c>
      <c r="M21" t="s">
        <v>136</v>
      </c>
      <c r="O21" t="s">
        <v>138</v>
      </c>
    </row>
    <row r="22" spans="1:15" x14ac:dyDescent="0.3">
      <c r="A22" s="71" t="s">
        <v>37</v>
      </c>
      <c r="B22" s="44"/>
      <c r="C22" s="39"/>
      <c r="D22" s="42">
        <f>(D14-C14)/C14</f>
        <v>0.48132293966566037</v>
      </c>
      <c r="E22" s="42">
        <f t="shared" ref="E22:G22" si="11">(E14-D14)/D14</f>
        <v>0.35931558935361219</v>
      </c>
      <c r="F22" s="42">
        <f t="shared" si="11"/>
        <v>0.51468531468531464</v>
      </c>
      <c r="G22" s="42">
        <f t="shared" si="11"/>
        <v>0.32963988919667592</v>
      </c>
      <c r="H22" s="102">
        <v>0.4</v>
      </c>
      <c r="I22" s="102">
        <v>0.45</v>
      </c>
      <c r="J22" s="102">
        <v>0.45</v>
      </c>
      <c r="K22" s="102">
        <v>0.3</v>
      </c>
      <c r="L22" s="103">
        <v>0.3</v>
      </c>
      <c r="M22" t="s">
        <v>115</v>
      </c>
    </row>
    <row r="23" spans="1:15" ht="13.8" hidden="1" customHeight="1" x14ac:dyDescent="0.3">
      <c r="A23" s="71" t="s">
        <v>38</v>
      </c>
      <c r="B23" s="44"/>
      <c r="C23" s="42">
        <v>0.4</v>
      </c>
      <c r="D23" s="42">
        <v>0.38</v>
      </c>
      <c r="E23" s="45">
        <v>0.25900000000000001</v>
      </c>
      <c r="F23" s="45">
        <v>0.34300000000000003</v>
      </c>
      <c r="G23" s="45">
        <v>0.34300000000000003</v>
      </c>
      <c r="H23" s="45">
        <v>0.34300000000000003</v>
      </c>
      <c r="I23" s="45">
        <v>0.34300000000000003</v>
      </c>
      <c r="J23" s="45">
        <v>0.34300000000000003</v>
      </c>
      <c r="K23" s="45">
        <v>0.34300000000000003</v>
      </c>
      <c r="L23" s="72">
        <v>0.34300000000000003</v>
      </c>
    </row>
    <row r="24" spans="1:15" x14ac:dyDescent="0.3">
      <c r="A24" s="64"/>
      <c r="B24" s="38"/>
      <c r="C24" s="39"/>
      <c r="D24" s="39"/>
      <c r="E24" s="39"/>
      <c r="F24" s="39"/>
      <c r="G24" s="39"/>
      <c r="H24" s="39"/>
      <c r="I24" s="39"/>
      <c r="J24" s="39"/>
      <c r="K24" s="39"/>
      <c r="L24" s="65"/>
    </row>
    <row r="25" spans="1:15" x14ac:dyDescent="0.3">
      <c r="A25" s="64" t="s">
        <v>39</v>
      </c>
      <c r="B25" s="38"/>
      <c r="C25" s="38">
        <v>600</v>
      </c>
      <c r="D25" s="38">
        <f>(D16/(D16+D17))*400+(D17/(D17+D16))*200</f>
        <v>323.95437262357416</v>
      </c>
      <c r="E25" s="38">
        <f>(E16/(E16+E17))*400+(E17/(E17+E16))*200</f>
        <v>244.75524475524475</v>
      </c>
      <c r="F25" s="38">
        <f>(F15/(SUM(F15:F17))*400)+ (F16/(SUM(F15:F17)))*400+(F17/(SUM(F15:F17))*200)</f>
        <v>322.4376731301939</v>
      </c>
      <c r="G25" s="38">
        <f>(G15/(SUM(G15:G17))*400)+ (G16/(SUM(G15:G17)))*400+(G17/(SUM(G15:G17))*200)</f>
        <v>373.6111111111112</v>
      </c>
      <c r="H25" s="104">
        <v>400</v>
      </c>
      <c r="I25" s="104">
        <f t="shared" ref="I25:L25" si="12">H25+(H25*I26)</f>
        <v>440</v>
      </c>
      <c r="J25" s="104">
        <f t="shared" si="12"/>
        <v>440</v>
      </c>
      <c r="K25" s="104">
        <f t="shared" si="12"/>
        <v>484</v>
      </c>
      <c r="L25" s="105">
        <f t="shared" si="12"/>
        <v>484</v>
      </c>
    </row>
    <row r="26" spans="1:15" x14ac:dyDescent="0.3">
      <c r="A26" s="64" t="s">
        <v>37</v>
      </c>
      <c r="B26" s="38"/>
      <c r="C26" s="39"/>
      <c r="D26" s="45">
        <v>0.16700000000000001</v>
      </c>
      <c r="E26" s="42">
        <v>-0.05</v>
      </c>
      <c r="F26" s="42">
        <v>-0.05</v>
      </c>
      <c r="G26" s="42">
        <v>-0.05</v>
      </c>
      <c r="H26" s="42"/>
      <c r="I26" s="42">
        <v>0.1</v>
      </c>
      <c r="J26" s="42">
        <v>0</v>
      </c>
      <c r="K26" s="42">
        <v>0.1</v>
      </c>
      <c r="L26" s="73">
        <v>0</v>
      </c>
      <c r="M26" t="s">
        <v>119</v>
      </c>
    </row>
    <row r="27" spans="1:15" x14ac:dyDescent="0.3">
      <c r="A27" s="64"/>
      <c r="B27" s="38"/>
      <c r="C27" s="39"/>
      <c r="D27" s="39"/>
      <c r="E27" s="39"/>
      <c r="F27" s="39"/>
      <c r="G27" s="39"/>
      <c r="H27" s="39"/>
      <c r="I27" s="39"/>
      <c r="J27" s="39"/>
      <c r="K27" s="39"/>
      <c r="L27" s="65"/>
    </row>
    <row r="28" spans="1:15" x14ac:dyDescent="0.3">
      <c r="A28" s="64" t="s">
        <v>70</v>
      </c>
      <c r="B28" s="38"/>
      <c r="C28" s="47"/>
      <c r="D28" s="47"/>
      <c r="E28" s="47"/>
      <c r="F28" s="47"/>
      <c r="G28" s="47"/>
      <c r="H28" s="47"/>
      <c r="I28" s="47"/>
      <c r="J28" s="47"/>
      <c r="K28" s="47"/>
      <c r="L28" s="74"/>
    </row>
    <row r="29" spans="1:15" x14ac:dyDescent="0.3">
      <c r="A29" s="64" t="s">
        <v>40</v>
      </c>
      <c r="B29" s="38"/>
      <c r="C29" s="55">
        <f>C25*C14</f>
        <v>213052800</v>
      </c>
      <c r="D29" s="55">
        <f>D25*D14</f>
        <v>170400000</v>
      </c>
      <c r="E29" s="55">
        <f>E25*E14</f>
        <v>175000000</v>
      </c>
      <c r="F29" s="55">
        <f>F25*F14</f>
        <v>349200000</v>
      </c>
      <c r="G29" s="55">
        <f>G25*G14</f>
        <v>538000000.00000012</v>
      </c>
      <c r="H29" s="55">
        <f>H14*H25</f>
        <v>806400000</v>
      </c>
      <c r="I29" s="55">
        <f t="shared" ref="I29:L29" si="13">I14*I25</f>
        <v>1286208000</v>
      </c>
      <c r="J29" s="55">
        <f t="shared" si="13"/>
        <v>1865001600</v>
      </c>
      <c r="K29" s="55">
        <f t="shared" si="13"/>
        <v>2666952288</v>
      </c>
      <c r="L29" s="75">
        <f t="shared" si="13"/>
        <v>3467037974.3999996</v>
      </c>
    </row>
    <row r="30" spans="1:15" x14ac:dyDescent="0.3">
      <c r="A30" s="64" t="s">
        <v>37</v>
      </c>
      <c r="B30" s="38"/>
      <c r="C30" s="39"/>
      <c r="D30" s="45">
        <f>(D29-C29)/(C29)</f>
        <v>-0.20019826071283739</v>
      </c>
      <c r="E30" s="45">
        <f>(E29-D29)/(D29)</f>
        <v>2.699530516431925E-2</v>
      </c>
      <c r="F30" s="45">
        <f t="shared" ref="F30:L30" si="14">(F29-E29)/(E29)</f>
        <v>0.99542857142857144</v>
      </c>
      <c r="G30" s="45">
        <f t="shared" si="14"/>
        <v>0.54066437571592241</v>
      </c>
      <c r="H30" s="45">
        <f t="shared" si="14"/>
        <v>0.49888475836431195</v>
      </c>
      <c r="I30" s="45">
        <f t="shared" si="14"/>
        <v>0.59499999999999997</v>
      </c>
      <c r="J30" s="45">
        <f t="shared" si="14"/>
        <v>0.45</v>
      </c>
      <c r="K30" s="45">
        <f t="shared" si="14"/>
        <v>0.43</v>
      </c>
      <c r="L30" s="72">
        <f t="shared" si="14"/>
        <v>0.29999999999999988</v>
      </c>
      <c r="M30" s="21"/>
    </row>
    <row r="31" spans="1:15" x14ac:dyDescent="0.3">
      <c r="A31" s="64"/>
      <c r="B31" s="38"/>
      <c r="C31" s="39"/>
      <c r="D31" s="39"/>
      <c r="E31" s="39"/>
      <c r="F31" s="39"/>
      <c r="G31" s="39"/>
      <c r="H31" s="39"/>
      <c r="I31" s="39"/>
      <c r="J31" s="39"/>
      <c r="K31" s="39"/>
      <c r="L31" s="65"/>
    </row>
    <row r="32" spans="1:15" x14ac:dyDescent="0.3">
      <c r="A32" s="64" t="s">
        <v>41</v>
      </c>
      <c r="B32" s="38"/>
      <c r="C32" s="46">
        <v>3</v>
      </c>
      <c r="D32" s="46">
        <v>4</v>
      </c>
      <c r="E32" s="46">
        <v>3</v>
      </c>
      <c r="F32" s="46">
        <v>0.56000000000000005</v>
      </c>
      <c r="G32" s="46">
        <v>3</v>
      </c>
      <c r="H32" s="46">
        <v>3</v>
      </c>
      <c r="I32" s="46">
        <v>3</v>
      </c>
      <c r="J32" s="46">
        <v>3</v>
      </c>
      <c r="K32" s="46">
        <v>3</v>
      </c>
      <c r="L32" s="76">
        <v>3</v>
      </c>
    </row>
    <row r="33" spans="1:13" x14ac:dyDescent="0.3">
      <c r="A33" s="64" t="s">
        <v>42</v>
      </c>
      <c r="B33" s="48"/>
      <c r="C33" s="49">
        <v>25</v>
      </c>
      <c r="D33" s="49">
        <v>25</v>
      </c>
      <c r="E33" s="49">
        <v>25</v>
      </c>
      <c r="F33" s="49">
        <v>30</v>
      </c>
      <c r="G33" s="49">
        <v>30</v>
      </c>
      <c r="H33" s="49">
        <v>30</v>
      </c>
      <c r="I33" s="49">
        <v>35</v>
      </c>
      <c r="J33" s="49">
        <v>35</v>
      </c>
      <c r="K33" s="49">
        <v>40</v>
      </c>
      <c r="L33" s="77">
        <v>40</v>
      </c>
      <c r="M33" t="s">
        <v>120</v>
      </c>
    </row>
    <row r="34" spans="1:13" x14ac:dyDescent="0.3">
      <c r="A34" s="64" t="s">
        <v>43</v>
      </c>
      <c r="B34" s="39"/>
      <c r="C34" s="50">
        <v>7500000</v>
      </c>
      <c r="D34" s="50">
        <v>10200000</v>
      </c>
      <c r="E34" s="50">
        <v>18000000</v>
      </c>
      <c r="F34" s="50">
        <v>64000000</v>
      </c>
      <c r="G34" s="50">
        <v>90000000</v>
      </c>
      <c r="H34" s="50">
        <f>H20/(AVERAGE(F36:G36))</f>
        <v>150461977.04764289</v>
      </c>
      <c r="I34" s="50">
        <f>I20/(AVERAGE(G36:H36))</f>
        <v>226066540.04147282</v>
      </c>
      <c r="J34" s="50">
        <f>J20/(AVERAGE(H36:I36))</f>
        <v>360900954.31998318</v>
      </c>
      <c r="K34" s="50">
        <f>K20/(AVERAGE(I36:J36))</f>
        <v>496482792.41723275</v>
      </c>
      <c r="L34" s="78">
        <f>L20/(AVERAGE(J36:K36))</f>
        <v>678655231.69148338</v>
      </c>
    </row>
    <row r="35" spans="1:13" x14ac:dyDescent="0.3">
      <c r="A35" s="64" t="s">
        <v>87</v>
      </c>
      <c r="B35" s="39"/>
      <c r="C35" s="42">
        <v>0.33</v>
      </c>
      <c r="D35" s="42">
        <f>(D34-C34)/C34</f>
        <v>0.36</v>
      </c>
      <c r="E35" s="42">
        <f t="shared" ref="E35:G35" si="15">(E34-D34)/D34</f>
        <v>0.76470588235294112</v>
      </c>
      <c r="F35" s="42">
        <f t="shared" si="15"/>
        <v>2.5555555555555554</v>
      </c>
      <c r="G35" s="42">
        <f t="shared" si="15"/>
        <v>0.40625</v>
      </c>
      <c r="H35" s="42">
        <f t="shared" ref="H35" si="16">(H34-G34)/G34</f>
        <v>0.6717997449738099</v>
      </c>
      <c r="I35" s="42">
        <f t="shared" ref="I35" si="17">(I34-H34)/H34</f>
        <v>0.50248284966965573</v>
      </c>
      <c r="J35" s="42">
        <f t="shared" ref="J35" si="18">(J34-I34)/I34</f>
        <v>0.59643684666370544</v>
      </c>
      <c r="K35" s="42">
        <f t="shared" ref="K35" si="19">(K34-J34)/J34</f>
        <v>0.3756760309839457</v>
      </c>
      <c r="L35" s="73">
        <f t="shared" ref="L35" si="20">(L34-K34)/K34</f>
        <v>0.36692598828512285</v>
      </c>
    </row>
    <row r="36" spans="1:13" x14ac:dyDescent="0.3">
      <c r="A36" s="64" t="s">
        <v>88</v>
      </c>
      <c r="B36" s="39"/>
      <c r="C36" s="45">
        <f t="shared" ref="C36:L36" si="21">C20/C34</f>
        <v>4.7345066666666664E-2</v>
      </c>
      <c r="D36" s="45">
        <f t="shared" si="21"/>
        <v>5.5374980392156867E-2</v>
      </c>
      <c r="E36" s="45">
        <f t="shared" si="21"/>
        <v>4.6533393333333339E-2</v>
      </c>
      <c r="F36" s="45">
        <f t="shared" si="21"/>
        <v>1.5275635968750001E-2</v>
      </c>
      <c r="G36" s="45">
        <f t="shared" si="21"/>
        <v>2.2003872126666667E-2</v>
      </c>
      <c r="H36" s="45">
        <f t="shared" si="21"/>
        <v>1.8639754047708332E-2</v>
      </c>
      <c r="I36" s="45">
        <f t="shared" si="21"/>
        <v>2.0321813087187501E-2</v>
      </c>
      <c r="J36" s="45">
        <f t="shared" si="21"/>
        <v>1.9480783567447917E-2</v>
      </c>
      <c r="K36" s="45">
        <f t="shared" si="21"/>
        <v>1.9901298327317709E-2</v>
      </c>
      <c r="L36" s="72">
        <f t="shared" si="21"/>
        <v>1.9691040947382811E-2</v>
      </c>
      <c r="M36" t="s">
        <v>121</v>
      </c>
    </row>
    <row r="37" spans="1:13" x14ac:dyDescent="0.3">
      <c r="A37" s="64" t="s">
        <v>108</v>
      </c>
      <c r="B37" s="39"/>
      <c r="C37" s="45"/>
      <c r="D37" s="45"/>
      <c r="E37" s="45"/>
      <c r="F37" s="45"/>
      <c r="G37" s="45">
        <f>G14/G34</f>
        <v>1.6E-2</v>
      </c>
      <c r="H37" s="45"/>
      <c r="I37" s="45"/>
      <c r="J37" s="45"/>
      <c r="K37" s="45"/>
      <c r="L37" s="72"/>
    </row>
    <row r="38" spans="1:13" x14ac:dyDescent="0.3">
      <c r="A38" s="64" t="s">
        <v>44</v>
      </c>
      <c r="B38" s="39"/>
      <c r="C38" s="42">
        <v>0.12</v>
      </c>
      <c r="D38" s="42">
        <v>0.12</v>
      </c>
      <c r="E38" s="42">
        <v>0.12</v>
      </c>
      <c r="F38" s="42">
        <v>0.12</v>
      </c>
      <c r="G38" s="42">
        <v>0.12</v>
      </c>
      <c r="H38" s="42">
        <v>0.12</v>
      </c>
      <c r="I38" s="42">
        <v>0.12</v>
      </c>
      <c r="J38" s="42">
        <v>0.12</v>
      </c>
      <c r="K38" s="42">
        <v>0.12</v>
      </c>
      <c r="L38" s="73">
        <v>0.12</v>
      </c>
      <c r="M38" t="s">
        <v>122</v>
      </c>
    </row>
    <row r="39" spans="1:13" x14ac:dyDescent="0.3">
      <c r="A39" s="79"/>
      <c r="B39" s="39"/>
      <c r="C39" s="39"/>
      <c r="D39" s="39"/>
      <c r="E39" s="39"/>
      <c r="F39" s="39"/>
      <c r="G39" s="39"/>
      <c r="H39" s="39"/>
      <c r="I39" s="39"/>
      <c r="J39" s="39"/>
      <c r="K39" s="39"/>
      <c r="L39" s="65"/>
    </row>
    <row r="40" spans="1:13" x14ac:dyDescent="0.3">
      <c r="A40" s="64" t="s">
        <v>45</v>
      </c>
      <c r="B40" s="39"/>
      <c r="C40" s="86">
        <f>0.5*C34*C38+(0.5*C34)</f>
        <v>4200000</v>
      </c>
      <c r="D40" s="86">
        <f t="shared" ref="D40:L40" si="22">0.5*D34*D38+(0.5*D34)</f>
        <v>5712000</v>
      </c>
      <c r="E40" s="86">
        <f t="shared" si="22"/>
        <v>10080000</v>
      </c>
      <c r="F40" s="86">
        <f t="shared" si="22"/>
        <v>35840000</v>
      </c>
      <c r="G40" s="86">
        <f t="shared" si="22"/>
        <v>50400000</v>
      </c>
      <c r="H40" s="86">
        <f t="shared" si="22"/>
        <v>84258707.146680012</v>
      </c>
      <c r="I40" s="86">
        <f t="shared" si="22"/>
        <v>126597262.42322478</v>
      </c>
      <c r="J40" s="86">
        <f t="shared" si="22"/>
        <v>202104534.41919059</v>
      </c>
      <c r="K40" s="86">
        <f t="shared" si="22"/>
        <v>278030363.75365037</v>
      </c>
      <c r="L40" s="87">
        <f t="shared" si="22"/>
        <v>380046929.74723071</v>
      </c>
      <c r="M40" t="s">
        <v>123</v>
      </c>
    </row>
    <row r="41" spans="1:13" x14ac:dyDescent="0.3">
      <c r="A41" s="64"/>
      <c r="B41" s="39"/>
      <c r="C41" s="91"/>
      <c r="D41" s="91"/>
      <c r="E41" s="91"/>
      <c r="F41" s="91"/>
      <c r="G41" s="91"/>
      <c r="H41" s="91"/>
      <c r="I41" s="91"/>
      <c r="J41" s="91"/>
      <c r="K41" s="91"/>
      <c r="L41" s="92"/>
    </row>
    <row r="42" spans="1:13" x14ac:dyDescent="0.3">
      <c r="A42" s="79" t="s">
        <v>37</v>
      </c>
      <c r="B42" s="39"/>
      <c r="C42" s="39"/>
      <c r="D42" s="45">
        <f>(D40-C40)/(C40)</f>
        <v>0.36</v>
      </c>
      <c r="E42" s="45">
        <f t="shared" ref="E42" si="23">(E40-D40)/(D40)</f>
        <v>0.76470588235294112</v>
      </c>
      <c r="F42" s="45">
        <f t="shared" ref="F42" si="24">(F40-E40)/(E40)</f>
        <v>2.5555555555555554</v>
      </c>
      <c r="G42" s="45">
        <f t="shared" ref="G42" si="25">(G40-F40)/(F40)</f>
        <v>0.40625</v>
      </c>
      <c r="H42" s="39"/>
      <c r="I42" s="39"/>
      <c r="J42" s="39"/>
      <c r="K42" s="39"/>
      <c r="L42" s="65"/>
    </row>
    <row r="43" spans="1:13" x14ac:dyDescent="0.3">
      <c r="A43" s="79"/>
      <c r="B43" s="39"/>
      <c r="C43" s="39"/>
      <c r="D43" s="45"/>
      <c r="E43" s="45"/>
      <c r="F43" s="45"/>
      <c r="G43" s="45">
        <f>(F46-E46)/(E46)</f>
        <v>0.26615527239016235</v>
      </c>
      <c r="H43" s="39"/>
      <c r="I43" s="39"/>
      <c r="J43" s="39"/>
      <c r="K43" s="39"/>
      <c r="L43" s="65"/>
    </row>
    <row r="44" spans="1:13" x14ac:dyDescent="0.3">
      <c r="A44" s="79" t="s">
        <v>125</v>
      </c>
      <c r="B44" s="106"/>
      <c r="C44" s="106">
        <v>1654000000</v>
      </c>
      <c r="D44" s="106">
        <v>1936000000</v>
      </c>
      <c r="E44" s="106">
        <v>2196000000</v>
      </c>
      <c r="F44" s="106">
        <v>2380000000</v>
      </c>
      <c r="G44" s="106">
        <v>2700000000</v>
      </c>
      <c r="H44" s="106">
        <f>G44+(G44*H45)</f>
        <v>3053049149.3054662</v>
      </c>
      <c r="I44" s="106">
        <f t="shared" ref="I44:L44" si="26">H44+(H44*I45)</f>
        <v>3421933013.711391</v>
      </c>
      <c r="J44" s="106">
        <f t="shared" si="26"/>
        <v>3823861434.7797494</v>
      </c>
      <c r="K44" s="106">
        <f t="shared" si="26"/>
        <v>4305184263.451067</v>
      </c>
      <c r="L44" s="106">
        <f t="shared" si="26"/>
        <v>4837857960.5520573</v>
      </c>
    </row>
    <row r="45" spans="1:13" x14ac:dyDescent="0.3">
      <c r="A45" s="79" t="s">
        <v>126</v>
      </c>
      <c r="B45" s="106"/>
      <c r="C45" s="106"/>
      <c r="D45" s="42">
        <f>(D44-C44)/C44</f>
        <v>0.17049576783555018</v>
      </c>
      <c r="E45" s="42">
        <f t="shared" ref="E45:G45" si="27">(E44-D44)/D44</f>
        <v>0.13429752066115702</v>
      </c>
      <c r="F45" s="42">
        <f t="shared" si="27"/>
        <v>8.3788706739526417E-2</v>
      </c>
      <c r="G45" s="42">
        <f t="shared" si="27"/>
        <v>0.13445378151260504</v>
      </c>
      <c r="H45" s="42">
        <f>AVERAGE(D45:G45)</f>
        <v>0.13075894418720965</v>
      </c>
      <c r="I45" s="42">
        <f t="shared" ref="I45:L45" si="28">AVERAGE(E45:H45)</f>
        <v>0.12082473827512455</v>
      </c>
      <c r="J45" s="42">
        <f t="shared" si="28"/>
        <v>0.11745654267861641</v>
      </c>
      <c r="K45" s="42">
        <f t="shared" si="28"/>
        <v>0.1258735016633889</v>
      </c>
      <c r="L45" s="42">
        <f t="shared" si="28"/>
        <v>0.12372843170108487</v>
      </c>
    </row>
    <row r="46" spans="1:13" x14ac:dyDescent="0.3">
      <c r="A46" s="68" t="s">
        <v>96</v>
      </c>
      <c r="B46" s="39"/>
      <c r="C46" s="51"/>
      <c r="D46" s="51">
        <v>39942000000</v>
      </c>
      <c r="E46" s="51">
        <v>55013000000</v>
      </c>
      <c r="F46" s="51">
        <v>69655000000</v>
      </c>
      <c r="G46" s="51">
        <f>F46+F46*$G$43</f>
        <v>88194045498.336761</v>
      </c>
      <c r="H46" s="51">
        <f t="shared" ref="H46:L46" si="29">G46+G46*$G$43</f>
        <v>111667355701.13696</v>
      </c>
      <c r="I46" s="51">
        <f t="shared" si="29"/>
        <v>141388211174.86221</v>
      </c>
      <c r="J46" s="51">
        <f t="shared" si="29"/>
        <v>179019429032.86548</v>
      </c>
      <c r="K46" s="51">
        <f t="shared" si="29"/>
        <v>226666393930.23914</v>
      </c>
      <c r="L46" s="82">
        <f t="shared" si="29"/>
        <v>286994849748.43774</v>
      </c>
    </row>
    <row r="47" spans="1:13" x14ac:dyDescent="0.3">
      <c r="A47" s="68" t="s">
        <v>127</v>
      </c>
      <c r="B47" s="39"/>
      <c r="C47" s="51"/>
      <c r="D47" s="107">
        <f>D44/D46</f>
        <v>4.8470281908767711E-2</v>
      </c>
      <c r="E47" s="107">
        <f t="shared" ref="E47:L47" si="30">E44/E46</f>
        <v>3.991783760202134E-2</v>
      </c>
      <c r="F47" s="107">
        <f t="shared" si="30"/>
        <v>3.4168401406934175E-2</v>
      </c>
      <c r="G47" s="107">
        <f t="shared" si="30"/>
        <v>3.0614311711678072E-2</v>
      </c>
      <c r="H47" s="107">
        <f t="shared" si="30"/>
        <v>2.7340569946659721E-2</v>
      </c>
      <c r="I47" s="107">
        <f t="shared" si="30"/>
        <v>2.4202392726217513E-2</v>
      </c>
      <c r="J47" s="107">
        <f t="shared" si="30"/>
        <v>2.1360035921451529E-2</v>
      </c>
      <c r="K47" s="107">
        <f t="shared" si="30"/>
        <v>1.899348283970172E-2</v>
      </c>
      <c r="L47" s="107">
        <f t="shared" si="30"/>
        <v>1.6856950446297658E-2</v>
      </c>
    </row>
    <row r="48" spans="1:13" x14ac:dyDescent="0.3">
      <c r="A48" s="79" t="s">
        <v>61</v>
      </c>
      <c r="B48" s="39"/>
      <c r="C48" s="51">
        <v>753000000</v>
      </c>
      <c r="D48" s="51">
        <v>711000000</v>
      </c>
      <c r="E48" s="51">
        <v>825000000</v>
      </c>
      <c r="F48" s="51">
        <v>1042000000</v>
      </c>
      <c r="G48" s="54">
        <f>F48+F48*$G$52</f>
        <v>1875600000</v>
      </c>
      <c r="H48" s="54">
        <f>G48+G48*H52</f>
        <v>2625840000</v>
      </c>
      <c r="I48" s="54">
        <f>H48+H48*I52</f>
        <v>3676176000</v>
      </c>
      <c r="J48" s="54">
        <f>I48+I48*J52</f>
        <v>5146646400</v>
      </c>
      <c r="K48" s="54">
        <f>J48+J48*K52</f>
        <v>7205304960</v>
      </c>
      <c r="L48" s="83">
        <f>K48+K48*L52</f>
        <v>10087426944</v>
      </c>
    </row>
    <row r="49" spans="1:14" x14ac:dyDescent="0.3">
      <c r="A49" s="79" t="s">
        <v>37</v>
      </c>
      <c r="B49" s="39"/>
      <c r="C49" s="51"/>
      <c r="D49" s="51">
        <f>D48-C48</f>
        <v>-42000000</v>
      </c>
      <c r="E49" s="51">
        <f t="shared" ref="E49:F49" si="31">E48-D48</f>
        <v>114000000</v>
      </c>
      <c r="F49" s="51">
        <f t="shared" si="31"/>
        <v>217000000</v>
      </c>
      <c r="G49" s="54"/>
      <c r="H49" s="54"/>
      <c r="I49" s="54"/>
      <c r="J49" s="54"/>
      <c r="K49" s="54"/>
      <c r="L49" s="83"/>
    </row>
    <row r="50" spans="1:14" x14ac:dyDescent="0.3">
      <c r="A50" s="64" t="s">
        <v>46</v>
      </c>
      <c r="B50" s="39"/>
      <c r="C50" s="56">
        <f t="shared" ref="C50:L50" si="32">C40+C29</f>
        <v>217252800</v>
      </c>
      <c r="D50" s="56">
        <f t="shared" si="32"/>
        <v>176112000</v>
      </c>
      <c r="E50" s="56">
        <f t="shared" si="32"/>
        <v>185080000</v>
      </c>
      <c r="F50" s="56">
        <f t="shared" si="32"/>
        <v>385040000</v>
      </c>
      <c r="G50" s="56">
        <f t="shared" si="32"/>
        <v>588400000.00000012</v>
      </c>
      <c r="H50" s="56">
        <f t="shared" si="32"/>
        <v>890658707.14668</v>
      </c>
      <c r="I50" s="56">
        <f t="shared" si="32"/>
        <v>1412805262.4232247</v>
      </c>
      <c r="J50" s="56">
        <f t="shared" si="32"/>
        <v>2067106134.4191906</v>
      </c>
      <c r="K50" s="56">
        <f t="shared" si="32"/>
        <v>2944982651.7536502</v>
      </c>
      <c r="L50" s="80">
        <f t="shared" si="32"/>
        <v>3847084904.1472301</v>
      </c>
    </row>
    <row r="51" spans="1:14" x14ac:dyDescent="0.3">
      <c r="A51" s="64" t="s">
        <v>99</v>
      </c>
      <c r="B51" s="39"/>
      <c r="C51" s="59">
        <f t="shared" ref="C51:L51" si="33">C50/C48</f>
        <v>0.28851633466135457</v>
      </c>
      <c r="D51" s="59">
        <f t="shared" si="33"/>
        <v>0.24769620253164557</v>
      </c>
      <c r="E51" s="59">
        <f t="shared" si="33"/>
        <v>0.22433939393939395</v>
      </c>
      <c r="F51" s="59">
        <f t="shared" si="33"/>
        <v>0.36952015355086371</v>
      </c>
      <c r="G51" s="59">
        <f t="shared" si="33"/>
        <v>0.31371294519087234</v>
      </c>
      <c r="H51" s="59">
        <f t="shared" si="33"/>
        <v>0.33919001429892148</v>
      </c>
      <c r="I51" s="59">
        <f t="shared" si="33"/>
        <v>0.38431382567734101</v>
      </c>
      <c r="J51" s="59">
        <f t="shared" si="33"/>
        <v>0.40164137455007415</v>
      </c>
      <c r="K51" s="59">
        <f t="shared" si="33"/>
        <v>0.40872422029360578</v>
      </c>
      <c r="L51" s="81">
        <f t="shared" si="33"/>
        <v>0.38137425187852048</v>
      </c>
    </row>
    <row r="52" spans="1:14" x14ac:dyDescent="0.3">
      <c r="A52" s="79" t="s">
        <v>37</v>
      </c>
      <c r="B52" s="53" t="s">
        <v>93</v>
      </c>
      <c r="C52" s="52"/>
      <c r="D52" s="52">
        <f>(D48-C48)/C48</f>
        <v>-5.5776892430278883E-2</v>
      </c>
      <c r="E52" s="52">
        <f>(E48-D48)/D48</f>
        <v>0.16033755274261605</v>
      </c>
      <c r="F52" s="52">
        <f>(F48-E48)/E48</f>
        <v>0.263030303030303</v>
      </c>
      <c r="G52" s="57">
        <v>0.8</v>
      </c>
      <c r="H52" s="90">
        <v>0.4</v>
      </c>
      <c r="I52" s="90">
        <v>0.4</v>
      </c>
      <c r="J52" s="90">
        <v>0.4</v>
      </c>
      <c r="K52" s="90">
        <v>0.4</v>
      </c>
      <c r="L52" s="98">
        <v>0.4</v>
      </c>
      <c r="M52" t="s">
        <v>130</v>
      </c>
      <c r="N52" t="s">
        <v>131</v>
      </c>
    </row>
    <row r="53" spans="1:14" x14ac:dyDescent="0.3">
      <c r="A53" s="79"/>
      <c r="B53" s="53"/>
      <c r="C53" s="52"/>
      <c r="D53" s="52"/>
      <c r="E53" s="52"/>
      <c r="F53" s="52"/>
      <c r="G53" s="57"/>
      <c r="H53" s="110">
        <f>H47*H21*($M$53/$N$53)</f>
        <v>218524.89092069949</v>
      </c>
      <c r="I53" s="110">
        <f t="shared" ref="I53:L53" si="34">I47*I21*($M$53/$N$53)</f>
        <v>277251.68348309136</v>
      </c>
      <c r="J53" s="110">
        <f t="shared" si="34"/>
        <v>377334.5172118012</v>
      </c>
      <c r="K53" s="110">
        <f t="shared" si="34"/>
        <v>476389.42279500759</v>
      </c>
      <c r="L53" s="110">
        <f t="shared" si="34"/>
        <v>574618.1680941754</v>
      </c>
      <c r="M53">
        <v>64</v>
      </c>
      <c r="N53">
        <v>32</v>
      </c>
    </row>
    <row r="54" spans="1:14" ht="15" thickBot="1" x14ac:dyDescent="0.35">
      <c r="A54" s="84" t="s">
        <v>112</v>
      </c>
      <c r="B54" s="97">
        <v>0.01</v>
      </c>
      <c r="C54" s="85"/>
      <c r="D54" s="85"/>
      <c r="E54" s="85"/>
      <c r="F54" s="85"/>
      <c r="G54" s="89"/>
      <c r="H54" s="108">
        <f>$B54*H46</f>
        <v>1116673557.0113697</v>
      </c>
      <c r="I54" s="108">
        <f>$B54*I46</f>
        <v>1413882111.7486222</v>
      </c>
      <c r="J54" s="108">
        <f t="shared" ref="J54:L54" si="35">$B54*J46</f>
        <v>1790194290.3286548</v>
      </c>
      <c r="K54" s="108">
        <f t="shared" si="35"/>
        <v>2266663939.3023915</v>
      </c>
      <c r="L54" s="109">
        <f t="shared" si="35"/>
        <v>2869948497.4843774</v>
      </c>
    </row>
    <row r="55" spans="1:14" ht="13.8" customHeight="1" thickTop="1" x14ac:dyDescent="0.3">
      <c r="B55" s="1"/>
      <c r="C55" s="1"/>
      <c r="D55" s="1"/>
      <c r="E55" s="1"/>
      <c r="F55" s="1"/>
      <c r="G55" s="1"/>
      <c r="H55" s="1"/>
      <c r="I55" s="1"/>
      <c r="J55" s="1"/>
      <c r="K55" s="1"/>
      <c r="L55" s="1"/>
    </row>
    <row r="56" spans="1:14" ht="13.8" customHeight="1" x14ac:dyDescent="0.3">
      <c r="B56" s="1"/>
      <c r="C56" s="1"/>
      <c r="D56" s="1"/>
      <c r="E56" s="1"/>
      <c r="F56" s="1"/>
      <c r="G56" s="1" t="s">
        <v>94</v>
      </c>
      <c r="H56" s="1"/>
      <c r="I56" s="1"/>
      <c r="J56" s="1"/>
      <c r="K56" s="1"/>
      <c r="L56" s="1"/>
    </row>
    <row r="57" spans="1:14" ht="13.8" customHeight="1" x14ac:dyDescent="0.3">
      <c r="A57" t="s">
        <v>109</v>
      </c>
      <c r="B57" s="96">
        <f>B8</f>
        <v>-3000000000</v>
      </c>
      <c r="C57" s="1">
        <f t="shared" ref="C57:L57" si="36">B57+C8+C11+C50</f>
        <v>-3138587200</v>
      </c>
      <c r="D57" s="1">
        <f t="shared" si="36"/>
        <v>-3417853200</v>
      </c>
      <c r="E57" s="1">
        <f t="shared" si="36"/>
        <v>-3877356150</v>
      </c>
      <c r="F57" s="1">
        <f t="shared" si="36"/>
        <v>-4706934150</v>
      </c>
      <c r="G57" s="1">
        <f t="shared" si="36"/>
        <v>-4995576379.5940933</v>
      </c>
      <c r="H57" s="1">
        <f t="shared" si="36"/>
        <v>-5207034858.1289253</v>
      </c>
      <c r="I57" s="1">
        <f t="shared" si="36"/>
        <v>-5178450889.6466856</v>
      </c>
      <c r="J57" s="1">
        <f t="shared" si="36"/>
        <v>-4849094669.2430859</v>
      </c>
      <c r="K57" s="1">
        <f t="shared" si="36"/>
        <v>-4086722486.6606059</v>
      </c>
      <c r="L57" s="1">
        <f t="shared" si="36"/>
        <v>-2980532576.0908012</v>
      </c>
    </row>
    <row r="58" spans="1:14" ht="13.8" customHeight="1" x14ac:dyDescent="0.3">
      <c r="B58" s="1"/>
      <c r="C58" s="1"/>
      <c r="D58" s="1"/>
      <c r="E58" s="1"/>
      <c r="F58" s="1"/>
      <c r="G58" s="1"/>
      <c r="H58" s="1"/>
      <c r="I58" s="1"/>
      <c r="J58" s="1"/>
      <c r="K58" s="1"/>
      <c r="L58" s="1"/>
    </row>
    <row r="59" spans="1:14" ht="13.8" customHeight="1" x14ac:dyDescent="0.3">
      <c r="A59" t="s">
        <v>132</v>
      </c>
      <c r="B59" s="1">
        <f t="shared" ref="B59:G59" si="37">B57</f>
        <v>-3000000000</v>
      </c>
      <c r="C59" s="1">
        <f t="shared" si="37"/>
        <v>-3138587200</v>
      </c>
      <c r="D59" s="1">
        <f t="shared" si="37"/>
        <v>-3417853200</v>
      </c>
      <c r="E59" s="1">
        <f t="shared" si="37"/>
        <v>-3877356150</v>
      </c>
      <c r="F59" s="1">
        <f t="shared" si="37"/>
        <v>-4706934150</v>
      </c>
      <c r="G59" s="1">
        <f t="shared" si="37"/>
        <v>-4995576379.5940933</v>
      </c>
      <c r="H59" s="1">
        <f>H57+H54</f>
        <v>-4090361301.1175556</v>
      </c>
      <c r="I59" s="1">
        <f t="shared" ref="I59:L59" si="38">I57+I54</f>
        <v>-3764568777.8980637</v>
      </c>
      <c r="J59" s="1">
        <f t="shared" si="38"/>
        <v>-3058900378.9144311</v>
      </c>
      <c r="K59" s="1">
        <f t="shared" si="38"/>
        <v>-1820058547.3582144</v>
      </c>
      <c r="L59" s="1">
        <f t="shared" si="38"/>
        <v>-110584078.60642385</v>
      </c>
    </row>
    <row r="60" spans="1:14" ht="13.8" customHeight="1" x14ac:dyDescent="0.3">
      <c r="A60" t="s">
        <v>133</v>
      </c>
      <c r="B60" s="1">
        <f t="shared" ref="B60:G60" si="39">B59</f>
        <v>-3000000000</v>
      </c>
      <c r="C60" s="1">
        <f t="shared" si="39"/>
        <v>-3138587200</v>
      </c>
      <c r="D60" s="1">
        <f t="shared" si="39"/>
        <v>-3417853200</v>
      </c>
      <c r="E60" s="1">
        <f t="shared" si="39"/>
        <v>-3877356150</v>
      </c>
      <c r="F60" s="1">
        <f t="shared" si="39"/>
        <v>-4706934150</v>
      </c>
      <c r="G60" s="1">
        <f t="shared" si="39"/>
        <v>-4995576379.5940933</v>
      </c>
      <c r="H60" s="1">
        <f>H57+H53</f>
        <v>-5206816333.2380047</v>
      </c>
      <c r="I60" s="1">
        <f t="shared" ref="I60:L60" si="40">I57+I53</f>
        <v>-5178173637.9632025</v>
      </c>
      <c r="J60" s="1">
        <f t="shared" si="40"/>
        <v>-4848717334.7258739</v>
      </c>
      <c r="K60" s="1">
        <f t="shared" si="40"/>
        <v>-4086246097.2378111</v>
      </c>
      <c r="L60" s="1">
        <f t="shared" si="40"/>
        <v>-2979957957.9227071</v>
      </c>
    </row>
    <row r="61" spans="1:14" ht="13.8" customHeight="1" x14ac:dyDescent="0.3">
      <c r="B61" s="1"/>
      <c r="C61" s="1"/>
      <c r="D61" s="1"/>
      <c r="E61" s="1"/>
      <c r="F61" s="1"/>
      <c r="G61" s="1"/>
      <c r="H61" s="1"/>
      <c r="I61" s="1"/>
      <c r="J61" s="1"/>
      <c r="K61" s="1"/>
      <c r="L61" s="1"/>
    </row>
    <row r="62" spans="1:14" x14ac:dyDescent="0.3">
      <c r="E62" s="28"/>
      <c r="F62" s="28">
        <f>E64*1.3</f>
        <v>4680000000</v>
      </c>
      <c r="G62" s="28"/>
      <c r="H62" s="28"/>
      <c r="I62" s="28"/>
      <c r="J62" s="28"/>
      <c r="K62" s="28"/>
      <c r="L62" s="28"/>
      <c r="M62" s="28"/>
    </row>
    <row r="63" spans="1:14" x14ac:dyDescent="0.3">
      <c r="C63" s="25">
        <v>2016</v>
      </c>
      <c r="D63" s="25">
        <v>2017</v>
      </c>
      <c r="E63" s="25">
        <v>2018</v>
      </c>
      <c r="F63" s="25">
        <v>2019</v>
      </c>
      <c r="G63" s="25">
        <v>2020</v>
      </c>
      <c r="H63" s="25">
        <v>2021</v>
      </c>
      <c r="I63" s="25">
        <v>2022</v>
      </c>
      <c r="J63" s="25">
        <v>2023</v>
      </c>
      <c r="K63" s="25">
        <v>2024</v>
      </c>
      <c r="L63" s="25">
        <v>2025</v>
      </c>
    </row>
    <row r="64" spans="1:14" x14ac:dyDescent="0.3">
      <c r="A64" t="s">
        <v>116</v>
      </c>
      <c r="C64" s="28">
        <v>1600000000</v>
      </c>
      <c r="D64" s="1">
        <v>3100000000</v>
      </c>
      <c r="E64" s="1">
        <v>3600000000</v>
      </c>
      <c r="F64" s="1">
        <v>4788000000</v>
      </c>
      <c r="G64" s="1">
        <v>5721660000</v>
      </c>
      <c r="H64" s="1">
        <f>G64+G64*$H$77</f>
        <v>7152075000</v>
      </c>
      <c r="I64" s="1">
        <f>H64+H64*$H$77</f>
        <v>8940093750</v>
      </c>
      <c r="J64" s="1">
        <f>I64+I64*$H$77</f>
        <v>11175117187.5</v>
      </c>
      <c r="K64" s="1">
        <f>J64+J64*$H$77</f>
        <v>13968896484.375</v>
      </c>
      <c r="L64" s="1">
        <f>K64+K64*$H$77</f>
        <v>17461120605.46875</v>
      </c>
      <c r="M64" s="1"/>
    </row>
    <row r="65" spans="1:19" x14ac:dyDescent="0.3">
      <c r="A65" t="s">
        <v>86</v>
      </c>
      <c r="B65" s="28">
        <v>0.43</v>
      </c>
      <c r="C65" s="2">
        <v>0.3</v>
      </c>
      <c r="D65" s="50">
        <f>D64*C65</f>
        <v>930000000</v>
      </c>
      <c r="E65" s="50">
        <f>E64*$C$65</f>
        <v>1080000000</v>
      </c>
      <c r="F65" s="50">
        <f>F64*$C$65</f>
        <v>1436400000</v>
      </c>
      <c r="G65" s="50">
        <f>G64*$C$65</f>
        <v>1716498000</v>
      </c>
      <c r="H65" s="50">
        <f>H64*$C$65</f>
        <v>2145622500</v>
      </c>
      <c r="I65" s="50">
        <f t="shared" ref="I65" si="41">I64*$C$65</f>
        <v>2682028125</v>
      </c>
      <c r="J65" s="50">
        <f t="shared" ref="J65" si="42">J64*$C$65</f>
        <v>3352535156.25</v>
      </c>
      <c r="K65" s="50">
        <f t="shared" ref="K65" si="43">K64*$C$65</f>
        <v>4190668945.3125</v>
      </c>
      <c r="L65" s="50">
        <f t="shared" ref="L65" si="44">L64*$C$65</f>
        <v>5238336181.640625</v>
      </c>
      <c r="M65" s="1"/>
    </row>
    <row r="66" spans="1:19" x14ac:dyDescent="0.3">
      <c r="A66" t="s">
        <v>102</v>
      </c>
      <c r="B66" s="28"/>
      <c r="C66" s="2"/>
      <c r="D66" s="93">
        <f>D34/D65</f>
        <v>1.0967741935483871E-2</v>
      </c>
      <c r="E66" s="93">
        <f t="shared" ref="E66:L66" si="45">E34/E65</f>
        <v>1.6666666666666666E-2</v>
      </c>
      <c r="F66" s="93">
        <f t="shared" si="45"/>
        <v>4.4555834029518238E-2</v>
      </c>
      <c r="G66" s="93">
        <f t="shared" si="45"/>
        <v>5.2432336070301275E-2</v>
      </c>
      <c r="H66" s="93">
        <f t="shared" si="45"/>
        <v>7.0125092856568608E-2</v>
      </c>
      <c r="I66" s="93">
        <f t="shared" si="45"/>
        <v>8.4289399478789148E-2</v>
      </c>
      <c r="J66" s="93">
        <f t="shared" si="45"/>
        <v>0.10765016248887642</v>
      </c>
      <c r="K66" s="93">
        <f t="shared" si="45"/>
        <v>0.11847339861397947</v>
      </c>
      <c r="L66" s="93">
        <f t="shared" si="45"/>
        <v>0.12955549398872895</v>
      </c>
      <c r="M66" s="1"/>
    </row>
    <row r="67" spans="1:19" x14ac:dyDescent="0.3">
      <c r="A67" t="s">
        <v>54</v>
      </c>
      <c r="C67" s="21">
        <v>0.23161290322580644</v>
      </c>
      <c r="D67" s="1">
        <f>D64*$C$67</f>
        <v>718000000</v>
      </c>
      <c r="E67" s="1">
        <f t="shared" ref="E67:L67" si="46">E64*$C$67</f>
        <v>833806451.61290312</v>
      </c>
      <c r="F67" s="1">
        <f t="shared" si="46"/>
        <v>1108962580.6451612</v>
      </c>
      <c r="G67" s="1">
        <f t="shared" si="46"/>
        <v>1325210283.8709676</v>
      </c>
      <c r="H67" s="1">
        <f t="shared" si="46"/>
        <v>1656512854.8387096</v>
      </c>
      <c r="I67" s="1">
        <f t="shared" si="46"/>
        <v>2070641068.5483871</v>
      </c>
      <c r="J67" s="1">
        <f t="shared" si="46"/>
        <v>2588301335.6854839</v>
      </c>
      <c r="K67" s="1">
        <f t="shared" si="46"/>
        <v>3235376669.6068544</v>
      </c>
      <c r="L67" s="1">
        <f t="shared" si="46"/>
        <v>4044220837.0085683</v>
      </c>
      <c r="M67" s="1"/>
    </row>
    <row r="68" spans="1:19" x14ac:dyDescent="0.3">
      <c r="A68" t="s">
        <v>55</v>
      </c>
      <c r="C68" s="21">
        <v>0.22161290322580646</v>
      </c>
      <c r="D68" s="1">
        <f>D64*$C$68</f>
        <v>687000000</v>
      </c>
      <c r="E68" s="1">
        <f t="shared" ref="E68:L68" si="47">E64*$C$68</f>
        <v>797806451.61290324</v>
      </c>
      <c r="F68" s="1">
        <f t="shared" si="47"/>
        <v>1061082580.6451613</v>
      </c>
      <c r="G68" s="1">
        <f t="shared" si="47"/>
        <v>1267993683.8709679</v>
      </c>
      <c r="H68" s="1">
        <f t="shared" si="47"/>
        <v>1584992104.8387098</v>
      </c>
      <c r="I68" s="1">
        <f t="shared" si="47"/>
        <v>1981240131.0483871</v>
      </c>
      <c r="J68" s="1">
        <f t="shared" si="47"/>
        <v>2476550163.8104839</v>
      </c>
      <c r="K68" s="1">
        <f t="shared" si="47"/>
        <v>3095687704.7631049</v>
      </c>
      <c r="L68" s="1">
        <f t="shared" si="47"/>
        <v>3869609630.9538813</v>
      </c>
      <c r="M68" s="1"/>
    </row>
    <row r="69" spans="1:19" x14ac:dyDescent="0.3">
      <c r="A69" s="25" t="s">
        <v>69</v>
      </c>
      <c r="B69" s="25"/>
      <c r="C69" s="31">
        <v>0.22</v>
      </c>
      <c r="D69" s="33">
        <f>D64*$C$69</f>
        <v>682000000</v>
      </c>
      <c r="E69" s="33">
        <f t="shared" ref="E69:L69" si="48">E64*$C$69</f>
        <v>792000000</v>
      </c>
      <c r="F69" s="33">
        <f t="shared" si="48"/>
        <v>1053360000</v>
      </c>
      <c r="G69" s="33">
        <f t="shared" si="48"/>
        <v>1258765200</v>
      </c>
      <c r="H69" s="33">
        <f t="shared" si="48"/>
        <v>1573456500</v>
      </c>
      <c r="I69" s="33">
        <f t="shared" si="48"/>
        <v>1966820625</v>
      </c>
      <c r="J69" s="33">
        <f t="shared" si="48"/>
        <v>2458525781.25</v>
      </c>
      <c r="K69" s="33">
        <f t="shared" si="48"/>
        <v>3073157226.5625</v>
      </c>
      <c r="L69" s="33">
        <f t="shared" si="48"/>
        <v>3841446533.203125</v>
      </c>
      <c r="M69" s="1"/>
    </row>
    <row r="70" spans="1:19" x14ac:dyDescent="0.3">
      <c r="A70" t="s">
        <v>102</v>
      </c>
      <c r="D70" s="1"/>
      <c r="E70" s="45">
        <f t="shared" ref="E70:L70" si="49">(E69-D69)/(D69)</f>
        <v>0.16129032258064516</v>
      </c>
      <c r="F70" s="45">
        <f t="shared" si="49"/>
        <v>0.33</v>
      </c>
      <c r="G70" s="45">
        <f t="shared" si="49"/>
        <v>0.19500000000000001</v>
      </c>
      <c r="H70" s="45">
        <f t="shared" si="49"/>
        <v>0.25</v>
      </c>
      <c r="I70" s="45">
        <f t="shared" si="49"/>
        <v>0.25</v>
      </c>
      <c r="J70" s="45">
        <f t="shared" si="49"/>
        <v>0.25</v>
      </c>
      <c r="K70" s="45">
        <f t="shared" si="49"/>
        <v>0.25</v>
      </c>
      <c r="L70" s="45">
        <f t="shared" si="49"/>
        <v>0.25</v>
      </c>
    </row>
    <row r="71" spans="1:19" x14ac:dyDescent="0.3">
      <c r="A71" t="s">
        <v>103</v>
      </c>
      <c r="B71" s="25"/>
      <c r="C71" s="31"/>
      <c r="D71" s="93">
        <f t="shared" ref="D71:L71" si="50">D29/D69</f>
        <v>0.24985337243401759</v>
      </c>
      <c r="E71" s="93">
        <f t="shared" si="50"/>
        <v>0.22095959595959597</v>
      </c>
      <c r="F71" s="93">
        <f t="shared" si="50"/>
        <v>0.33151059466848942</v>
      </c>
      <c r="G71" s="93">
        <f t="shared" si="50"/>
        <v>0.42740298190639536</v>
      </c>
      <c r="H71" s="93">
        <f t="shared" si="50"/>
        <v>0.51250225220716306</v>
      </c>
      <c r="I71" s="93">
        <f t="shared" si="50"/>
        <v>0.65395287381634004</v>
      </c>
      <c r="J71" s="93">
        <f t="shared" si="50"/>
        <v>0.75858533362695446</v>
      </c>
      <c r="K71" s="93">
        <f t="shared" si="50"/>
        <v>0.86782162166923582</v>
      </c>
      <c r="L71" s="93">
        <f t="shared" si="50"/>
        <v>0.90253448653600521</v>
      </c>
      <c r="M71" s="1"/>
    </row>
    <row r="72" spans="1:19" x14ac:dyDescent="0.3">
      <c r="A72" t="s">
        <v>117</v>
      </c>
      <c r="D72" s="1">
        <f>D71*D68</f>
        <v>171649266.86217007</v>
      </c>
      <c r="E72" s="1">
        <f t="shared" ref="E72:L72" si="51">E71*E68</f>
        <v>176282991.20234606</v>
      </c>
      <c r="F72" s="1">
        <f t="shared" si="51"/>
        <v>351760117.3020528</v>
      </c>
      <c r="G72" s="1">
        <f t="shared" si="51"/>
        <v>541944281.5249269</v>
      </c>
      <c r="H72" s="1">
        <f t="shared" si="51"/>
        <v>812312023.46041071</v>
      </c>
      <c r="I72" s="1">
        <f t="shared" si="51"/>
        <v>1295637677.4193549</v>
      </c>
      <c r="J72" s="1">
        <f t="shared" si="51"/>
        <v>1878674632.2580647</v>
      </c>
      <c r="K72" s="1">
        <f t="shared" si="51"/>
        <v>2686504724.1290321</v>
      </c>
      <c r="L72" s="1">
        <f t="shared" si="51"/>
        <v>3492456141.3677421</v>
      </c>
    </row>
    <row r="73" spans="1:19" x14ac:dyDescent="0.3">
      <c r="D73" s="1"/>
      <c r="E73" s="1"/>
      <c r="F73" s="1"/>
      <c r="G73" s="1"/>
      <c r="H73" s="1"/>
      <c r="I73" s="1"/>
      <c r="J73" s="1"/>
      <c r="K73" s="1"/>
      <c r="L73" s="1"/>
    </row>
    <row r="74" spans="1:19" x14ac:dyDescent="0.3">
      <c r="A74" t="s">
        <v>118</v>
      </c>
      <c r="D74" s="1"/>
      <c r="E74" s="45"/>
      <c r="F74" s="45"/>
      <c r="G74" s="45"/>
      <c r="H74" s="45"/>
      <c r="I74" s="45"/>
      <c r="J74" s="45"/>
      <c r="K74" s="45"/>
      <c r="L74" s="45"/>
    </row>
    <row r="75" spans="1:19" x14ac:dyDescent="0.3">
      <c r="D75" s="1"/>
    </row>
    <row r="76" spans="1:19" x14ac:dyDescent="0.3">
      <c r="G76" s="26"/>
      <c r="H76" s="26" t="s">
        <v>104</v>
      </c>
      <c r="I76" s="26"/>
      <c r="J76" s="26"/>
      <c r="K76" s="26"/>
      <c r="L76" s="26"/>
      <c r="M76" s="26"/>
      <c r="N76" s="26"/>
      <c r="O76" s="26"/>
      <c r="P76" s="26"/>
      <c r="Q76" s="29"/>
      <c r="R76" s="29"/>
      <c r="S76" s="29"/>
    </row>
    <row r="77" spans="1:19" x14ac:dyDescent="0.3">
      <c r="G77" s="26"/>
      <c r="H77" s="88">
        <v>0.25</v>
      </c>
      <c r="I77" s="26"/>
      <c r="J77" s="26"/>
      <c r="K77" s="26"/>
      <c r="L77" s="26"/>
      <c r="M77" s="26"/>
      <c r="N77" s="26"/>
      <c r="O77" s="26"/>
      <c r="P77" s="26"/>
      <c r="Q77" s="29"/>
      <c r="R77" s="29"/>
      <c r="S77" s="29"/>
    </row>
    <row r="78" spans="1:19" x14ac:dyDescent="0.3">
      <c r="G78" s="26"/>
      <c r="H78" s="26"/>
      <c r="I78" s="26"/>
      <c r="J78" s="26"/>
      <c r="K78" s="26"/>
      <c r="L78" s="26"/>
      <c r="M78" s="26"/>
      <c r="N78" s="26"/>
      <c r="O78" s="26"/>
      <c r="P78" s="26"/>
      <c r="Q78" s="29"/>
      <c r="R78" s="29"/>
      <c r="S78" s="29"/>
    </row>
    <row r="79" spans="1:19" x14ac:dyDescent="0.3">
      <c r="G79" s="26" t="s">
        <v>79</v>
      </c>
      <c r="H79" s="26" t="s">
        <v>82</v>
      </c>
      <c r="I79" s="26"/>
      <c r="J79" s="26"/>
      <c r="K79" s="26"/>
      <c r="L79" s="26"/>
      <c r="M79" s="26"/>
      <c r="N79" s="26"/>
      <c r="O79" s="26"/>
      <c r="P79" s="26"/>
      <c r="Q79" s="29"/>
      <c r="R79" s="29"/>
      <c r="S79" s="29"/>
    </row>
    <row r="80" spans="1:19" x14ac:dyDescent="0.3">
      <c r="G80" s="26"/>
      <c r="I80" s="26"/>
      <c r="J80" s="26"/>
      <c r="K80" s="26"/>
      <c r="L80" s="26"/>
      <c r="M80" s="26"/>
      <c r="N80" s="26"/>
      <c r="O80" s="26"/>
      <c r="P80" s="26"/>
      <c r="Q80" s="29"/>
      <c r="R80" s="29"/>
      <c r="S80" s="29"/>
    </row>
    <row r="81" spans="1:19" x14ac:dyDescent="0.3">
      <c r="G81" s="26"/>
      <c r="J81" s="26"/>
      <c r="K81" s="26"/>
      <c r="L81" s="26"/>
      <c r="M81" s="26"/>
      <c r="N81" s="26"/>
      <c r="O81" s="26"/>
      <c r="P81" s="26"/>
      <c r="Q81" s="29"/>
      <c r="R81" s="29"/>
      <c r="S81" s="29"/>
    </row>
    <row r="82" spans="1:19" x14ac:dyDescent="0.3">
      <c r="G82" s="26"/>
      <c r="I82" s="26"/>
      <c r="J82" s="26"/>
      <c r="K82" s="26"/>
      <c r="L82" s="26"/>
      <c r="M82" s="26"/>
      <c r="N82" s="26"/>
      <c r="O82" s="26"/>
      <c r="P82" s="26"/>
      <c r="Q82" s="29"/>
      <c r="R82" s="29"/>
      <c r="S82" s="29"/>
    </row>
    <row r="83" spans="1:19" x14ac:dyDescent="0.3">
      <c r="C83" s="28"/>
      <c r="D83" s="28"/>
      <c r="E83" s="28"/>
    </row>
    <row r="84" spans="1:19" x14ac:dyDescent="0.3">
      <c r="C84" s="28"/>
      <c r="D84" s="28"/>
      <c r="E84" s="28"/>
    </row>
    <row r="86" spans="1:19" x14ac:dyDescent="0.3">
      <c r="A86" t="s">
        <v>53</v>
      </c>
      <c r="C86" s="26"/>
      <c r="D86" s="26">
        <v>1800000</v>
      </c>
      <c r="E86" s="26"/>
      <c r="F86" s="26"/>
    </row>
    <row r="87" spans="1:19" x14ac:dyDescent="0.3">
      <c r="A87" t="s">
        <v>52</v>
      </c>
      <c r="C87" s="26"/>
      <c r="D87" s="26">
        <v>6300</v>
      </c>
      <c r="E87" s="26"/>
      <c r="F87" s="26"/>
    </row>
    <row r="88" spans="1:19" x14ac:dyDescent="0.3">
      <c r="A88" t="s">
        <v>56</v>
      </c>
      <c r="C88" s="26"/>
      <c r="D88" s="26">
        <v>4510</v>
      </c>
      <c r="E88" s="26"/>
      <c r="F88" s="26"/>
    </row>
    <row r="89" spans="1:19" x14ac:dyDescent="0.3">
      <c r="A89" t="s">
        <v>57</v>
      </c>
      <c r="C89" s="26"/>
      <c r="D89" s="26">
        <v>750</v>
      </c>
      <c r="E89" s="26"/>
      <c r="F89" s="26"/>
    </row>
    <row r="90" spans="1:19" x14ac:dyDescent="0.3">
      <c r="A90" t="s">
        <v>58</v>
      </c>
      <c r="C90" s="26"/>
      <c r="D90" s="26">
        <v>420</v>
      </c>
      <c r="E90" s="26"/>
      <c r="F90" s="26"/>
      <c r="J90" s="25" t="s">
        <v>101</v>
      </c>
    </row>
    <row r="91" spans="1:19" x14ac:dyDescent="0.3">
      <c r="A91" t="s">
        <v>60</v>
      </c>
      <c r="C91" s="26"/>
      <c r="D91" s="26">
        <v>260</v>
      </c>
      <c r="E91" s="26"/>
      <c r="F91" s="26"/>
      <c r="J91" s="36" t="s">
        <v>83</v>
      </c>
    </row>
    <row r="92" spans="1:19" x14ac:dyDescent="0.3">
      <c r="A92" t="s">
        <v>59</v>
      </c>
      <c r="C92" s="26"/>
      <c r="D92" s="26">
        <v>240</v>
      </c>
      <c r="E92" s="26"/>
      <c r="F92" s="26">
        <v>2294</v>
      </c>
      <c r="J92" s="26" t="s">
        <v>84</v>
      </c>
    </row>
    <row r="93" spans="1:19" x14ac:dyDescent="0.3">
      <c r="J93" s="26" t="s">
        <v>85</v>
      </c>
    </row>
    <row r="94" spans="1:19" x14ac:dyDescent="0.3">
      <c r="J94" t="s">
        <v>100</v>
      </c>
    </row>
    <row r="95" spans="1:19" x14ac:dyDescent="0.3">
      <c r="J95" t="s">
        <v>71</v>
      </c>
      <c r="N95" t="s">
        <v>62</v>
      </c>
    </row>
    <row r="96" spans="1:19" x14ac:dyDescent="0.3">
      <c r="J96" t="s">
        <v>64</v>
      </c>
    </row>
    <row r="97" spans="10:10" x14ac:dyDescent="0.3">
      <c r="J97" t="s">
        <v>80</v>
      </c>
    </row>
    <row r="98" spans="10:10" x14ac:dyDescent="0.3">
      <c r="J98" t="s">
        <v>81</v>
      </c>
    </row>
    <row r="99" spans="10:10" x14ac:dyDescent="0.3">
      <c r="J99" t="s">
        <v>95</v>
      </c>
    </row>
    <row r="100" spans="10:10" x14ac:dyDescent="0.3">
      <c r="J100" t="s">
        <v>128</v>
      </c>
    </row>
    <row r="101" spans="10:10" x14ac:dyDescent="0.3">
      <c r="J101" t="s">
        <v>129</v>
      </c>
    </row>
  </sheetData>
  <hyperlinks>
    <hyperlink ref="J91" r:id="rId1" xr:uid="{7F8D18ED-1269-4E70-A0CB-C3D6A3924712}"/>
  </hyperlinks>
  <pageMargins left="0.7" right="0.7" top="0.75" bottom="0.75" header="0.3" footer="0.3"/>
  <pageSetup orientation="portrait" horizontalDpi="4294967293" verticalDpi="4294967293"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C5619-F9B3-40BF-A31F-90007A04D932}">
  <dimension ref="A1:E151"/>
  <sheetViews>
    <sheetView tabSelected="1" topLeftCell="A127" workbookViewId="0">
      <selection activeCell="E136" sqref="E136"/>
    </sheetView>
  </sheetViews>
  <sheetFormatPr defaultRowHeight="14.4" x14ac:dyDescent="0.3"/>
  <cols>
    <col min="2" max="2" width="34" bestFit="1" customWidth="1"/>
    <col min="3" max="3" width="34" customWidth="1"/>
    <col min="4" max="4" width="18.21875" bestFit="1" customWidth="1"/>
    <col min="5" max="5" width="32.88671875" bestFit="1" customWidth="1"/>
    <col min="6" max="6" width="15.5546875" bestFit="1" customWidth="1"/>
    <col min="7" max="7" width="17.44140625" bestFit="1" customWidth="1"/>
    <col min="8" max="9" width="15.5546875" bestFit="1" customWidth="1"/>
    <col min="10" max="10" width="15.77734375" bestFit="1" customWidth="1"/>
    <col min="11" max="11" width="15.6640625" bestFit="1" customWidth="1"/>
    <col min="12" max="12" width="17.44140625" bestFit="1" customWidth="1"/>
    <col min="13" max="15" width="18.21875" bestFit="1" customWidth="1"/>
  </cols>
  <sheetData>
    <row r="1" spans="1:4" x14ac:dyDescent="0.3">
      <c r="A1" t="s">
        <v>141</v>
      </c>
      <c r="B1" t="s">
        <v>139</v>
      </c>
      <c r="C1" t="s">
        <v>140</v>
      </c>
      <c r="D1" t="s">
        <v>143</v>
      </c>
    </row>
    <row r="2" spans="1:4" x14ac:dyDescent="0.3">
      <c r="A2">
        <v>1</v>
      </c>
      <c r="B2">
        <v>2016</v>
      </c>
      <c r="C2" t="s">
        <v>127</v>
      </c>
      <c r="D2" s="1">
        <v>0.01</v>
      </c>
    </row>
    <row r="3" spans="1:4" x14ac:dyDescent="0.3">
      <c r="A3">
        <v>10</v>
      </c>
      <c r="B3">
        <v>2025</v>
      </c>
      <c r="C3" t="s">
        <v>127</v>
      </c>
      <c r="D3" s="1">
        <v>1.6856950446297658E-2</v>
      </c>
    </row>
    <row r="4" spans="1:4" x14ac:dyDescent="0.3">
      <c r="A4">
        <v>9</v>
      </c>
      <c r="B4">
        <v>2024</v>
      </c>
      <c r="C4" t="s">
        <v>127</v>
      </c>
      <c r="D4" s="1">
        <v>1.899348283970172E-2</v>
      </c>
    </row>
    <row r="5" spans="1:4" x14ac:dyDescent="0.3">
      <c r="A5">
        <v>8</v>
      </c>
      <c r="B5">
        <v>2023</v>
      </c>
      <c r="C5" t="s">
        <v>127</v>
      </c>
      <c r="D5" s="1">
        <v>2.1360035921451529E-2</v>
      </c>
    </row>
    <row r="6" spans="1:4" x14ac:dyDescent="0.3">
      <c r="A6">
        <v>7</v>
      </c>
      <c r="B6">
        <v>2022</v>
      </c>
      <c r="C6" t="s">
        <v>127</v>
      </c>
      <c r="D6" s="1">
        <v>2.4202392726217513E-2</v>
      </c>
    </row>
    <row r="7" spans="1:4" x14ac:dyDescent="0.3">
      <c r="A7">
        <v>6</v>
      </c>
      <c r="B7">
        <v>2021</v>
      </c>
      <c r="C7" t="s">
        <v>127</v>
      </c>
      <c r="D7" s="1">
        <v>2.7340569946659721E-2</v>
      </c>
    </row>
    <row r="8" spans="1:4" x14ac:dyDescent="0.3">
      <c r="A8">
        <v>5</v>
      </c>
      <c r="B8">
        <v>2020</v>
      </c>
      <c r="C8" t="s">
        <v>127</v>
      </c>
      <c r="D8" s="1">
        <v>3.0614311711678072E-2</v>
      </c>
    </row>
    <row r="9" spans="1:4" x14ac:dyDescent="0.3">
      <c r="A9">
        <v>4</v>
      </c>
      <c r="B9">
        <v>2019</v>
      </c>
      <c r="C9" t="s">
        <v>127</v>
      </c>
      <c r="D9" s="1">
        <v>3.4168401406934175E-2</v>
      </c>
    </row>
    <row r="10" spans="1:4" x14ac:dyDescent="0.3">
      <c r="A10">
        <v>3</v>
      </c>
      <c r="B10">
        <v>2018</v>
      </c>
      <c r="C10" t="s">
        <v>127</v>
      </c>
      <c r="D10" s="1">
        <v>3.991783760202134E-2</v>
      </c>
    </row>
    <row r="11" spans="1:4" x14ac:dyDescent="0.3">
      <c r="A11">
        <v>2</v>
      </c>
      <c r="B11">
        <v>2017</v>
      </c>
      <c r="C11" t="s">
        <v>127</v>
      </c>
      <c r="D11" s="1">
        <v>4.8470281908767711E-2</v>
      </c>
    </row>
    <row r="12" spans="1:4" x14ac:dyDescent="0.3">
      <c r="A12">
        <v>1</v>
      </c>
      <c r="B12">
        <v>2016</v>
      </c>
      <c r="C12" t="s">
        <v>148</v>
      </c>
      <c r="D12" s="1">
        <v>7500000</v>
      </c>
    </row>
    <row r="13" spans="1:4" x14ac:dyDescent="0.3">
      <c r="A13">
        <v>2</v>
      </c>
      <c r="B13">
        <v>2017</v>
      </c>
      <c r="C13" t="s">
        <v>148</v>
      </c>
      <c r="D13" s="1">
        <v>10200000</v>
      </c>
    </row>
    <row r="14" spans="1:4" x14ac:dyDescent="0.3">
      <c r="A14">
        <v>3</v>
      </c>
      <c r="B14">
        <v>2018</v>
      </c>
      <c r="C14" t="s">
        <v>148</v>
      </c>
      <c r="D14" s="1">
        <v>18000000</v>
      </c>
    </row>
    <row r="15" spans="1:4" x14ac:dyDescent="0.3">
      <c r="A15">
        <v>4</v>
      </c>
      <c r="B15">
        <v>2019</v>
      </c>
      <c r="C15" t="s">
        <v>148</v>
      </c>
      <c r="D15" s="1">
        <v>64000000</v>
      </c>
    </row>
    <row r="16" spans="1:4" x14ac:dyDescent="0.3">
      <c r="A16">
        <v>5</v>
      </c>
      <c r="B16">
        <v>2020</v>
      </c>
      <c r="C16" t="s">
        <v>148</v>
      </c>
      <c r="D16" s="1">
        <v>90000000</v>
      </c>
    </row>
    <row r="17" spans="1:4" x14ac:dyDescent="0.3">
      <c r="A17">
        <v>6</v>
      </c>
      <c r="B17">
        <v>2021</v>
      </c>
      <c r="C17" t="s">
        <v>148</v>
      </c>
      <c r="D17" s="1">
        <v>150461977.04764289</v>
      </c>
    </row>
    <row r="18" spans="1:4" x14ac:dyDescent="0.3">
      <c r="A18">
        <v>7</v>
      </c>
      <c r="B18">
        <v>2022</v>
      </c>
      <c r="C18" t="s">
        <v>148</v>
      </c>
      <c r="D18" s="1">
        <v>226066540.04147282</v>
      </c>
    </row>
    <row r="19" spans="1:4" x14ac:dyDescent="0.3">
      <c r="A19">
        <v>8</v>
      </c>
      <c r="B19">
        <v>2023</v>
      </c>
      <c r="C19" t="s">
        <v>148</v>
      </c>
      <c r="D19" s="1">
        <v>360900954.31998318</v>
      </c>
    </row>
    <row r="20" spans="1:4" x14ac:dyDescent="0.3">
      <c r="A20">
        <v>9</v>
      </c>
      <c r="B20">
        <v>2024</v>
      </c>
      <c r="C20" t="s">
        <v>148</v>
      </c>
      <c r="D20" s="1">
        <v>496482792.41723275</v>
      </c>
    </row>
    <row r="21" spans="1:4" x14ac:dyDescent="0.3">
      <c r="A21">
        <v>10</v>
      </c>
      <c r="B21">
        <v>2025</v>
      </c>
      <c r="C21" t="s">
        <v>148</v>
      </c>
      <c r="D21" s="1">
        <v>678655231.69148338</v>
      </c>
    </row>
    <row r="22" spans="1:4" x14ac:dyDescent="0.3">
      <c r="A22">
        <v>10</v>
      </c>
      <c r="B22">
        <v>2025</v>
      </c>
      <c r="C22" t="s">
        <v>149</v>
      </c>
      <c r="D22" s="1">
        <v>-110584078.60642385</v>
      </c>
    </row>
    <row r="23" spans="1:4" x14ac:dyDescent="0.3">
      <c r="A23">
        <v>9</v>
      </c>
      <c r="B23">
        <v>2024</v>
      </c>
      <c r="C23" t="s">
        <v>149</v>
      </c>
      <c r="D23" s="1">
        <v>-1820058547.3582144</v>
      </c>
    </row>
    <row r="24" spans="1:4" x14ac:dyDescent="0.3">
      <c r="A24">
        <v>8</v>
      </c>
      <c r="B24">
        <v>2023</v>
      </c>
      <c r="C24" t="s">
        <v>149</v>
      </c>
      <c r="D24" s="1">
        <v>-3058900378.9144311</v>
      </c>
    </row>
    <row r="25" spans="1:4" x14ac:dyDescent="0.3">
      <c r="A25">
        <v>7</v>
      </c>
      <c r="B25">
        <v>2022</v>
      </c>
      <c r="C25" t="s">
        <v>149</v>
      </c>
      <c r="D25" s="1">
        <v>-3764568777.8980637</v>
      </c>
    </row>
    <row r="26" spans="1:4" x14ac:dyDescent="0.3">
      <c r="A26">
        <v>6</v>
      </c>
      <c r="B26">
        <v>2021</v>
      </c>
      <c r="C26" t="s">
        <v>149</v>
      </c>
      <c r="D26" s="1">
        <v>-4090361301.1175556</v>
      </c>
    </row>
    <row r="27" spans="1:4" x14ac:dyDescent="0.3">
      <c r="A27">
        <v>5</v>
      </c>
      <c r="B27">
        <v>2020</v>
      </c>
      <c r="C27" t="s">
        <v>149</v>
      </c>
      <c r="D27" s="1">
        <v>-4995576379.5940933</v>
      </c>
    </row>
    <row r="28" spans="1:4" x14ac:dyDescent="0.3">
      <c r="A28">
        <v>4</v>
      </c>
      <c r="B28">
        <v>2019</v>
      </c>
      <c r="C28" t="s">
        <v>149</v>
      </c>
      <c r="D28" s="1">
        <v>-4706934150</v>
      </c>
    </row>
    <row r="29" spans="1:4" x14ac:dyDescent="0.3">
      <c r="A29">
        <v>3</v>
      </c>
      <c r="B29">
        <v>2018</v>
      </c>
      <c r="C29" t="s">
        <v>149</v>
      </c>
      <c r="D29" s="1">
        <v>-3877356150</v>
      </c>
    </row>
    <row r="30" spans="1:4" x14ac:dyDescent="0.3">
      <c r="A30">
        <v>2</v>
      </c>
      <c r="B30">
        <v>2017</v>
      </c>
      <c r="C30" t="s">
        <v>149</v>
      </c>
      <c r="D30" s="1">
        <v>-3417853200</v>
      </c>
    </row>
    <row r="31" spans="1:4" x14ac:dyDescent="0.3">
      <c r="A31">
        <v>1</v>
      </c>
      <c r="B31">
        <v>2016</v>
      </c>
      <c r="C31" t="s">
        <v>149</v>
      </c>
      <c r="D31" s="1">
        <v>-3138587200</v>
      </c>
    </row>
    <row r="32" spans="1:4" x14ac:dyDescent="0.3">
      <c r="A32">
        <v>10</v>
      </c>
      <c r="B32">
        <v>2025</v>
      </c>
      <c r="C32" t="s">
        <v>150</v>
      </c>
      <c r="D32" s="1">
        <v>-2979957957.9227071</v>
      </c>
    </row>
    <row r="33" spans="1:4" x14ac:dyDescent="0.3">
      <c r="A33">
        <v>9</v>
      </c>
      <c r="B33">
        <v>2024</v>
      </c>
      <c r="C33" t="s">
        <v>150</v>
      </c>
      <c r="D33" s="1">
        <v>-4086246097.2378111</v>
      </c>
    </row>
    <row r="34" spans="1:4" x14ac:dyDescent="0.3">
      <c r="A34">
        <v>8</v>
      </c>
      <c r="B34">
        <v>2023</v>
      </c>
      <c r="C34" t="s">
        <v>150</v>
      </c>
      <c r="D34" s="1">
        <v>-4848717334.7258739</v>
      </c>
    </row>
    <row r="35" spans="1:4" x14ac:dyDescent="0.3">
      <c r="A35">
        <v>7</v>
      </c>
      <c r="B35">
        <v>2022</v>
      </c>
      <c r="C35" t="s">
        <v>150</v>
      </c>
      <c r="D35" s="1">
        <v>-5178173637.9632025</v>
      </c>
    </row>
    <row r="36" spans="1:4" x14ac:dyDescent="0.3">
      <c r="A36">
        <v>6</v>
      </c>
      <c r="B36">
        <v>2021</v>
      </c>
      <c r="C36" t="s">
        <v>150</v>
      </c>
      <c r="D36" s="1">
        <v>-5206816333.2380047</v>
      </c>
    </row>
    <row r="37" spans="1:4" x14ac:dyDescent="0.3">
      <c r="A37">
        <v>5</v>
      </c>
      <c r="B37">
        <v>2020</v>
      </c>
      <c r="C37" t="s">
        <v>150</v>
      </c>
      <c r="D37" s="1">
        <v>-4995576379.5940933</v>
      </c>
    </row>
    <row r="38" spans="1:4" x14ac:dyDescent="0.3">
      <c r="A38">
        <v>4</v>
      </c>
      <c r="B38">
        <v>2019</v>
      </c>
      <c r="C38" t="s">
        <v>150</v>
      </c>
      <c r="D38" s="1">
        <v>-4706934150</v>
      </c>
    </row>
    <row r="39" spans="1:4" x14ac:dyDescent="0.3">
      <c r="A39">
        <v>3</v>
      </c>
      <c r="B39">
        <v>2018</v>
      </c>
      <c r="C39" t="s">
        <v>150</v>
      </c>
      <c r="D39" s="1">
        <v>-3877356150</v>
      </c>
    </row>
    <row r="40" spans="1:4" x14ac:dyDescent="0.3">
      <c r="A40">
        <v>2</v>
      </c>
      <c r="B40">
        <v>2017</v>
      </c>
      <c r="C40" t="s">
        <v>150</v>
      </c>
      <c r="D40" s="1">
        <v>-3417853200</v>
      </c>
    </row>
    <row r="41" spans="1:4" x14ac:dyDescent="0.3">
      <c r="A41">
        <v>1</v>
      </c>
      <c r="B41">
        <v>2016</v>
      </c>
      <c r="C41" t="s">
        <v>150</v>
      </c>
      <c r="D41" s="1">
        <v>-3138587200</v>
      </c>
    </row>
    <row r="42" spans="1:4" x14ac:dyDescent="0.3">
      <c r="A42">
        <v>1</v>
      </c>
      <c r="B42">
        <v>2016</v>
      </c>
      <c r="C42" t="s">
        <v>144</v>
      </c>
      <c r="D42">
        <v>355088</v>
      </c>
    </row>
    <row r="43" spans="1:4" x14ac:dyDescent="0.3">
      <c r="A43">
        <v>2</v>
      </c>
      <c r="B43">
        <v>2017</v>
      </c>
      <c r="C43" t="s">
        <v>144</v>
      </c>
      <c r="D43">
        <v>526000</v>
      </c>
    </row>
    <row r="44" spans="1:4" x14ac:dyDescent="0.3">
      <c r="A44">
        <v>3</v>
      </c>
      <c r="B44">
        <v>2018</v>
      </c>
      <c r="C44" t="s">
        <v>144</v>
      </c>
      <c r="D44">
        <v>715000</v>
      </c>
    </row>
    <row r="45" spans="1:4" x14ac:dyDescent="0.3">
      <c r="A45">
        <v>4</v>
      </c>
      <c r="B45">
        <v>2019</v>
      </c>
      <c r="C45" t="s">
        <v>144</v>
      </c>
      <c r="D45">
        <v>1083000</v>
      </c>
    </row>
    <row r="46" spans="1:4" x14ac:dyDescent="0.3">
      <c r="A46">
        <v>5</v>
      </c>
      <c r="B46">
        <v>2020</v>
      </c>
      <c r="C46" t="s">
        <v>144</v>
      </c>
      <c r="D46">
        <v>1440000</v>
      </c>
    </row>
    <row r="47" spans="1:4" x14ac:dyDescent="0.3">
      <c r="A47">
        <v>6</v>
      </c>
      <c r="B47">
        <v>2021</v>
      </c>
      <c r="C47" t="s">
        <v>144</v>
      </c>
      <c r="D47">
        <v>2016000</v>
      </c>
    </row>
    <row r="48" spans="1:4" x14ac:dyDescent="0.3">
      <c r="A48">
        <v>7</v>
      </c>
      <c r="B48">
        <v>2022</v>
      </c>
      <c r="C48" t="s">
        <v>144</v>
      </c>
      <c r="D48">
        <v>2923200</v>
      </c>
    </row>
    <row r="49" spans="1:4" x14ac:dyDescent="0.3">
      <c r="A49">
        <v>8</v>
      </c>
      <c r="B49">
        <v>2023</v>
      </c>
      <c r="C49" t="s">
        <v>144</v>
      </c>
      <c r="D49">
        <v>4238640</v>
      </c>
    </row>
    <row r="50" spans="1:4" x14ac:dyDescent="0.3">
      <c r="A50">
        <v>9</v>
      </c>
      <c r="B50">
        <v>2024</v>
      </c>
      <c r="C50" t="s">
        <v>144</v>
      </c>
      <c r="D50">
        <v>5510232</v>
      </c>
    </row>
    <row r="51" spans="1:4" x14ac:dyDescent="0.3">
      <c r="A51">
        <v>10</v>
      </c>
      <c r="B51">
        <v>2025</v>
      </c>
      <c r="C51" t="s">
        <v>144</v>
      </c>
      <c r="D51">
        <v>7163301.5999999996</v>
      </c>
    </row>
    <row r="52" spans="1:4" x14ac:dyDescent="0.3">
      <c r="A52">
        <v>2</v>
      </c>
      <c r="B52">
        <v>2017</v>
      </c>
      <c r="C52" t="s">
        <v>40</v>
      </c>
      <c r="D52" s="1">
        <v>170400000</v>
      </c>
    </row>
    <row r="53" spans="1:4" x14ac:dyDescent="0.3">
      <c r="A53">
        <v>3</v>
      </c>
      <c r="B53">
        <v>2018</v>
      </c>
      <c r="C53" t="s">
        <v>40</v>
      </c>
      <c r="D53" s="1">
        <v>175000000</v>
      </c>
    </row>
    <row r="54" spans="1:4" x14ac:dyDescent="0.3">
      <c r="A54">
        <v>1</v>
      </c>
      <c r="B54">
        <v>2016</v>
      </c>
      <c r="C54" t="s">
        <v>40</v>
      </c>
      <c r="D54" s="1">
        <v>213052800</v>
      </c>
    </row>
    <row r="55" spans="1:4" x14ac:dyDescent="0.3">
      <c r="A55">
        <v>4</v>
      </c>
      <c r="B55">
        <v>2019</v>
      </c>
      <c r="C55" t="s">
        <v>40</v>
      </c>
      <c r="D55" s="1">
        <v>349200000</v>
      </c>
    </row>
    <row r="56" spans="1:4" x14ac:dyDescent="0.3">
      <c r="A56">
        <v>5</v>
      </c>
      <c r="B56">
        <v>2020</v>
      </c>
      <c r="C56" t="s">
        <v>40</v>
      </c>
      <c r="D56" s="1">
        <v>538000000.00000012</v>
      </c>
    </row>
    <row r="57" spans="1:4" x14ac:dyDescent="0.3">
      <c r="A57">
        <v>6</v>
      </c>
      <c r="B57">
        <v>2021</v>
      </c>
      <c r="C57" t="s">
        <v>40</v>
      </c>
      <c r="D57" s="1">
        <v>806400000</v>
      </c>
    </row>
    <row r="58" spans="1:4" x14ac:dyDescent="0.3">
      <c r="A58">
        <v>7</v>
      </c>
      <c r="B58">
        <v>2022</v>
      </c>
      <c r="C58" t="s">
        <v>40</v>
      </c>
      <c r="D58" s="1">
        <v>1286208000</v>
      </c>
    </row>
    <row r="59" spans="1:4" x14ac:dyDescent="0.3">
      <c r="A59">
        <v>8</v>
      </c>
      <c r="B59">
        <v>2023</v>
      </c>
      <c r="C59" t="s">
        <v>40</v>
      </c>
      <c r="D59" s="1">
        <v>1865001600</v>
      </c>
    </row>
    <row r="60" spans="1:4" x14ac:dyDescent="0.3">
      <c r="A60">
        <v>9</v>
      </c>
      <c r="B60">
        <v>2024</v>
      </c>
      <c r="C60" t="s">
        <v>40</v>
      </c>
      <c r="D60" s="1">
        <v>2666952288</v>
      </c>
    </row>
    <row r="61" spans="1:4" x14ac:dyDescent="0.3">
      <c r="A61">
        <v>10</v>
      </c>
      <c r="B61">
        <v>2025</v>
      </c>
      <c r="C61" t="s">
        <v>40</v>
      </c>
      <c r="D61" s="1">
        <v>3467037974.3999996</v>
      </c>
    </row>
    <row r="62" spans="1:4" x14ac:dyDescent="0.3">
      <c r="A62">
        <v>10</v>
      </c>
      <c r="B62">
        <v>2025</v>
      </c>
      <c r="C62" t="s">
        <v>147</v>
      </c>
      <c r="D62" s="1">
        <v>-2740894993.577426</v>
      </c>
    </row>
    <row r="63" spans="1:4" x14ac:dyDescent="0.3">
      <c r="A63">
        <v>9</v>
      </c>
      <c r="B63">
        <v>2024</v>
      </c>
      <c r="C63" t="s">
        <v>147</v>
      </c>
      <c r="D63" s="1">
        <v>-2182610469.1711702</v>
      </c>
    </row>
    <row r="64" spans="1:4" x14ac:dyDescent="0.3">
      <c r="A64">
        <v>8</v>
      </c>
      <c r="B64">
        <v>2023</v>
      </c>
      <c r="C64" t="s">
        <v>147</v>
      </c>
      <c r="D64" s="1">
        <v>-1737749914.0155907</v>
      </c>
    </row>
    <row r="65" spans="1:4" x14ac:dyDescent="0.3">
      <c r="A65">
        <v>7</v>
      </c>
      <c r="B65">
        <v>2022</v>
      </c>
      <c r="C65" t="s">
        <v>147</v>
      </c>
      <c r="D65" s="1">
        <v>-1384221293.9409845</v>
      </c>
    </row>
    <row r="66" spans="1:4" x14ac:dyDescent="0.3">
      <c r="A66">
        <v>6</v>
      </c>
      <c r="B66">
        <v>2021</v>
      </c>
      <c r="C66" t="s">
        <v>147</v>
      </c>
      <c r="D66" s="1">
        <v>-1102117185.6815119</v>
      </c>
    </row>
    <row r="67" spans="1:4" x14ac:dyDescent="0.3">
      <c r="A67">
        <v>5</v>
      </c>
      <c r="B67">
        <v>2020</v>
      </c>
      <c r="C67" t="s">
        <v>147</v>
      </c>
      <c r="D67" s="1">
        <v>-877042229.59409285</v>
      </c>
    </row>
    <row r="68" spans="1:4" x14ac:dyDescent="0.3">
      <c r="A68">
        <v>4</v>
      </c>
      <c r="B68">
        <v>2019</v>
      </c>
      <c r="C68" t="s">
        <v>147</v>
      </c>
      <c r="D68" s="1">
        <v>-699617999.99999988</v>
      </c>
    </row>
    <row r="69" spans="1:4" x14ac:dyDescent="0.3">
      <c r="A69">
        <v>3</v>
      </c>
      <c r="B69">
        <v>2018</v>
      </c>
      <c r="C69" t="s">
        <v>147</v>
      </c>
      <c r="D69" s="1">
        <v>-556282950</v>
      </c>
    </row>
    <row r="70" spans="1:4" x14ac:dyDescent="0.3">
      <c r="A70">
        <v>2</v>
      </c>
      <c r="B70">
        <v>2017</v>
      </c>
      <c r="C70" t="s">
        <v>147</v>
      </c>
      <c r="D70" s="1">
        <v>-441977999.99999994</v>
      </c>
    </row>
    <row r="71" spans="1:4" x14ac:dyDescent="0.3">
      <c r="A71">
        <v>1</v>
      </c>
      <c r="B71">
        <v>2016</v>
      </c>
      <c r="C71" t="s">
        <v>147</v>
      </c>
      <c r="D71" s="1">
        <v>-355140000</v>
      </c>
    </row>
    <row r="72" spans="1:4" x14ac:dyDescent="0.3">
      <c r="A72">
        <v>10</v>
      </c>
      <c r="B72">
        <v>2025</v>
      </c>
      <c r="C72" t="s">
        <v>142</v>
      </c>
      <c r="D72" s="1">
        <v>-2740894993.577426</v>
      </c>
    </row>
    <row r="73" spans="1:4" x14ac:dyDescent="0.3">
      <c r="A73">
        <v>9</v>
      </c>
      <c r="B73">
        <v>2024</v>
      </c>
      <c r="C73" t="s">
        <v>142</v>
      </c>
      <c r="D73" s="1">
        <v>-2182610469.1711702</v>
      </c>
    </row>
    <row r="74" spans="1:4" x14ac:dyDescent="0.3">
      <c r="A74">
        <v>8</v>
      </c>
      <c r="B74">
        <v>2023</v>
      </c>
      <c r="C74" t="s">
        <v>142</v>
      </c>
      <c r="D74" s="1">
        <v>-1737749914.0155907</v>
      </c>
    </row>
    <row r="75" spans="1:4" x14ac:dyDescent="0.3">
      <c r="A75">
        <v>7</v>
      </c>
      <c r="B75">
        <v>2022</v>
      </c>
      <c r="C75" t="s">
        <v>142</v>
      </c>
      <c r="D75" s="1">
        <v>-1384221293.9409845</v>
      </c>
    </row>
    <row r="76" spans="1:4" x14ac:dyDescent="0.3">
      <c r="A76">
        <v>6</v>
      </c>
      <c r="B76">
        <v>2021</v>
      </c>
      <c r="C76" t="s">
        <v>142</v>
      </c>
      <c r="D76" s="1">
        <v>-1102117185.6815119</v>
      </c>
    </row>
    <row r="77" spans="1:4" x14ac:dyDescent="0.3">
      <c r="A77">
        <v>5</v>
      </c>
      <c r="B77">
        <v>2020</v>
      </c>
      <c r="C77" t="s">
        <v>142</v>
      </c>
      <c r="D77" s="1">
        <v>-877042229.59409285</v>
      </c>
    </row>
    <row r="78" spans="1:4" x14ac:dyDescent="0.3">
      <c r="A78">
        <v>4</v>
      </c>
      <c r="B78">
        <v>2019</v>
      </c>
      <c r="C78" t="s">
        <v>142</v>
      </c>
      <c r="D78" s="1">
        <v>-699617999.99999988</v>
      </c>
    </row>
    <row r="79" spans="1:4" x14ac:dyDescent="0.3">
      <c r="A79">
        <v>3</v>
      </c>
      <c r="B79">
        <v>2018</v>
      </c>
      <c r="C79" t="s">
        <v>142</v>
      </c>
      <c r="D79" s="1">
        <v>-556282950</v>
      </c>
    </row>
    <row r="80" spans="1:4" x14ac:dyDescent="0.3">
      <c r="A80">
        <v>2</v>
      </c>
      <c r="B80">
        <v>2017</v>
      </c>
      <c r="C80" t="s">
        <v>142</v>
      </c>
      <c r="D80" s="1">
        <v>-441977999.99999994</v>
      </c>
    </row>
    <row r="81" spans="1:4" x14ac:dyDescent="0.3">
      <c r="A81">
        <v>1</v>
      </c>
      <c r="B81">
        <v>2016</v>
      </c>
      <c r="C81" t="s">
        <v>142</v>
      </c>
      <c r="D81" s="1">
        <v>-355140000</v>
      </c>
    </row>
    <row r="82" spans="1:4" x14ac:dyDescent="0.3">
      <c r="A82">
        <v>1</v>
      </c>
      <c r="B82">
        <v>2016</v>
      </c>
      <c r="C82" t="s">
        <v>45</v>
      </c>
      <c r="D82" s="1">
        <v>4200000</v>
      </c>
    </row>
    <row r="83" spans="1:4" x14ac:dyDescent="0.3">
      <c r="A83">
        <v>2</v>
      </c>
      <c r="B83">
        <v>2017</v>
      </c>
      <c r="C83" t="s">
        <v>45</v>
      </c>
      <c r="D83" s="1">
        <v>5712000</v>
      </c>
    </row>
    <row r="84" spans="1:4" x14ac:dyDescent="0.3">
      <c r="A84">
        <v>3</v>
      </c>
      <c r="B84">
        <v>2018</v>
      </c>
      <c r="C84" t="s">
        <v>45</v>
      </c>
      <c r="D84" s="1">
        <v>10080000</v>
      </c>
    </row>
    <row r="85" spans="1:4" x14ac:dyDescent="0.3">
      <c r="A85">
        <v>4</v>
      </c>
      <c r="B85">
        <v>2019</v>
      </c>
      <c r="C85" t="s">
        <v>45</v>
      </c>
      <c r="D85" s="1">
        <v>35840000</v>
      </c>
    </row>
    <row r="86" spans="1:4" x14ac:dyDescent="0.3">
      <c r="A86">
        <v>5</v>
      </c>
      <c r="B86">
        <v>2020</v>
      </c>
      <c r="C86" t="s">
        <v>45</v>
      </c>
      <c r="D86" s="1">
        <v>50400000</v>
      </c>
    </row>
    <row r="87" spans="1:4" x14ac:dyDescent="0.3">
      <c r="A87">
        <v>6</v>
      </c>
      <c r="B87">
        <v>2021</v>
      </c>
      <c r="C87" t="s">
        <v>45</v>
      </c>
      <c r="D87" s="1">
        <v>84258707.146680012</v>
      </c>
    </row>
    <row r="88" spans="1:4" x14ac:dyDescent="0.3">
      <c r="A88">
        <v>7</v>
      </c>
      <c r="B88">
        <v>2022</v>
      </c>
      <c r="C88" t="s">
        <v>45</v>
      </c>
      <c r="D88" s="1">
        <v>126597262.42322478</v>
      </c>
    </row>
    <row r="89" spans="1:4" x14ac:dyDescent="0.3">
      <c r="A89">
        <v>8</v>
      </c>
      <c r="B89">
        <v>2023</v>
      </c>
      <c r="C89" t="s">
        <v>45</v>
      </c>
      <c r="D89" s="1">
        <v>202104534.41919059</v>
      </c>
    </row>
    <row r="90" spans="1:4" x14ac:dyDescent="0.3">
      <c r="A90">
        <v>9</v>
      </c>
      <c r="B90">
        <v>2024</v>
      </c>
      <c r="C90" t="s">
        <v>45</v>
      </c>
      <c r="D90" s="1">
        <v>278030363.75365037</v>
      </c>
    </row>
    <row r="91" spans="1:4" x14ac:dyDescent="0.3">
      <c r="A91">
        <v>10</v>
      </c>
      <c r="B91">
        <v>2025</v>
      </c>
      <c r="C91" t="s">
        <v>45</v>
      </c>
      <c r="D91" s="1">
        <v>380046929.74723071</v>
      </c>
    </row>
    <row r="92" spans="1:4" x14ac:dyDescent="0.3">
      <c r="A92">
        <v>3</v>
      </c>
      <c r="B92">
        <v>2018</v>
      </c>
      <c r="C92" t="s">
        <v>146</v>
      </c>
      <c r="D92" s="1">
        <v>244.75524475524475</v>
      </c>
    </row>
    <row r="93" spans="1:4" x14ac:dyDescent="0.3">
      <c r="A93">
        <v>4</v>
      </c>
      <c r="B93">
        <v>2019</v>
      </c>
      <c r="C93" t="s">
        <v>146</v>
      </c>
      <c r="D93" s="1">
        <v>322.4376731301939</v>
      </c>
    </row>
    <row r="94" spans="1:4" x14ac:dyDescent="0.3">
      <c r="A94">
        <v>2</v>
      </c>
      <c r="B94">
        <v>2017</v>
      </c>
      <c r="C94" t="s">
        <v>146</v>
      </c>
      <c r="D94" s="1">
        <v>323.95437262357416</v>
      </c>
    </row>
    <row r="95" spans="1:4" x14ac:dyDescent="0.3">
      <c r="A95">
        <v>5</v>
      </c>
      <c r="B95">
        <v>2020</v>
      </c>
      <c r="C95" t="s">
        <v>146</v>
      </c>
      <c r="D95" s="1">
        <v>373.6111111111112</v>
      </c>
    </row>
    <row r="96" spans="1:4" x14ac:dyDescent="0.3">
      <c r="A96">
        <v>6</v>
      </c>
      <c r="B96">
        <v>2021</v>
      </c>
      <c r="C96" t="s">
        <v>146</v>
      </c>
      <c r="D96" s="1">
        <v>400</v>
      </c>
    </row>
    <row r="97" spans="1:4" x14ac:dyDescent="0.3">
      <c r="A97">
        <v>7</v>
      </c>
      <c r="B97">
        <v>2022</v>
      </c>
      <c r="C97" t="s">
        <v>146</v>
      </c>
      <c r="D97" s="1">
        <v>440</v>
      </c>
    </row>
    <row r="98" spans="1:4" x14ac:dyDescent="0.3">
      <c r="A98">
        <v>8</v>
      </c>
      <c r="B98">
        <v>2023</v>
      </c>
      <c r="C98" t="s">
        <v>146</v>
      </c>
      <c r="D98" s="1">
        <v>440</v>
      </c>
    </row>
    <row r="99" spans="1:4" x14ac:dyDescent="0.3">
      <c r="A99">
        <v>9</v>
      </c>
      <c r="B99">
        <v>2024</v>
      </c>
      <c r="C99" t="s">
        <v>146</v>
      </c>
      <c r="D99" s="1">
        <v>484</v>
      </c>
    </row>
    <row r="100" spans="1:4" x14ac:dyDescent="0.3">
      <c r="A100">
        <v>10</v>
      </c>
      <c r="B100">
        <v>2025</v>
      </c>
      <c r="C100" t="s">
        <v>146</v>
      </c>
      <c r="D100" s="1">
        <v>484</v>
      </c>
    </row>
    <row r="101" spans="1:4" x14ac:dyDescent="0.3">
      <c r="A101">
        <v>1</v>
      </c>
      <c r="B101">
        <v>2016</v>
      </c>
      <c r="C101" t="s">
        <v>146</v>
      </c>
      <c r="D101" s="1">
        <v>600</v>
      </c>
    </row>
    <row r="102" spans="1:4" x14ac:dyDescent="0.3">
      <c r="A102">
        <v>10</v>
      </c>
      <c r="B102">
        <v>2025</v>
      </c>
      <c r="C102" t="s">
        <v>109</v>
      </c>
      <c r="D102" s="1">
        <v>-2980532576.0908012</v>
      </c>
    </row>
    <row r="103" spans="1:4" x14ac:dyDescent="0.3">
      <c r="A103">
        <v>9</v>
      </c>
      <c r="B103">
        <v>2024</v>
      </c>
      <c r="C103" t="s">
        <v>109</v>
      </c>
      <c r="D103" s="1">
        <v>-4086722486.6606059</v>
      </c>
    </row>
    <row r="104" spans="1:4" x14ac:dyDescent="0.3">
      <c r="A104">
        <v>8</v>
      </c>
      <c r="B104">
        <v>2023</v>
      </c>
      <c r="C104" t="s">
        <v>109</v>
      </c>
      <c r="D104" s="1">
        <v>-4849094669.2430859</v>
      </c>
    </row>
    <row r="105" spans="1:4" x14ac:dyDescent="0.3">
      <c r="A105">
        <v>7</v>
      </c>
      <c r="B105">
        <v>2022</v>
      </c>
      <c r="C105" t="s">
        <v>109</v>
      </c>
      <c r="D105" s="1">
        <v>-5178450889.6466856</v>
      </c>
    </row>
    <row r="106" spans="1:4" x14ac:dyDescent="0.3">
      <c r="A106">
        <v>6</v>
      </c>
      <c r="B106">
        <v>2021</v>
      </c>
      <c r="C106" t="s">
        <v>109</v>
      </c>
      <c r="D106" s="1">
        <v>-5207034858.1289253</v>
      </c>
    </row>
    <row r="107" spans="1:4" x14ac:dyDescent="0.3">
      <c r="A107">
        <v>5</v>
      </c>
      <c r="B107">
        <v>2020</v>
      </c>
      <c r="C107" t="s">
        <v>109</v>
      </c>
      <c r="D107" s="1">
        <v>-4995576379.5940933</v>
      </c>
    </row>
    <row r="108" spans="1:4" x14ac:dyDescent="0.3">
      <c r="A108">
        <v>4</v>
      </c>
      <c r="B108">
        <v>2019</v>
      </c>
      <c r="C108" t="s">
        <v>109</v>
      </c>
      <c r="D108" s="1">
        <v>-4706934150</v>
      </c>
    </row>
    <row r="109" spans="1:4" x14ac:dyDescent="0.3">
      <c r="A109">
        <v>3</v>
      </c>
      <c r="B109">
        <v>2018</v>
      </c>
      <c r="C109" t="s">
        <v>109</v>
      </c>
      <c r="D109" s="1">
        <v>-3877356150</v>
      </c>
    </row>
    <row r="110" spans="1:4" x14ac:dyDescent="0.3">
      <c r="A110">
        <v>2</v>
      </c>
      <c r="B110">
        <v>2017</v>
      </c>
      <c r="C110" t="s">
        <v>109</v>
      </c>
      <c r="D110" s="1">
        <v>-3417853200</v>
      </c>
    </row>
    <row r="111" spans="1:4" x14ac:dyDescent="0.3">
      <c r="A111">
        <v>1</v>
      </c>
      <c r="B111">
        <v>2016</v>
      </c>
      <c r="C111" t="s">
        <v>109</v>
      </c>
      <c r="D111" s="1">
        <v>-3138587200</v>
      </c>
    </row>
    <row r="112" spans="1:4" x14ac:dyDescent="0.3">
      <c r="A112">
        <v>1</v>
      </c>
      <c r="B112">
        <v>2016</v>
      </c>
      <c r="C112" t="s">
        <v>145</v>
      </c>
      <c r="D112" s="21">
        <v>0.12</v>
      </c>
    </row>
    <row r="113" spans="1:4" x14ac:dyDescent="0.3">
      <c r="A113">
        <v>2</v>
      </c>
      <c r="B113">
        <v>2017</v>
      </c>
      <c r="C113" t="s">
        <v>145</v>
      </c>
      <c r="D113" s="21">
        <v>0.12</v>
      </c>
    </row>
    <row r="114" spans="1:4" x14ac:dyDescent="0.3">
      <c r="A114">
        <v>3</v>
      </c>
      <c r="B114">
        <v>2018</v>
      </c>
      <c r="C114" t="s">
        <v>145</v>
      </c>
      <c r="D114" s="21">
        <v>0.12</v>
      </c>
    </row>
    <row r="115" spans="1:4" x14ac:dyDescent="0.3">
      <c r="A115">
        <v>4</v>
      </c>
      <c r="B115">
        <v>2019</v>
      </c>
      <c r="C115" t="s">
        <v>145</v>
      </c>
      <c r="D115" s="21">
        <v>0.12</v>
      </c>
    </row>
    <row r="116" spans="1:4" x14ac:dyDescent="0.3">
      <c r="A116">
        <v>5</v>
      </c>
      <c r="B116">
        <v>2020</v>
      </c>
      <c r="C116" t="s">
        <v>145</v>
      </c>
      <c r="D116" s="21">
        <v>0.12</v>
      </c>
    </row>
    <row r="117" spans="1:4" x14ac:dyDescent="0.3">
      <c r="A117">
        <v>6</v>
      </c>
      <c r="B117">
        <v>2021</v>
      </c>
      <c r="C117" t="s">
        <v>145</v>
      </c>
      <c r="D117" s="21">
        <v>0.12</v>
      </c>
    </row>
    <row r="118" spans="1:4" x14ac:dyDescent="0.3">
      <c r="A118">
        <v>7</v>
      </c>
      <c r="B118">
        <v>2022</v>
      </c>
      <c r="C118" t="s">
        <v>145</v>
      </c>
      <c r="D118" s="21">
        <v>0.12</v>
      </c>
    </row>
    <row r="119" spans="1:4" x14ac:dyDescent="0.3">
      <c r="A119">
        <v>8</v>
      </c>
      <c r="B119">
        <v>2023</v>
      </c>
      <c r="C119" t="s">
        <v>145</v>
      </c>
      <c r="D119" s="21">
        <v>0.12</v>
      </c>
    </row>
    <row r="120" spans="1:4" x14ac:dyDescent="0.3">
      <c r="A120">
        <v>9</v>
      </c>
      <c r="B120">
        <v>2024</v>
      </c>
      <c r="C120" t="s">
        <v>145</v>
      </c>
      <c r="D120" s="21">
        <v>0.12</v>
      </c>
    </row>
    <row r="121" spans="1:4" x14ac:dyDescent="0.3">
      <c r="A121">
        <v>10</v>
      </c>
      <c r="B121">
        <v>2025</v>
      </c>
      <c r="C121" t="s">
        <v>145</v>
      </c>
      <c r="D121" s="21">
        <v>0.12</v>
      </c>
    </row>
    <row r="122" spans="1:4" x14ac:dyDescent="0.3">
      <c r="A122">
        <v>2</v>
      </c>
      <c r="B122">
        <v>2017</v>
      </c>
      <c r="C122" t="s">
        <v>46</v>
      </c>
      <c r="D122" s="1">
        <v>176112000</v>
      </c>
    </row>
    <row r="123" spans="1:4" x14ac:dyDescent="0.3">
      <c r="A123">
        <v>3</v>
      </c>
      <c r="B123">
        <v>2018</v>
      </c>
      <c r="C123" t="s">
        <v>46</v>
      </c>
      <c r="D123" s="1">
        <v>185080000</v>
      </c>
    </row>
    <row r="124" spans="1:4" x14ac:dyDescent="0.3">
      <c r="A124">
        <v>1</v>
      </c>
      <c r="B124">
        <v>2016</v>
      </c>
      <c r="C124" t="s">
        <v>46</v>
      </c>
      <c r="D124" s="1">
        <v>217252800</v>
      </c>
    </row>
    <row r="125" spans="1:4" x14ac:dyDescent="0.3">
      <c r="A125">
        <v>4</v>
      </c>
      <c r="B125">
        <v>2019</v>
      </c>
      <c r="C125" t="s">
        <v>46</v>
      </c>
      <c r="D125" s="1">
        <v>385040000</v>
      </c>
    </row>
    <row r="126" spans="1:4" x14ac:dyDescent="0.3">
      <c r="A126">
        <v>5</v>
      </c>
      <c r="B126">
        <v>2020</v>
      </c>
      <c r="C126" t="s">
        <v>46</v>
      </c>
      <c r="D126" s="1">
        <v>588400000.00000012</v>
      </c>
    </row>
    <row r="127" spans="1:4" x14ac:dyDescent="0.3">
      <c r="A127">
        <v>6</v>
      </c>
      <c r="B127">
        <v>2021</v>
      </c>
      <c r="C127" t="s">
        <v>46</v>
      </c>
      <c r="D127" s="1">
        <v>890658707.14668</v>
      </c>
    </row>
    <row r="128" spans="1:4" x14ac:dyDescent="0.3">
      <c r="A128">
        <v>7</v>
      </c>
      <c r="B128">
        <v>2022</v>
      </c>
      <c r="C128" t="s">
        <v>46</v>
      </c>
      <c r="D128" s="1">
        <v>1412805262.4232247</v>
      </c>
    </row>
    <row r="129" spans="1:5" x14ac:dyDescent="0.3">
      <c r="A129">
        <v>8</v>
      </c>
      <c r="B129">
        <v>2023</v>
      </c>
      <c r="C129" t="s">
        <v>46</v>
      </c>
      <c r="D129" s="1">
        <v>2067106134.4191906</v>
      </c>
    </row>
    <row r="130" spans="1:5" x14ac:dyDescent="0.3">
      <c r="A130">
        <v>9</v>
      </c>
      <c r="B130">
        <v>2024</v>
      </c>
      <c r="C130" t="s">
        <v>46</v>
      </c>
      <c r="D130" s="1">
        <v>2944982651.7536502</v>
      </c>
    </row>
    <row r="131" spans="1:5" x14ac:dyDescent="0.3">
      <c r="A131">
        <v>10</v>
      </c>
      <c r="B131">
        <v>2025</v>
      </c>
      <c r="C131" t="s">
        <v>46</v>
      </c>
      <c r="D131" s="1">
        <v>3847084904.1472301</v>
      </c>
    </row>
    <row r="132" spans="1:5" x14ac:dyDescent="0.3">
      <c r="A132">
        <v>1</v>
      </c>
      <c r="B132">
        <v>2016</v>
      </c>
      <c r="C132" t="s">
        <v>106</v>
      </c>
      <c r="D132" s="1">
        <v>-3000000000</v>
      </c>
    </row>
    <row r="133" spans="1:5" x14ac:dyDescent="0.3">
      <c r="A133">
        <v>2</v>
      </c>
      <c r="B133">
        <v>2017</v>
      </c>
      <c r="C133" t="s">
        <v>106</v>
      </c>
      <c r="D133" s="1">
        <v>-700000</v>
      </c>
      <c r="E133" s="1"/>
    </row>
    <row r="134" spans="1:5" x14ac:dyDescent="0.3">
      <c r="A134">
        <v>3</v>
      </c>
      <c r="B134">
        <v>2018</v>
      </c>
      <c r="C134" t="s">
        <v>106</v>
      </c>
      <c r="D134" s="1">
        <v>-13400000</v>
      </c>
      <c r="E134" s="1"/>
    </row>
    <row r="135" spans="1:5" x14ac:dyDescent="0.3">
      <c r="A135">
        <v>4</v>
      </c>
      <c r="B135">
        <v>2019</v>
      </c>
      <c r="C135" t="s">
        <v>106</v>
      </c>
      <c r="D135" s="1">
        <v>-88300000</v>
      </c>
      <c r="E135" s="1"/>
    </row>
    <row r="136" spans="1:5" x14ac:dyDescent="0.3">
      <c r="A136">
        <v>5</v>
      </c>
      <c r="B136">
        <v>2020</v>
      </c>
      <c r="C136" t="s">
        <v>106</v>
      </c>
      <c r="D136" s="1">
        <v>-515000000</v>
      </c>
      <c r="E136" s="1"/>
    </row>
    <row r="137" spans="1:5" x14ac:dyDescent="0.3">
      <c r="A137">
        <v>6</v>
      </c>
      <c r="B137">
        <v>2021</v>
      </c>
      <c r="C137" t="s">
        <v>106</v>
      </c>
      <c r="D137" s="1">
        <v>-34133333.333333492</v>
      </c>
      <c r="E137" s="1"/>
    </row>
    <row r="138" spans="1:5" x14ac:dyDescent="0.3">
      <c r="A138">
        <v>7</v>
      </c>
      <c r="B138">
        <v>2022</v>
      </c>
      <c r="C138" t="s">
        <v>106</v>
      </c>
      <c r="D138" s="1">
        <v>-35840000</v>
      </c>
      <c r="E138" s="1"/>
    </row>
    <row r="139" spans="1:5" x14ac:dyDescent="0.3">
      <c r="A139">
        <v>8</v>
      </c>
      <c r="B139">
        <v>2023</v>
      </c>
      <c r="C139" t="s">
        <v>106</v>
      </c>
      <c r="D139" s="1">
        <v>-37632000</v>
      </c>
      <c r="E139" s="1"/>
    </row>
    <row r="140" spans="1:5" x14ac:dyDescent="0.3">
      <c r="A140">
        <v>9</v>
      </c>
      <c r="B140">
        <v>2024</v>
      </c>
      <c r="C140" t="s">
        <v>106</v>
      </c>
      <c r="D140" s="1">
        <v>-39513600</v>
      </c>
      <c r="E140" s="1"/>
    </row>
    <row r="141" spans="1:5" x14ac:dyDescent="0.3">
      <c r="A141">
        <v>10</v>
      </c>
      <c r="B141">
        <v>2025</v>
      </c>
      <c r="C141" t="s">
        <v>106</v>
      </c>
      <c r="D141" s="1">
        <v>-41489280</v>
      </c>
      <c r="E141" s="1"/>
    </row>
    <row r="142" spans="1:5" x14ac:dyDescent="0.3">
      <c r="A142">
        <v>1</v>
      </c>
      <c r="B142">
        <v>2016</v>
      </c>
      <c r="C142" t="s">
        <v>151</v>
      </c>
      <c r="D142" s="1">
        <v>-3000000000</v>
      </c>
    </row>
    <row r="143" spans="1:5" x14ac:dyDescent="0.3">
      <c r="A143">
        <v>2</v>
      </c>
      <c r="B143">
        <v>2017</v>
      </c>
      <c r="C143" t="s">
        <v>151</v>
      </c>
      <c r="D143" s="1">
        <v>-3000700000</v>
      </c>
    </row>
    <row r="144" spans="1:5" x14ac:dyDescent="0.3">
      <c r="A144">
        <v>3</v>
      </c>
      <c r="B144">
        <v>2018</v>
      </c>
      <c r="C144" t="s">
        <v>151</v>
      </c>
      <c r="D144" s="1">
        <v>-3014100000</v>
      </c>
    </row>
    <row r="145" spans="1:4" x14ac:dyDescent="0.3">
      <c r="A145">
        <v>4</v>
      </c>
      <c r="B145">
        <v>2019</v>
      </c>
      <c r="C145" t="s">
        <v>151</v>
      </c>
      <c r="D145" s="1">
        <v>-3102400000</v>
      </c>
    </row>
    <row r="146" spans="1:4" x14ac:dyDescent="0.3">
      <c r="A146">
        <v>5</v>
      </c>
      <c r="B146">
        <v>2020</v>
      </c>
      <c r="C146" t="s">
        <v>151</v>
      </c>
      <c r="D146" s="1">
        <v>-3617400000</v>
      </c>
    </row>
    <row r="147" spans="1:4" x14ac:dyDescent="0.3">
      <c r="A147">
        <v>6</v>
      </c>
      <c r="B147">
        <v>2021</v>
      </c>
      <c r="C147" t="s">
        <v>151</v>
      </c>
      <c r="D147" s="1">
        <v>-3651533333.3333335</v>
      </c>
    </row>
    <row r="148" spans="1:4" x14ac:dyDescent="0.3">
      <c r="A148">
        <v>7</v>
      </c>
      <c r="B148">
        <v>2022</v>
      </c>
      <c r="C148" t="s">
        <v>151</v>
      </c>
      <c r="D148" s="1">
        <v>-3687373333.3333335</v>
      </c>
    </row>
    <row r="149" spans="1:4" x14ac:dyDescent="0.3">
      <c r="A149">
        <v>8</v>
      </c>
      <c r="B149">
        <v>2023</v>
      </c>
      <c r="C149" t="s">
        <v>151</v>
      </c>
      <c r="D149" s="1">
        <v>-3725005333.3333335</v>
      </c>
    </row>
    <row r="150" spans="1:4" x14ac:dyDescent="0.3">
      <c r="A150">
        <v>9</v>
      </c>
      <c r="B150">
        <v>2024</v>
      </c>
      <c r="C150" t="s">
        <v>151</v>
      </c>
      <c r="D150" s="1">
        <v>-3764518933.3333335</v>
      </c>
    </row>
    <row r="151" spans="1:4" x14ac:dyDescent="0.3">
      <c r="A151">
        <v>10</v>
      </c>
      <c r="B151">
        <v>2025</v>
      </c>
      <c r="C151" t="s">
        <v>151</v>
      </c>
      <c r="D151" s="1">
        <v>-3806008213.3333335</v>
      </c>
    </row>
  </sheetData>
  <autoFilter ref="A1:D131" xr:uid="{05473BA7-796E-4A4B-9366-9D0E3FBA45C4}">
    <sortState xmlns:xlrd2="http://schemas.microsoft.com/office/spreadsheetml/2017/richdata2" ref="A22:D111">
      <sortCondition ref="C1"/>
    </sortState>
  </autoFilter>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A8340-B10B-47A7-8405-DD52920E3B04}">
  <dimension ref="A3:A48"/>
  <sheetViews>
    <sheetView topLeftCell="A37" zoomScale="55" zoomScaleNormal="55" workbookViewId="0">
      <selection activeCell="U39" sqref="U39:U43"/>
    </sheetView>
  </sheetViews>
  <sheetFormatPr defaultRowHeight="14.4" x14ac:dyDescent="0.3"/>
  <sheetData>
    <row r="3" spans="1:1" x14ac:dyDescent="0.3">
      <c r="A3">
        <v>2016</v>
      </c>
    </row>
    <row r="4" spans="1:1" x14ac:dyDescent="0.3">
      <c r="A4" s="27" t="s">
        <v>47</v>
      </c>
    </row>
    <row r="5" spans="1:1" x14ac:dyDescent="0.3">
      <c r="A5" s="27" t="s">
        <v>48</v>
      </c>
    </row>
    <row r="6" spans="1:1" x14ac:dyDescent="0.3">
      <c r="A6" t="s">
        <v>51</v>
      </c>
    </row>
    <row r="15" spans="1:1" x14ac:dyDescent="0.3">
      <c r="A15">
        <v>2017</v>
      </c>
    </row>
    <row r="16" spans="1:1" x14ac:dyDescent="0.3">
      <c r="A16" s="27" t="s">
        <v>48</v>
      </c>
    </row>
    <row r="17" spans="1:1" x14ac:dyDescent="0.3">
      <c r="A17" s="27" t="s">
        <v>49</v>
      </c>
    </row>
    <row r="18" spans="1:1" x14ac:dyDescent="0.3">
      <c r="A18" t="s">
        <v>50</v>
      </c>
    </row>
    <row r="21" spans="1:1" ht="15" x14ac:dyDescent="0.35">
      <c r="A21" s="30" t="s">
        <v>63</v>
      </c>
    </row>
    <row r="22" spans="1:1" x14ac:dyDescent="0.3">
      <c r="A22" t="s">
        <v>64</v>
      </c>
    </row>
    <row r="29" spans="1:1" x14ac:dyDescent="0.3">
      <c r="A29">
        <v>2019</v>
      </c>
    </row>
    <row r="30" spans="1:1" x14ac:dyDescent="0.3">
      <c r="A30" t="s">
        <v>67</v>
      </c>
    </row>
    <row r="31" spans="1:1" x14ac:dyDescent="0.3">
      <c r="A31" t="s">
        <v>76</v>
      </c>
    </row>
    <row r="33" spans="1:1" x14ac:dyDescent="0.3">
      <c r="A33">
        <v>2020</v>
      </c>
    </row>
    <row r="34" spans="1:1" ht="409.6" x14ac:dyDescent="0.3">
      <c r="A34" s="32" t="s">
        <v>72</v>
      </c>
    </row>
    <row r="37" spans="1:1" ht="198" x14ac:dyDescent="0.3">
      <c r="A37" s="34" t="s">
        <v>74</v>
      </c>
    </row>
    <row r="38" spans="1:1" ht="409.6" x14ac:dyDescent="0.3">
      <c r="A38" s="35" t="s">
        <v>75</v>
      </c>
    </row>
    <row r="48" spans="1:1" x14ac:dyDescent="0.3">
      <c r="A48" s="58"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Notes</vt:lpstr>
      <vt:lpstr>FB R&amp;D </vt:lpstr>
      <vt:lpstr>Model</vt:lpstr>
      <vt:lpstr>df</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Greer</dc:creator>
  <cp:lastModifiedBy>Max Greer</cp:lastModifiedBy>
  <dcterms:created xsi:type="dcterms:W3CDTF">2020-09-09T01:57:31Z</dcterms:created>
  <dcterms:modified xsi:type="dcterms:W3CDTF">2020-09-16T13:30:09Z</dcterms:modified>
</cp:coreProperties>
</file>