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0433ec973a7c7bb7/Υπολογιστής/"/>
    </mc:Choice>
  </mc:AlternateContent>
  <xr:revisionPtr revIDLastSave="0" documentId="8_{AB892877-0822-49AB-B207-8C9AEBE2EEC3}" xr6:coauthVersionLast="47" xr6:coauthVersionMax="47" xr10:uidLastSave="{00000000-0000-0000-0000-000000000000}"/>
  <bookViews>
    <workbookView xWindow="-108" yWindow="-108" windowWidth="23256" windowHeight="12456" xr2:uid="{FFF4ACB5-AB3F-4772-9DF1-83445F2B63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1" l="1"/>
  <c r="E73" i="1" s="1"/>
  <c r="F73" i="1" s="1"/>
  <c r="G73" i="1" s="1"/>
  <c r="C73" i="1"/>
  <c r="E65" i="1"/>
  <c r="A65" i="1"/>
  <c r="A64" i="1"/>
  <c r="D63" i="1"/>
  <c r="D62" i="1"/>
  <c r="D64" i="1" s="1"/>
  <c r="A58" i="1"/>
  <c r="A57" i="1"/>
  <c r="F56" i="1"/>
  <c r="A56" i="1"/>
  <c r="F55" i="1"/>
  <c r="H51" i="1"/>
  <c r="C51" i="1"/>
  <c r="H50" i="1"/>
  <c r="C50" i="1"/>
  <c r="A50" i="1"/>
  <c r="D49" i="1"/>
  <c r="C49" i="1"/>
  <c r="A49" i="1"/>
  <c r="C48" i="1"/>
  <c r="A48" i="1"/>
  <c r="L45" i="1"/>
  <c r="M45" i="1" s="1"/>
  <c r="N45" i="1" s="1"/>
  <c r="O45" i="1" s="1"/>
  <c r="P45" i="1" s="1"/>
  <c r="A41" i="1"/>
  <c r="A52" i="1" s="1"/>
  <c r="H40" i="1"/>
  <c r="D40" i="1"/>
  <c r="F40" i="1" s="1"/>
  <c r="G40" i="1" s="1"/>
  <c r="C40" i="1"/>
  <c r="A40" i="1"/>
  <c r="A51" i="1" s="1"/>
  <c r="H39" i="1"/>
  <c r="C39" i="1"/>
  <c r="A39" i="1"/>
  <c r="D38" i="1"/>
  <c r="C38" i="1"/>
  <c r="B38" i="1"/>
  <c r="B49" i="1" s="1"/>
  <c r="A38" i="1"/>
  <c r="C37" i="1"/>
  <c r="B37" i="1"/>
  <c r="B48" i="1" s="1"/>
  <c r="A37" i="1"/>
  <c r="G36" i="1"/>
  <c r="F36" i="1"/>
  <c r="B36" i="1"/>
  <c r="B47" i="1" s="1"/>
  <c r="A36" i="1"/>
  <c r="A47" i="1" s="1"/>
  <c r="G35" i="1"/>
  <c r="H35" i="1" s="1"/>
  <c r="A35" i="1"/>
  <c r="A46" i="1" s="1"/>
  <c r="L34" i="1"/>
  <c r="M34" i="1" s="1"/>
  <c r="N34" i="1" s="1"/>
  <c r="O34" i="1" s="1"/>
  <c r="P34" i="1" s="1"/>
  <c r="B34" i="1"/>
  <c r="B45" i="1" s="1"/>
  <c r="A34" i="1"/>
  <c r="W33" i="1"/>
  <c r="B33" i="1"/>
  <c r="B44" i="1" s="1"/>
  <c r="I29" i="1"/>
  <c r="I51" i="1" s="1"/>
  <c r="A29" i="1"/>
  <c r="W28" i="1"/>
  <c r="W27" i="1"/>
  <c r="A26" i="1"/>
  <c r="A24" i="1"/>
  <c r="M23" i="1"/>
  <c r="N23" i="1" s="1"/>
  <c r="O23" i="1" s="1"/>
  <c r="P23" i="1" s="1"/>
  <c r="L23" i="1"/>
  <c r="I23" i="1"/>
  <c r="I34" i="1" s="1"/>
  <c r="I45" i="1" s="1"/>
  <c r="H23" i="1"/>
  <c r="H34" i="1" s="1"/>
  <c r="H45" i="1" s="1"/>
  <c r="G23" i="1"/>
  <c r="G34" i="1" s="1"/>
  <c r="G45" i="1" s="1"/>
  <c r="F23" i="1"/>
  <c r="F34" i="1" s="1"/>
  <c r="F45" i="1" s="1"/>
  <c r="E23" i="1"/>
  <c r="E34" i="1" s="1"/>
  <c r="E45" i="1" s="1"/>
  <c r="D23" i="1"/>
  <c r="D34" i="1" s="1"/>
  <c r="D45" i="1" s="1"/>
  <c r="C23" i="1"/>
  <c r="C34" i="1" s="1"/>
  <c r="C45" i="1" s="1"/>
  <c r="B23" i="1"/>
  <c r="A23" i="1"/>
  <c r="A45" i="1" s="1"/>
  <c r="B22" i="1"/>
  <c r="G19" i="1"/>
  <c r="H19" i="1" s="1"/>
  <c r="I19" i="1" s="1"/>
  <c r="D19" i="1"/>
  <c r="D24" i="1" s="1"/>
  <c r="C19" i="1"/>
  <c r="C24" i="1" s="1"/>
  <c r="B19" i="1"/>
  <c r="B24" i="1" s="1"/>
  <c r="B35" i="1" s="1"/>
  <c r="B46" i="1" s="1"/>
  <c r="E14" i="1"/>
  <c r="B14" i="1"/>
  <c r="B13" i="1"/>
  <c r="B15" i="1" s="1"/>
  <c r="B11" i="1"/>
  <c r="D65" i="1" s="1"/>
  <c r="B9" i="1" a="1"/>
  <c r="B9" i="1" s="1"/>
  <c r="B8" i="1" a="1"/>
  <c r="B8" i="1" s="1"/>
  <c r="B3" i="1"/>
  <c r="B5" i="1" s="1"/>
  <c r="I35" i="1" l="1"/>
  <c r="H36" i="1"/>
  <c r="D66" i="1"/>
  <c r="H56" i="1" s="1"/>
  <c r="C25" i="1"/>
  <c r="C36" i="1" s="1"/>
  <c r="C47" i="1" s="1"/>
  <c r="C35" i="1"/>
  <c r="C46" i="1" s="1"/>
  <c r="H73" i="1"/>
  <c r="I73" i="1" s="1"/>
  <c r="J73" i="1" s="1"/>
  <c r="K73" i="1" s="1"/>
  <c r="L73" i="1" s="1"/>
  <c r="B51" i="1"/>
  <c r="B29" i="1"/>
  <c r="B40" i="1"/>
  <c r="E37" i="1"/>
  <c r="E48" i="1"/>
  <c r="E26" i="1"/>
  <c r="D25" i="1"/>
  <c r="D26" i="1"/>
  <c r="D37" i="1" s="1"/>
  <c r="D48" i="1" s="1"/>
  <c r="D35" i="1"/>
  <c r="I40" i="1"/>
  <c r="D46" i="1" l="1"/>
  <c r="E36" i="1"/>
  <c r="D36" i="1"/>
  <c r="D47" i="1" s="1"/>
  <c r="F26" i="1"/>
  <c r="K35" i="1"/>
  <c r="L35" i="1" s="1"/>
  <c r="M35" i="1" s="1"/>
  <c r="N35" i="1" s="1"/>
  <c r="O35" i="1" s="1"/>
  <c r="P35" i="1" s="1"/>
  <c r="I36" i="1"/>
  <c r="F48" i="1"/>
  <c r="F37" i="1"/>
  <c r="E38" i="1"/>
  <c r="F38" i="1" l="1"/>
  <c r="G37" i="1"/>
  <c r="G48" i="1"/>
  <c r="G26" i="1"/>
  <c r="E25" i="1"/>
  <c r="E24" i="1" s="1"/>
  <c r="E47" i="1"/>
  <c r="E46" i="1" s="1"/>
  <c r="F46" i="1" l="1"/>
  <c r="E49" i="1"/>
  <c r="F24" i="1"/>
  <c r="E27" i="1"/>
  <c r="H37" i="1"/>
  <c r="G38" i="1"/>
  <c r="H26" i="1"/>
  <c r="H48" i="1"/>
  <c r="I48" i="1" l="1"/>
  <c r="H38" i="1"/>
  <c r="I37" i="1"/>
  <c r="G24" i="1"/>
  <c r="F27" i="1"/>
  <c r="I26" i="1"/>
  <c r="G46" i="1"/>
  <c r="F49" i="1"/>
  <c r="H46" i="1" l="1"/>
  <c r="G49" i="1"/>
  <c r="J26" i="1"/>
  <c r="H24" i="1"/>
  <c r="G27" i="1"/>
  <c r="J37" i="1"/>
  <c r="I38" i="1"/>
  <c r="J48" i="1"/>
  <c r="K48" i="1" l="1"/>
  <c r="I39" i="1"/>
  <c r="B39" i="1" s="1"/>
  <c r="B41" i="1" s="1"/>
  <c r="B57" i="1" s="1"/>
  <c r="D57" i="1" s="1"/>
  <c r="J38" i="1"/>
  <c r="K37" i="1"/>
  <c r="I24" i="1"/>
  <c r="H27" i="1"/>
  <c r="K26" i="1"/>
  <c r="I46" i="1"/>
  <c r="H49" i="1"/>
  <c r="J46" i="1" l="1"/>
  <c r="I49" i="1"/>
  <c r="L26" i="1"/>
  <c r="J24" i="1"/>
  <c r="I27" i="1"/>
  <c r="L37" i="1"/>
  <c r="K38" i="1"/>
  <c r="T26" i="1" s="1"/>
  <c r="T27" i="1" s="1"/>
  <c r="L48" i="1"/>
  <c r="M48" i="1" l="1"/>
  <c r="L38" i="1"/>
  <c r="M37" i="1"/>
  <c r="I28" i="1"/>
  <c r="B28" i="1" s="1"/>
  <c r="B30" i="1" s="1"/>
  <c r="B56" i="1" s="1"/>
  <c r="D56" i="1" s="1"/>
  <c r="D59" i="1" s="1"/>
  <c r="H55" i="1" s="1"/>
  <c r="H57" i="1" s="1"/>
  <c r="K24" i="1"/>
  <c r="J27" i="1"/>
  <c r="M26" i="1"/>
  <c r="B50" i="1"/>
  <c r="B52" i="1" s="1"/>
  <c r="B58" i="1" s="1"/>
  <c r="D58" i="1" s="1"/>
  <c r="I50" i="1"/>
  <c r="K46" i="1"/>
  <c r="J49" i="1"/>
  <c r="H62" i="1" l="1"/>
  <c r="H59" i="1"/>
  <c r="L46" i="1"/>
  <c r="K49" i="1"/>
  <c r="L24" i="1"/>
  <c r="K27" i="1"/>
  <c r="N48" i="1"/>
  <c r="N26" i="1"/>
  <c r="N37" i="1"/>
  <c r="M38" i="1"/>
  <c r="N38" i="1" l="1"/>
  <c r="O37" i="1"/>
  <c r="O26" i="1"/>
  <c r="O48" i="1"/>
  <c r="M24" i="1"/>
  <c r="L27" i="1"/>
  <c r="M46" i="1"/>
  <c r="L49" i="1"/>
  <c r="H63" i="1"/>
  <c r="H64" i="1"/>
  <c r="H65" i="1" s="1"/>
  <c r="H66" i="1" s="1"/>
  <c r="N46" i="1" l="1"/>
  <c r="M49" i="1"/>
  <c r="N24" i="1"/>
  <c r="M27" i="1"/>
  <c r="P48" i="1"/>
  <c r="P26" i="1"/>
  <c r="P37" i="1"/>
  <c r="P38" i="1" s="1"/>
  <c r="T31" i="1" s="1"/>
  <c r="T32" i="1" s="1"/>
  <c r="O38" i="1"/>
  <c r="O24" i="1" l="1"/>
  <c r="N27" i="1"/>
  <c r="O46" i="1"/>
  <c r="N49" i="1"/>
  <c r="P46" i="1" l="1"/>
  <c r="P49" i="1" s="1"/>
  <c r="O49" i="1"/>
  <c r="P24" i="1"/>
  <c r="P27" i="1" s="1"/>
  <c r="O2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<sst xmlns="http://schemas.openxmlformats.org/spreadsheetml/2006/main" count="93" uniqueCount="72">
  <si>
    <t>hims and hers</t>
  </si>
  <si>
    <t xml:space="preserve">Hims &amp; Hers is a telehealth company offering healthcare services and products through an online platform. They focus on providing accessible, affordable healthcare for everyday issues, primarily targeting areas that people might find uncomfortable to address in traditional settings. Their services cover a variety of health needs, including:
Primary Care and Mental Health: Hims &amp; Hers offers virtual consultations with licensed healthcare providers for primary care and mental health support. Patients can receive treatments for issues like anxiety, depression, and other mental health concerns, as well as general medical advice.
Skincare and Dermatology: They provide treatments for skin conditions such as acne, anti-aging, and other dermatological concerns, with consultations and prescribed products available online.
Sexual Health: They offer products and services for conditions like erectile dysfunction, premature ejaculation, and other sexual health issues, which are often stigmatized or sensitive to discuss in person.
Hair Care: Hims &amp; Hers provides hair loss treatments, including FDA-approved medications and haircare products, focusing on solutions for hair thinning and hair loss.
Wellness Products: The company also offers a variety of wellness products, including vitamins, supplements, and other personal care items.
Hims &amp; Hers distinguishes itself by making healthcare accessible without the need for in-person visits, reducing wait times, and providing a user-friendly digital experience.
</t>
  </si>
  <si>
    <t>Current Stock Price</t>
  </si>
  <si>
    <t>TTM Revenue</t>
  </si>
  <si>
    <t>Billions</t>
  </si>
  <si>
    <t>TTM Free Cash Flow</t>
  </si>
  <si>
    <t>TTM Free Cash Flow Margin</t>
  </si>
  <si>
    <t>Expected FCF Margin</t>
  </si>
  <si>
    <t>Discount Rate</t>
  </si>
  <si>
    <t>https://finbox.com/NASDAQGS:ADBE/models/wacc</t>
  </si>
  <si>
    <t>https://www.cnbc.com/us-treasurys/</t>
  </si>
  <si>
    <t>Terminal Value's Long-term Expected Growth Rate</t>
  </si>
  <si>
    <t>*It should be higher than the long-term US Treasury yields because the company should be able to grow faster than the long-term US Treasury yields.</t>
  </si>
  <si>
    <t>Diluted Shares Outstanding</t>
  </si>
  <si>
    <t>Company Financials</t>
  </si>
  <si>
    <t>Total Cash Equivalents &amp; Marketable Securities</t>
  </si>
  <si>
    <t>Total Debt + Lease Liabilities</t>
  </si>
  <si>
    <t xml:space="preserve">Last updated on </t>
  </si>
  <si>
    <t>Net Cash</t>
  </si>
  <si>
    <t>*Negative means the company has more debts than cash.</t>
  </si>
  <si>
    <t>Historical</t>
  </si>
  <si>
    <t>Consensus Revenue Forecasts from Seeking Alpha</t>
  </si>
  <si>
    <t>Fiscal Period Ending</t>
  </si>
  <si>
    <t>Total Revenues (Billions)</t>
  </si>
  <si>
    <t>https://seekingalpha.com/symbol/ADBE/earnings/estimates</t>
  </si>
  <si>
    <t>Worst Case Scenario</t>
  </si>
  <si>
    <t>Στήλη1</t>
  </si>
  <si>
    <t>Στήλη2</t>
  </si>
  <si>
    <t>Στήλη3</t>
  </si>
  <si>
    <t>Στήλη4</t>
  </si>
  <si>
    <t>Expected Growth Rates</t>
  </si>
  <si>
    <t>-</t>
  </si>
  <si>
    <t>market cap</t>
  </si>
  <si>
    <t>Free Cash Flows</t>
  </si>
  <si>
    <t>price</t>
  </si>
  <si>
    <t>UPSIDE</t>
  </si>
  <si>
    <t>Intrinsic Value (Company)</t>
  </si>
  <si>
    <t>Terminal Value</t>
  </si>
  <si>
    <t>Terminal Value's P/FCF</t>
  </si>
  <si>
    <t>Intrinsic Value/Share</t>
  </si>
  <si>
    <t>Normal Case Scenario</t>
  </si>
  <si>
    <t>price per share</t>
  </si>
  <si>
    <t>Best Case Scenario</t>
  </si>
  <si>
    <t>DCF Valuation Model #1 2028</t>
  </si>
  <si>
    <t>Intrinsic Value Summary</t>
  </si>
  <si>
    <t>Probability</t>
  </si>
  <si>
    <t>Partial</t>
  </si>
  <si>
    <t>Morningstar's Fair Value</t>
  </si>
  <si>
    <t>Intrinsic Value Per Share</t>
  </si>
  <si>
    <t>Current Stock Price (Press Refresh All Under Data Tab)</t>
  </si>
  <si>
    <t>*Undervalued/Overvalued</t>
  </si>
  <si>
    <t>*Negative means it's overvalued.</t>
  </si>
  <si>
    <t>Forward Sales Valuation Model #2</t>
  </si>
  <si>
    <t>Margin of Safety</t>
  </si>
  <si>
    <t>Margin of Safety Price</t>
  </si>
  <si>
    <t>Forward Revenue Estimate</t>
  </si>
  <si>
    <t>Use a Reasonable PS Multiple</t>
  </si>
  <si>
    <t>https://www.financecharts.com/stocks/ADBE/value/ps-ratio</t>
  </si>
  <si>
    <t>Select Date Range</t>
  </si>
  <si>
    <t>Days</t>
  </si>
  <si>
    <t>2024</t>
  </si>
  <si>
    <t>2025</t>
  </si>
  <si>
    <t>2026</t>
  </si>
  <si>
    <t>2027</t>
  </si>
  <si>
    <t>2028</t>
  </si>
  <si>
    <t>2029</t>
  </si>
  <si>
    <t>2030</t>
  </si>
  <si>
    <t>2031</t>
  </si>
  <si>
    <t>2032</t>
  </si>
  <si>
    <t>2033</t>
  </si>
  <si>
    <t>2034</t>
  </si>
  <si>
    <t xml:space="preserve">shares outstanding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</si>
</sst>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quot;£&quot;* #,##0.00_-;_-&quot;£&quot;* &quot;-&quot;??_-;_-@_-"/>
    <numFmt numFmtId="43" formatCode="_-* #,##0.00_-;\-* #,##0.00_-;_-* &quot;-&quot;??_-;_-@_-"/>
    <numFmt numFmtId="164" formatCode="_([$$-409]* #,##0.00_);_([$$-409]* \(#,##0.00\);_([$$-409]* &quot;-&quot;??_);_(@_)"/>
    <numFmt numFmtId="165" formatCode="_(&quot;$&quot;* #,##0.00_);_(&quot;$&quot;* \(#,##0.00\);_(&quot;$&quot;* &quot;-&quot;??_);_(@_)"/>
    <numFmt numFmtId="166" formatCode="0.0%"/>
    <numFmt numFmtId="169" formatCode="_-* #,##0.00\ _€_-;\-* #,##0.00\ _€_-;_-* &quot;-&quot;??\ _€_-;_-@_-"/>
    <numFmt numFmtId="170" formatCode="&quot;$&quot;#,##0.00_);[Red]\(&quot;$&quot;#,##0.00\)"/>
    <numFmt numFmtId="171" formatCode="&quot;$&quot;#,##0_);[Red]\(&quot;$&quot;#,##0\)"/>
    <numFmt numFmtId="173" formatCode="_(* #,##0_);_(* \(#,##0\);_(* &quot;-&quot;??_);_(@_)"/>
  </numFmts>
  <fonts count="12" x14ac:knownFonts="1">
    <font>
      <sz val="11"/>
      <color theme="1"/>
      <name val="Aptos Narrow"/>
      <family val="2"/>
      <scheme val="minor"/>
    </font>
    <font>
      <sz val="11"/>
      <color theme="1"/>
      <name val="Aptos Narrow"/>
      <family val="2"/>
      <scheme val="minor"/>
    </font>
    <font>
      <u/>
      <sz val="11"/>
      <color theme="10"/>
      <name val="Aptos Narrow"/>
      <family val="2"/>
      <scheme val="minor"/>
    </font>
    <font>
      <b/>
      <sz val="12"/>
      <color theme="1"/>
      <name val="Aptos Narrow"/>
      <family val="2"/>
      <scheme val="minor"/>
    </font>
    <font>
      <sz val="10"/>
      <color theme="1"/>
      <name val="Aptos Narrow"/>
      <family val="2"/>
      <scheme val="minor"/>
    </font>
    <font>
      <sz val="12"/>
      <color theme="1"/>
      <name val="Aptos Narrow"/>
      <family val="2"/>
      <scheme val="minor"/>
    </font>
    <font>
      <i/>
      <sz val="12"/>
      <color theme="1"/>
      <name val="Aptos Narrow"/>
      <family val="2"/>
      <scheme val="minor"/>
    </font>
    <font>
      <b/>
      <i/>
      <sz val="12"/>
      <color theme="1"/>
      <name val="Aptos Narrow"/>
      <family val="2"/>
      <scheme val="minor"/>
    </font>
    <font>
      <sz val="14"/>
      <color theme="1"/>
      <name val="Aptos Narrow"/>
      <family val="2"/>
      <scheme val="minor"/>
    </font>
    <font>
      <b/>
      <sz val="14"/>
      <color theme="1"/>
      <name val="Aptos Narrow"/>
      <family val="2"/>
      <scheme val="minor"/>
    </font>
    <font>
      <b/>
      <sz val="16"/>
      <color theme="1"/>
      <name val="Aptos Narrow"/>
      <family val="2"/>
      <scheme val="minor"/>
    </font>
    <font>
      <b/>
      <u/>
      <sz val="12"/>
      <color theme="1"/>
      <name val="Aptos Narrow"/>
      <family val="2"/>
      <scheme val="minor"/>
    </font>
  </fonts>
  <fills count="10">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1"/>
        <bgColor indexed="64"/>
      </patternFill>
    </fill>
    <fill>
      <patternFill patternType="solid">
        <fgColor theme="0"/>
        <bgColor indexed="64"/>
      </patternFill>
    </fill>
    <fill>
      <patternFill patternType="solid">
        <fgColor rgb="FF00B050"/>
        <bgColor indexed="64"/>
      </patternFill>
    </fill>
    <fill>
      <patternFill patternType="solid">
        <fgColor theme="8" tint="0.39997558519241921"/>
        <bgColor indexed="64"/>
      </patternFill>
    </fill>
  </fills>
  <borders count="1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120">
    <xf numFmtId="0" fontId="0" fillId="0" borderId="0" xfId="0"/>
    <xf numFmtId="0" fontId="3" fillId="2" borderId="1" xfId="0" applyFont="1" applyFill="1" applyBorder="1" applyAlignment="1">
      <alignment horizontal="center"/>
    </xf>
    <xf numFmtId="0" fontId="3" fillId="2" borderId="2" xfId="0" applyFont="1" applyFill="1" applyBorder="1" applyAlignment="1">
      <alignment horizontal="center"/>
    </xf>
    <xf numFmtId="3" fontId="0" fillId="0" borderId="0" xfId="0" applyNumberFormat="1"/>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3" borderId="5" xfId="0" applyFont="1" applyFill="1" applyBorder="1" applyAlignment="1">
      <alignment horizontal="left" vertical="top" wrapText="1"/>
    </xf>
    <xf numFmtId="0" fontId="3" fillId="0" borderId="6" xfId="0" applyFont="1" applyBorder="1"/>
    <xf numFmtId="164" fontId="3" fillId="0" borderId="6" xfId="0" applyNumberFormat="1" applyFont="1" applyBorder="1"/>
    <xf numFmtId="0" fontId="4" fillId="3" borderId="7" xfId="0" applyFont="1" applyFill="1" applyBorder="1" applyAlignment="1">
      <alignment horizontal="left" vertical="top" wrapText="1"/>
    </xf>
    <xf numFmtId="0" fontId="4" fillId="3" borderId="0" xfId="0" applyFont="1" applyFill="1" applyAlignment="1">
      <alignment horizontal="left" vertical="top" wrapText="1"/>
    </xf>
    <xf numFmtId="0" fontId="4" fillId="3" borderId="8" xfId="0" applyFont="1" applyFill="1" applyBorder="1" applyAlignment="1">
      <alignment horizontal="left" vertical="top" wrapText="1"/>
    </xf>
    <xf numFmtId="0" fontId="0" fillId="0" borderId="0" xfId="0" applyAlignment="1">
      <alignment vertical="top"/>
    </xf>
    <xf numFmtId="44" fontId="0" fillId="4" borderId="6" xfId="2" applyFont="1" applyFill="1" applyBorder="1"/>
    <xf numFmtId="166" fontId="0" fillId="4" borderId="6" xfId="3" applyNumberFormat="1" applyFont="1" applyFill="1" applyBorder="1"/>
    <xf numFmtId="166" fontId="0" fillId="4" borderId="6" xfId="3" applyNumberFormat="1" applyFont="1" applyFill="1" applyBorder="1" applyAlignment="1">
      <alignment horizontal="right"/>
    </xf>
    <xf numFmtId="0" fontId="2" fillId="0" borderId="0" xfId="4"/>
    <xf numFmtId="166" fontId="0" fillId="4" borderId="6" xfId="0" applyNumberFormat="1" applyFill="1" applyBorder="1"/>
    <xf numFmtId="10" fontId="0" fillId="0" borderId="6" xfId="0" applyNumberFormat="1" applyBorder="1"/>
    <xf numFmtId="10" fontId="0" fillId="0" borderId="6" xfId="3" applyNumberFormat="1" applyFont="1" applyBorder="1"/>
    <xf numFmtId="10" fontId="0" fillId="4" borderId="6" xfId="0" applyNumberFormat="1" applyFill="1" applyBorder="1"/>
    <xf numFmtId="0" fontId="6" fillId="0" borderId="0" xfId="0" applyFont="1"/>
    <xf numFmtId="0" fontId="0" fillId="4" borderId="6" xfId="0" applyFill="1" applyBorder="1"/>
    <xf numFmtId="0" fontId="4" fillId="3" borderId="9" xfId="0" applyFont="1" applyFill="1" applyBorder="1" applyAlignment="1">
      <alignment horizontal="left" vertical="top" wrapText="1"/>
    </xf>
    <xf numFmtId="0" fontId="4" fillId="3" borderId="10" xfId="0" applyFont="1" applyFill="1" applyBorder="1" applyAlignment="1">
      <alignment horizontal="left" vertical="top" wrapText="1"/>
    </xf>
    <xf numFmtId="0" fontId="4" fillId="3" borderId="11" xfId="0" applyFont="1" applyFill="1" applyBorder="1" applyAlignment="1">
      <alignment horizontal="left" vertical="top" wrapText="1"/>
    </xf>
    <xf numFmtId="0" fontId="7" fillId="0" borderId="6" xfId="0" applyFont="1" applyBorder="1"/>
    <xf numFmtId="15" fontId="6" fillId="4" borderId="6" xfId="0" applyNumberFormat="1" applyFont="1" applyFill="1" applyBorder="1"/>
    <xf numFmtId="0" fontId="8" fillId="0" borderId="0" xfId="0" applyFont="1"/>
    <xf numFmtId="0" fontId="3" fillId="0" borderId="12" xfId="0" applyFont="1" applyBorder="1"/>
    <xf numFmtId="44" fontId="0" fillId="0" borderId="13" xfId="2" applyFont="1" applyBorder="1"/>
    <xf numFmtId="0" fontId="3" fillId="0" borderId="0" xfId="0" applyFont="1"/>
    <xf numFmtId="0" fontId="3" fillId="2" borderId="6" xfId="0" applyFont="1" applyFill="1" applyBorder="1" applyAlignment="1">
      <alignment horizontal="center"/>
    </xf>
    <xf numFmtId="0" fontId="3" fillId="4" borderId="6" xfId="0" applyFont="1" applyFill="1" applyBorder="1" applyAlignment="1">
      <alignment horizontal="center"/>
    </xf>
    <xf numFmtId="17" fontId="3" fillId="5" borderId="6" xfId="0" applyNumberFormat="1" applyFont="1" applyFill="1" applyBorder="1"/>
    <xf numFmtId="17" fontId="3" fillId="0" borderId="6" xfId="0" applyNumberFormat="1" applyFont="1" applyBorder="1"/>
    <xf numFmtId="44" fontId="0" fillId="5" borderId="6" xfId="2" applyFont="1" applyFill="1" applyBorder="1"/>
    <xf numFmtId="44" fontId="0" fillId="4" borderId="6" xfId="2" applyFont="1" applyFill="1" applyBorder="1" applyAlignment="1">
      <alignment horizontal="right"/>
    </xf>
    <xf numFmtId="44" fontId="0" fillId="0" borderId="0" xfId="2" applyFont="1" applyBorder="1"/>
    <xf numFmtId="0" fontId="3" fillId="2" borderId="14" xfId="0" applyFont="1" applyFill="1" applyBorder="1" applyAlignment="1">
      <alignment horizontal="center"/>
    </xf>
    <xf numFmtId="0" fontId="3" fillId="5" borderId="6" xfId="0" applyFont="1" applyFill="1" applyBorder="1" applyAlignment="1">
      <alignment horizontal="center"/>
    </xf>
    <xf numFmtId="0" fontId="3" fillId="4" borderId="1" xfId="0" applyFont="1" applyFill="1" applyBorder="1" applyAlignment="1">
      <alignment horizontal="center"/>
    </xf>
    <xf numFmtId="0" fontId="0" fillId="0" borderId="11" xfId="0" applyBorder="1"/>
    <xf numFmtId="0" fontId="0" fillId="0" borderId="15" xfId="0" applyBorder="1"/>
    <xf numFmtId="0" fontId="0" fillId="0" borderId="9" xfId="0" applyBorder="1"/>
    <xf numFmtId="0" fontId="0" fillId="0" borderId="2" xfId="0" applyBorder="1"/>
    <xf numFmtId="0" fontId="0" fillId="0" borderId="6" xfId="0" applyBorder="1"/>
    <xf numFmtId="0" fontId="0" fillId="0" borderId="1" xfId="0" applyBorder="1"/>
    <xf numFmtId="44" fontId="5" fillId="5" borderId="6" xfId="2" applyFont="1" applyFill="1" applyBorder="1"/>
    <xf numFmtId="44" fontId="0" fillId="0" borderId="6" xfId="2" applyFont="1" applyFill="1" applyBorder="1"/>
    <xf numFmtId="44" fontId="0" fillId="0" borderId="0" xfId="2" applyFont="1"/>
    <xf numFmtId="44" fontId="9" fillId="4" borderId="2" xfId="2" applyFont="1" applyFill="1" applyBorder="1"/>
    <xf numFmtId="0" fontId="9" fillId="4" borderId="2" xfId="0" applyFont="1" applyFill="1" applyBorder="1"/>
    <xf numFmtId="0" fontId="8" fillId="4" borderId="6" xfId="0" applyFont="1" applyFill="1" applyBorder="1"/>
    <xf numFmtId="0" fontId="0" fillId="4" borderId="1" xfId="0" applyFill="1" applyBorder="1"/>
    <xf numFmtId="0" fontId="0" fillId="5" borderId="6" xfId="0" applyFill="1" applyBorder="1" applyAlignment="1">
      <alignment horizontal="right"/>
    </xf>
    <xf numFmtId="10" fontId="0" fillId="5" borderId="6" xfId="0" applyNumberFormat="1" applyFill="1" applyBorder="1" applyAlignment="1">
      <alignment horizontal="right"/>
    </xf>
    <xf numFmtId="10" fontId="0" fillId="5" borderId="7" xfId="0" applyNumberFormat="1" applyFill="1" applyBorder="1" applyAlignment="1">
      <alignment horizontal="right"/>
    </xf>
    <xf numFmtId="0" fontId="9" fillId="4" borderId="6" xfId="0" applyFont="1" applyFill="1" applyBorder="1"/>
    <xf numFmtId="44" fontId="8" fillId="4" borderId="6" xfId="2" applyFont="1" applyFill="1" applyBorder="1"/>
    <xf numFmtId="44" fontId="0" fillId="4" borderId="1" xfId="2" applyFont="1" applyFill="1" applyBorder="1"/>
    <xf numFmtId="166" fontId="0" fillId="5" borderId="6" xfId="3" applyNumberFormat="1" applyFont="1" applyFill="1" applyBorder="1" applyAlignment="1">
      <alignment horizontal="right"/>
    </xf>
    <xf numFmtId="169" fontId="9" fillId="4" borderId="2" xfId="0" applyNumberFormat="1" applyFont="1" applyFill="1" applyBorder="1"/>
    <xf numFmtId="2" fontId="9" fillId="4" borderId="2" xfId="0" applyNumberFormat="1" applyFont="1" applyFill="1" applyBorder="1"/>
    <xf numFmtId="10" fontId="0" fillId="4" borderId="1" xfId="0" applyNumberFormat="1" applyFill="1" applyBorder="1"/>
    <xf numFmtId="0" fontId="3" fillId="4" borderId="6" xfId="0" applyFont="1" applyFill="1" applyBorder="1"/>
    <xf numFmtId="44" fontId="3" fillId="4" borderId="6" xfId="2" applyFont="1" applyFill="1" applyBorder="1"/>
    <xf numFmtId="165" fontId="0" fillId="4" borderId="6" xfId="0" applyNumberFormat="1" applyFill="1" applyBorder="1"/>
    <xf numFmtId="0" fontId="9" fillId="6" borderId="2" xfId="0" applyFont="1" applyFill="1" applyBorder="1"/>
    <xf numFmtId="0" fontId="10" fillId="6" borderId="2" xfId="0" applyFont="1" applyFill="1" applyBorder="1"/>
    <xf numFmtId="2" fontId="0" fillId="0" borderId="6" xfId="0" applyNumberFormat="1" applyBorder="1"/>
    <xf numFmtId="0" fontId="10" fillId="7" borderId="5" xfId="0" applyFont="1" applyFill="1" applyBorder="1"/>
    <xf numFmtId="0" fontId="10" fillId="7" borderId="16" xfId="0" applyFont="1" applyFill="1" applyBorder="1"/>
    <xf numFmtId="0" fontId="0" fillId="7" borderId="16" xfId="0" applyFill="1" applyBorder="1"/>
    <xf numFmtId="0" fontId="0" fillId="7" borderId="3" xfId="0" applyFill="1" applyBorder="1"/>
    <xf numFmtId="169" fontId="0" fillId="0" borderId="0" xfId="0" applyNumberFormat="1"/>
    <xf numFmtId="44" fontId="5" fillId="5" borderId="6" xfId="2" applyFont="1" applyFill="1" applyBorder="1" applyAlignment="1">
      <alignment horizontal="right"/>
    </xf>
    <xf numFmtId="10" fontId="5" fillId="5" borderId="6" xfId="2" applyNumberFormat="1" applyFont="1" applyFill="1" applyBorder="1" applyAlignment="1">
      <alignment horizontal="right"/>
    </xf>
    <xf numFmtId="10" fontId="0" fillId="0" borderId="0" xfId="0" applyNumberFormat="1"/>
    <xf numFmtId="166" fontId="5" fillId="5" borderId="6" xfId="3" applyNumberFormat="1" applyFont="1" applyFill="1" applyBorder="1"/>
    <xf numFmtId="169" fontId="0" fillId="7" borderId="0" xfId="0" applyNumberFormat="1" applyFill="1"/>
    <xf numFmtId="0" fontId="0" fillId="7" borderId="6" xfId="0" applyFill="1" applyBorder="1"/>
    <xf numFmtId="44" fontId="5" fillId="7" borderId="6" xfId="2" applyFont="1" applyFill="1" applyBorder="1"/>
    <xf numFmtId="0" fontId="0" fillId="7" borderId="0" xfId="0" applyFill="1"/>
    <xf numFmtId="166" fontId="0" fillId="4" borderId="17" xfId="3" applyNumberFormat="1" applyFont="1" applyFill="1" applyBorder="1"/>
    <xf numFmtId="44" fontId="0" fillId="7" borderId="6" xfId="2" applyFont="1" applyFill="1" applyBorder="1"/>
    <xf numFmtId="44" fontId="0" fillId="7" borderId="2" xfId="2" applyFont="1" applyFill="1" applyBorder="1"/>
    <xf numFmtId="44" fontId="0" fillId="7" borderId="6" xfId="2" applyFont="1" applyFill="1" applyBorder="1" applyAlignment="1">
      <alignment horizontal="right"/>
    </xf>
    <xf numFmtId="169" fontId="0" fillId="7" borderId="6" xfId="0" applyNumberFormat="1" applyFill="1" applyBorder="1"/>
    <xf numFmtId="0" fontId="3" fillId="0" borderId="0" xfId="0" applyFont="1" applyAlignment="1">
      <alignment horizontal="right"/>
    </xf>
    <xf numFmtId="0" fontId="3" fillId="0" borderId="6" xfId="0" applyFont="1" applyBorder="1" applyAlignment="1">
      <alignment horizontal="right"/>
    </xf>
    <xf numFmtId="170" fontId="3" fillId="0" borderId="1" xfId="0" applyNumberFormat="1" applyFont="1" applyBorder="1" applyAlignment="1">
      <alignment horizontal="center"/>
    </xf>
    <xf numFmtId="170" fontId="3" fillId="0" borderId="2" xfId="0" applyNumberFormat="1" applyFont="1" applyBorder="1" applyAlignment="1">
      <alignment horizontal="center"/>
    </xf>
    <xf numFmtId="0" fontId="3" fillId="4" borderId="1" xfId="0" applyFont="1" applyFill="1" applyBorder="1" applyAlignment="1">
      <alignment horizontal="left"/>
    </xf>
    <xf numFmtId="0" fontId="3" fillId="4" borderId="2" xfId="0" applyFont="1" applyFill="1" applyBorder="1" applyAlignment="1">
      <alignment horizontal="left"/>
    </xf>
    <xf numFmtId="9" fontId="3" fillId="0" borderId="6" xfId="0" applyNumberFormat="1" applyFont="1" applyBorder="1"/>
    <xf numFmtId="44" fontId="3" fillId="0" borderId="6" xfId="2" applyFont="1" applyBorder="1"/>
    <xf numFmtId="0" fontId="3" fillId="8" borderId="1" xfId="0" applyFont="1" applyFill="1" applyBorder="1" applyAlignment="1">
      <alignment horizontal="left"/>
    </xf>
    <xf numFmtId="0" fontId="3" fillId="8" borderId="2" xfId="0" applyFont="1" applyFill="1" applyBorder="1" applyAlignment="1">
      <alignment horizontal="left"/>
    </xf>
    <xf numFmtId="44" fontId="3" fillId="8" borderId="6" xfId="2" applyFont="1" applyFill="1" applyBorder="1"/>
    <xf numFmtId="171" fontId="3" fillId="0" borderId="6" xfId="0" applyNumberFormat="1" applyFont="1" applyBorder="1"/>
    <xf numFmtId="0" fontId="3" fillId="0" borderId="6" xfId="0" applyFont="1" applyBorder="1" applyAlignment="1">
      <alignment horizontal="left"/>
    </xf>
    <xf numFmtId="0" fontId="3" fillId="4" borderId="2" xfId="0" applyFont="1" applyFill="1" applyBorder="1" applyAlignment="1">
      <alignment horizontal="center"/>
    </xf>
    <xf numFmtId="0" fontId="3" fillId="8" borderId="6" xfId="0" applyFont="1" applyFill="1" applyBorder="1" applyAlignment="1">
      <alignment horizontal="left"/>
    </xf>
    <xf numFmtId="0" fontId="0" fillId="8" borderId="6" xfId="0" applyFill="1" applyBorder="1" applyAlignment="1">
      <alignment horizontal="left"/>
    </xf>
    <xf numFmtId="10" fontId="3" fillId="0" borderId="6" xfId="3" applyNumberFormat="1" applyFont="1" applyFill="1" applyBorder="1"/>
    <xf numFmtId="0" fontId="3" fillId="2" borderId="1" xfId="0" applyFont="1" applyFill="1" applyBorder="1" applyAlignment="1">
      <alignment horizontal="right"/>
    </xf>
    <xf numFmtId="0" fontId="3" fillId="2" borderId="2" xfId="0" applyFont="1" applyFill="1" applyBorder="1" applyAlignment="1">
      <alignment horizontal="right"/>
    </xf>
    <xf numFmtId="0" fontId="3" fillId="2" borderId="6" xfId="0" applyFont="1" applyFill="1" applyBorder="1"/>
    <xf numFmtId="0" fontId="3" fillId="0" borderId="1" xfId="0" applyFont="1" applyBorder="1" applyAlignment="1">
      <alignment horizontal="left"/>
    </xf>
    <xf numFmtId="0" fontId="3" fillId="0" borderId="14" xfId="0" applyFont="1" applyBorder="1" applyAlignment="1">
      <alignment horizontal="left"/>
    </xf>
    <xf numFmtId="0" fontId="3" fillId="0" borderId="2" xfId="0" applyFont="1" applyBorder="1" applyAlignment="1">
      <alignment horizontal="left"/>
    </xf>
    <xf numFmtId="9" fontId="0" fillId="0" borderId="6" xfId="0" applyNumberFormat="1" applyBorder="1" applyAlignment="1">
      <alignment horizontal="right"/>
    </xf>
    <xf numFmtId="2" fontId="3" fillId="4" borderId="6" xfId="0" applyNumberFormat="1" applyFont="1" applyFill="1" applyBorder="1"/>
    <xf numFmtId="9" fontId="0" fillId="0" borderId="1" xfId="0" applyNumberFormat="1" applyBorder="1" applyAlignment="1">
      <alignment horizontal="right"/>
    </xf>
    <xf numFmtId="9" fontId="0" fillId="0" borderId="2" xfId="0" applyNumberFormat="1" applyBorder="1" applyAlignment="1">
      <alignment horizontal="right"/>
    </xf>
    <xf numFmtId="0" fontId="3" fillId="0" borderId="1" xfId="0" applyFont="1" applyBorder="1"/>
    <xf numFmtId="173" fontId="3" fillId="9" borderId="6" xfId="1" applyNumberFormat="1" applyFont="1" applyFill="1" applyBorder="1" applyAlignment="1">
      <alignment horizontal="right"/>
    </xf>
    <xf numFmtId="0" fontId="3" fillId="4" borderId="0" xfId="0" applyFont="1" applyFill="1"/>
    <xf numFmtId="0" fontId="11" fillId="4" borderId="0" xfId="0" applyFont="1" applyFill="1"/>
  </cellXfs>
  <cellStyles count="5">
    <cellStyle name="Comma" xfId="1" builtinId="3"/>
    <cellStyle name="Currency" xfId="2" builtinId="4"/>
    <cellStyle name="Hyperlink" xfId="4" builtinId="8"/>
    <cellStyle name="Normal" xfId="0" builtinId="0"/>
    <cellStyle name="Percent" xfId="3" builtinId="5"/>
  </cellStyles>
  <dxfs count="24">
    <dxf>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2"/>
        <color theme="1"/>
        <name val="Aptos Narrow"/>
        <family val="2"/>
        <scheme val="minor"/>
      </font>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39997558519241921"/>
        </patternFill>
      </fill>
    </dxf>
    <dxf>
      <font>
        <b/>
        <i val="0"/>
        <strike val="0"/>
        <condense val="0"/>
        <extend val="0"/>
        <outline val="0"/>
        <shadow val="0"/>
        <u/>
        <vertAlign val="baseline"/>
        <sz val="12"/>
        <color theme="1"/>
        <name val="Aptos Narrow"/>
        <family val="2"/>
        <scheme val="minor"/>
      </font>
      <fill>
        <patternFill patternType="solid">
          <fgColor indexed="64"/>
          <bgColor theme="9" tint="0.39997558519241921"/>
        </patternFill>
      </fill>
    </dxf>
    <dxf>
      <numFmt numFmtId="0" formatCode="General"/>
      <fill>
        <patternFill patternType="solid">
          <fgColor indexed="64"/>
          <bgColor theme="9" tint="0.39997558519241921"/>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6"/>
        <color theme="1"/>
        <name val="Aptos Narrow"/>
        <family val="2"/>
        <scheme val="minor"/>
      </font>
      <fill>
        <patternFill patternType="solid">
          <fgColor indexed="64"/>
          <bgColor theme="9"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6"/>
        <color theme="1"/>
        <name val="Aptos Narrow"/>
        <family val="2"/>
        <scheme val="minor"/>
      </font>
      <fill>
        <patternFill patternType="solid">
          <fgColor indexed="64"/>
          <bgColor theme="9" tint="0.3999755851924192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https://www.bing.com/financeapi/forcetrigger?t=r6dwra&amp;q=US10Y&amp;form=skydnc</v>
    <v>Learn more on Bing</v>
  </rv>
  <rv s="1">
    <v>en-US</v>
    <v>r6dwra</v>
    <v>268435456</v>
    <v>1</v>
    <v>Powered by Refinitiv</v>
    <v>0</v>
    <v>US Treasury 10Y</v>
    <v>2</v>
    <v>3</v>
    <v>Finance</v>
    <v>4</v>
    <v>-0.1719</v>
    <v>-1.7879999999999999E-3</v>
    <v>US</v>
    <v>USD</v>
    <v>Bond</v>
    <v>45597.878472222219</v>
    <v>0</v>
    <v>49171</v>
    <v>US Treasury 10Y</v>
    <v>96.140600000000006</v>
    <v>95.968800000000002</v>
    <v>US10Y</v>
    <v>US Treasury 10Y</v>
    <v>3.7885000000000002E-2</v>
    <v>4.2320000000000003E-2</v>
    <v>4.6589999999999999E-2</v>
    <v>4.2839999999999996E-2</v>
  </rv>
  <rv s="2">
    <v>1</v>
  </rv>
  <rv s="0">
    <v>https://www.bing.com/financeapi/forcetrigger?t=r6dwrb&amp;q=US30Y&amp;form=skydnc</v>
    <v>Learn more on Bing</v>
  </rv>
  <rv s="1">
    <v>en-US</v>
    <v>r6dwrb</v>
    <v>268435456</v>
    <v>1</v>
    <v>Powered by Refinitiv</v>
    <v>0</v>
    <v>US Treasury 30Y</v>
    <v>2</v>
    <v>3</v>
    <v>Finance</v>
    <v>4</v>
    <v>-0.34379999999999999</v>
    <v>-3.6189999999999998E-3</v>
    <v>US</v>
    <v>USD</v>
    <v>Bond</v>
    <v>45597.878472222219</v>
    <v>3</v>
    <v>56476</v>
    <v>US Treasury 30Y</v>
    <v>94.984399999999994</v>
    <v>94.640600000000006</v>
    <v>US30Y</v>
    <v>US Treasury 30Y</v>
    <v>4.1344000000000006E-2</v>
    <v>4.4989999999999995E-2</v>
    <v>4.7987000000000002E-2</v>
    <v>4.4749999999999998E-2</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rvStructures>
</file>

<file path=xl/richData/rdsupportingpropertybag.xml><?xml version="1.0" encoding="utf-8"?>
<supportingPropertyBags xmlns="http://schemas.microsoft.com/office/spreadsheetml/2017/richdata2">
  <spbArrays count="1">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5">
    <spb s="0">
      <v>0</v>
      <v>Name</v>
      <v>LearnMoreOnLink</v>
    </spb>
    <spb s="1">
      <v>0</v>
      <v>0</v>
      <v>0</v>
    </spb>
    <spb s="2">
      <v>1</v>
      <v>1</v>
      <v>1</v>
    </spb>
    <spb s="3">
      <v>1</v>
      <v>2</v>
      <v>2</v>
      <v>3</v>
      <v>4</v>
      <v>2</v>
      <v>5</v>
      <v>4</v>
      <v>4</v>
      <v>4</v>
      <v>4</v>
      <v>6</v>
    </spb>
    <spb s="4">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0" formatCode="General"/>
    </x:dxf>
    <x:dxf>
      <x:numFmt numFmtId="168" formatCode="d/m/yy"/>
    </x:dxf>
    <x:dxf>
      <x:numFmt numFmtId="14" formatCode="0.00%"/>
    </x:dxf>
    <x:dxf>
      <x:numFmt numFmtId="167" formatCode="d/m/yy\ h:mm"/>
    </x:dxf>
    <x:dxf>
      <x:numFmt numFmtId="2" formatCode="0.00"/>
    </x:dxf>
  </dxfs>
  <richProperties>
    <rPr n="IsTitleField" t="b"/>
    <rPr n="NumberFormat" t="s"/>
  </richProperties>
  <richStyles>
    <rSty>
      <rpv i="0">1</rpv>
    </rSty>
    <rSty dxfid="0">
      <rpv i="1">_([$$-en-US]* #,##0.00_);_([$$-en-US]* (#,##0.00);_([$$-en-US]* "-"??_);_(@_)</rpv>
    </rSty>
    <rSty dxfid="1"/>
    <rSty dxfid="2"/>
    <rSty dxfid="3"/>
    <rSty dxfid="4">
      <rpv i="1">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1BB55D-7BE7-4678-B46A-EE2AA99CABBC}" name="Πίνακας1" displayName="Πίνακας1" ref="T22:W34" totalsRowShown="0" headerRowDxfId="21" headerRowBorderDxfId="19" tableBorderDxfId="20" totalsRowBorderDxfId="18">
  <autoFilter ref="T22:W34" xr:uid="{121BB55D-7BE7-4678-B46A-EE2AA99CABBC}"/>
  <tableColumns count="4">
    <tableColumn id="1" xr3:uid="{502B7142-7861-4C4B-806B-0BF2188B278D}" name="Στήλη1" dataDxfId="17"/>
    <tableColumn id="2" xr3:uid="{E001E413-6193-450B-A953-1B78972E6618}" name="Στήλη2" dataDxfId="16"/>
    <tableColumn id="3" xr3:uid="{20A1E37B-0340-47B0-A560-EC4C51E25EDA}" name="Στήλη3" dataDxfId="15"/>
    <tableColumn id="4" xr3:uid="{67CD63D3-1FB6-4A43-ACC3-3856F53C86B8}" name="Στήλη4" dataDxfId="14">
      <calculatedColumnFormula>(47.36-20)/20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A399CF-79DE-4C71-B984-BCC272325AD5}" name="Πίνακας4" displayName="Πίνακας4" ref="A72:L75" totalsRowShown="0" headerRowDxfId="13" dataDxfId="12">
  <autoFilter ref="A72:L75" xr:uid="{16A399CF-79DE-4C71-B984-BCC272325AD5}"/>
  <tableColumns count="12">
    <tableColumn id="1" xr3:uid="{C0B5456A-27EB-4784-8032-2A98F1DBF241}" name="Στήλη1" dataDxfId="11"/>
    <tableColumn id="2" xr3:uid="{8B921AA6-557A-48D9-BF84-04C2F95192C5}" name="2024" dataDxfId="10"/>
    <tableColumn id="3" xr3:uid="{E074E435-24F3-4964-A955-E2557C64B1DD}" name="2025" dataDxfId="9"/>
    <tableColumn id="4" xr3:uid="{E14CAB49-EF5A-4B34-937A-95860C8E1446}" name="2026" dataDxfId="8"/>
    <tableColumn id="5" xr3:uid="{BFFACAF2-1CC2-4CA3-A597-7DD3893CA017}" name="2027" dataDxfId="7"/>
    <tableColumn id="6" xr3:uid="{F3183861-0F27-4B41-B4D9-BFDF38702EA1}" name="2028" dataDxfId="6"/>
    <tableColumn id="7" xr3:uid="{527DB027-B195-4196-B407-B4AD51D4AF8F}" name="2029" dataDxfId="5"/>
    <tableColumn id="8" xr3:uid="{31C200CC-3FC0-41A7-8298-661FF194ECBF}" name="2030" dataDxfId="4"/>
    <tableColumn id="9" xr3:uid="{52499FC8-95CE-4641-BD63-0D043B48111E}" name="2031" dataDxfId="3"/>
    <tableColumn id="10" xr3:uid="{BC796563-D0B9-41A1-8F52-EC758259BB4A}" name="2032" dataDxfId="2"/>
    <tableColumn id="11" xr3:uid="{763CBBB2-92E7-4E0C-9F42-2DC382C42E53}" name="2033" dataDxfId="1"/>
    <tableColumn id="12" xr3:uid="{39FBB9CC-ACE1-40B5-9809-962C14285021}" name="2034"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nbc.com/us-treasurys/" TargetMode="External"/><Relationship Id="rId7" Type="http://schemas.openxmlformats.org/officeDocument/2006/relationships/table" Target="../tables/table2.xml"/><Relationship Id="rId2" Type="http://schemas.openxmlformats.org/officeDocument/2006/relationships/hyperlink" Target="https://www.cnbc.com/us-treasurys/" TargetMode="External"/><Relationship Id="rId1" Type="http://schemas.openxmlformats.org/officeDocument/2006/relationships/hyperlink" Target="https://www.financecharts.com/stocks/ADBE/value/ps-ratio" TargetMode="External"/><Relationship Id="rId6" Type="http://schemas.openxmlformats.org/officeDocument/2006/relationships/table" Target="../tables/table1.xml"/><Relationship Id="rId5" Type="http://schemas.openxmlformats.org/officeDocument/2006/relationships/hyperlink" Target="https://finbox.com/NASDAQGS:ADBE/models/wacc" TargetMode="External"/><Relationship Id="rId4" Type="http://schemas.openxmlformats.org/officeDocument/2006/relationships/hyperlink" Target="https://seekingalpha.com/symbol/ADBE/earnings/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16BC6-159E-4113-A963-86A2DF9EE1FA}">
  <dimension ref="A1:AQ80"/>
  <sheetViews>
    <sheetView tabSelected="1" workbookViewId="0">
      <selection sqref="A1:XFD1048576"/>
    </sheetView>
  </sheetViews>
  <sheetFormatPr defaultColWidth="11.88671875" defaultRowHeight="15.6" x14ac:dyDescent="0.3"/>
  <cols>
    <col min="1" max="1" width="48.88671875" style="31" bestFit="1" customWidth="1"/>
    <col min="2" max="2" width="23.88671875" bestFit="1" customWidth="1"/>
    <col min="3" max="3" width="19.6640625" customWidth="1"/>
    <col min="4" max="4" width="21.88671875" bestFit="1" customWidth="1"/>
    <col min="5" max="9" width="19.6640625" customWidth="1"/>
    <col min="10" max="10" width="8.6640625" customWidth="1"/>
    <col min="13" max="13" width="0" hidden="1" customWidth="1"/>
    <col min="20" max="20" width="14.109375" bestFit="1" customWidth="1"/>
  </cols>
  <sheetData>
    <row r="1" spans="1:11" ht="16.05" customHeight="1" x14ac:dyDescent="0.3">
      <c r="A1" s="1" t="s">
        <v>0</v>
      </c>
      <c r="B1" s="2"/>
      <c r="C1" s="3"/>
      <c r="D1" s="4" t="s">
        <v>1</v>
      </c>
      <c r="E1" s="5"/>
      <c r="F1" s="5"/>
      <c r="G1" s="5"/>
      <c r="H1" s="5"/>
      <c r="I1" s="6"/>
    </row>
    <row r="2" spans="1:11" ht="16.05" customHeight="1" x14ac:dyDescent="0.3">
      <c r="A2" s="7" t="s">
        <v>2</v>
      </c>
      <c r="B2" s="8">
        <v>20</v>
      </c>
      <c r="D2" s="9"/>
      <c r="E2" s="10"/>
      <c r="F2" s="10"/>
      <c r="G2" s="10"/>
      <c r="H2" s="10"/>
      <c r="I2" s="11"/>
      <c r="K2" s="12"/>
    </row>
    <row r="3" spans="1:11" ht="16.05" customHeight="1" x14ac:dyDescent="0.3">
      <c r="A3" s="7" t="s">
        <v>3</v>
      </c>
      <c r="B3" s="13">
        <f>1.07</f>
        <v>1.07</v>
      </c>
      <c r="C3" t="s">
        <v>4</v>
      </c>
      <c r="D3" s="9"/>
      <c r="E3" s="10"/>
      <c r="F3" s="10"/>
      <c r="G3" s="10"/>
      <c r="H3" s="10"/>
      <c r="I3" s="11"/>
      <c r="K3" s="12"/>
    </row>
    <row r="4" spans="1:11" ht="16.05" customHeight="1" x14ac:dyDescent="0.3">
      <c r="A4" s="7" t="s">
        <v>5</v>
      </c>
      <c r="B4" s="13">
        <v>9.0999999999999998E-2</v>
      </c>
      <c r="C4" t="s">
        <v>4</v>
      </c>
      <c r="D4" s="9"/>
      <c r="E4" s="10"/>
      <c r="F4" s="10"/>
      <c r="G4" s="10"/>
      <c r="H4" s="10"/>
      <c r="I4" s="11"/>
      <c r="K4" s="12"/>
    </row>
    <row r="5" spans="1:11" ht="16.05" customHeight="1" x14ac:dyDescent="0.3">
      <c r="A5" s="7" t="s">
        <v>6</v>
      </c>
      <c r="B5" s="14">
        <f>B4/B3</f>
        <v>8.504672897196261E-2</v>
      </c>
      <c r="D5" s="9"/>
      <c r="E5" s="10"/>
      <c r="F5" s="10"/>
      <c r="G5" s="10"/>
      <c r="H5" s="10"/>
      <c r="I5" s="11"/>
      <c r="K5" s="12"/>
    </row>
    <row r="6" spans="1:11" ht="16.05" customHeight="1" x14ac:dyDescent="0.3">
      <c r="A6" s="7" t="s">
        <v>7</v>
      </c>
      <c r="B6" s="15">
        <v>0.2</v>
      </c>
      <c r="C6" s="16"/>
      <c r="D6" s="9"/>
      <c r="E6" s="10"/>
      <c r="F6" s="10"/>
      <c r="G6" s="10"/>
      <c r="H6" s="10"/>
      <c r="I6" s="11"/>
      <c r="K6" s="12"/>
    </row>
    <row r="7" spans="1:11" ht="16.05" customHeight="1" x14ac:dyDescent="0.3">
      <c r="A7" s="7" t="s">
        <v>8</v>
      </c>
      <c r="B7" s="17">
        <v>0.1</v>
      </c>
      <c r="C7" s="16" t="s">
        <v>9</v>
      </c>
      <c r="D7" s="9"/>
      <c r="E7" s="10"/>
      <c r="F7" s="10"/>
      <c r="G7" s="10"/>
      <c r="H7" s="10"/>
      <c r="I7" s="11"/>
      <c r="K7" s="12"/>
    </row>
    <row r="8" spans="1:11" ht="16.05" customHeight="1" x14ac:dyDescent="0.3">
      <c r="A8" s="7" t="e" vm="1">
        <v>#VALUE!</v>
      </c>
      <c r="B8" s="18" cm="1">
        <f t="array" aca="1" ref="B8" ca="1">_FV(A8,"Yield yesterday",TRUE)</f>
        <v>4.2839999999999996E-2</v>
      </c>
      <c r="C8" s="16" t="s">
        <v>10</v>
      </c>
      <c r="D8" s="9"/>
      <c r="E8" s="10"/>
      <c r="F8" s="10"/>
      <c r="G8" s="10"/>
      <c r="H8" s="10"/>
      <c r="I8" s="11"/>
      <c r="K8" s="12"/>
    </row>
    <row r="9" spans="1:11" ht="16.05" customHeight="1" x14ac:dyDescent="0.3">
      <c r="A9" s="7" t="e" vm="2">
        <v>#VALUE!</v>
      </c>
      <c r="B9" s="19" cm="1">
        <f t="array" aca="1" ref="B9" ca="1">_FV(A9,"Yield yesterday",TRUE)</f>
        <v>4.4749999999999998E-2</v>
      </c>
      <c r="C9" s="16" t="s">
        <v>10</v>
      </c>
      <c r="D9" s="9"/>
      <c r="E9" s="10"/>
      <c r="F9" s="10"/>
      <c r="G9" s="10"/>
      <c r="H9" s="10"/>
      <c r="I9" s="11"/>
      <c r="K9" s="12"/>
    </row>
    <row r="10" spans="1:11" ht="16.05" customHeight="1" x14ac:dyDescent="0.3">
      <c r="A10" s="7" t="s">
        <v>11</v>
      </c>
      <c r="B10" s="20">
        <v>6.5000000000000002E-2</v>
      </c>
      <c r="C10" s="21" t="s">
        <v>12</v>
      </c>
      <c r="D10" s="9"/>
      <c r="E10" s="10"/>
      <c r="F10" s="10"/>
      <c r="G10" s="10"/>
      <c r="H10" s="10"/>
      <c r="I10" s="11"/>
      <c r="K10" s="12"/>
    </row>
    <row r="11" spans="1:11" ht="16.05" customHeight="1" x14ac:dyDescent="0.3">
      <c r="A11" s="7" t="s">
        <v>13</v>
      </c>
      <c r="B11" s="22">
        <f>0.234</f>
        <v>0.23400000000000001</v>
      </c>
      <c r="C11" t="s">
        <v>4</v>
      </c>
      <c r="D11" s="9"/>
      <c r="E11" s="10"/>
      <c r="F11" s="10"/>
      <c r="G11" s="10"/>
      <c r="H11" s="10"/>
      <c r="I11" s="11"/>
      <c r="K11" s="12"/>
    </row>
    <row r="12" spans="1:11" ht="16.05" customHeight="1" x14ac:dyDescent="0.3">
      <c r="A12" s="1" t="s">
        <v>14</v>
      </c>
      <c r="B12" s="2"/>
      <c r="D12" s="9"/>
      <c r="E12" s="10"/>
      <c r="F12" s="10"/>
      <c r="G12" s="10"/>
      <c r="H12" s="10"/>
      <c r="I12" s="11"/>
      <c r="K12" s="12"/>
    </row>
    <row r="13" spans="1:11" ht="16.05" customHeight="1" x14ac:dyDescent="0.3">
      <c r="A13" s="7" t="s">
        <v>15</v>
      </c>
      <c r="B13" s="13">
        <f>0.227</f>
        <v>0.22700000000000001</v>
      </c>
      <c r="C13" t="s">
        <v>4</v>
      </c>
      <c r="D13" s="23"/>
      <c r="E13" s="24"/>
      <c r="F13" s="24"/>
      <c r="G13" s="24"/>
      <c r="H13" s="24"/>
      <c r="I13" s="25"/>
      <c r="K13" s="12"/>
    </row>
    <row r="14" spans="1:11" ht="16.05" customHeight="1" x14ac:dyDescent="0.35">
      <c r="A14" s="7" t="s">
        <v>16</v>
      </c>
      <c r="B14" s="13">
        <f>0</f>
        <v>0</v>
      </c>
      <c r="C14" t="s">
        <v>4</v>
      </c>
      <c r="D14" s="26" t="s">
        <v>17</v>
      </c>
      <c r="E14" s="27">
        <f ca="1">TODAY()</f>
        <v>45599</v>
      </c>
      <c r="F14" s="28"/>
      <c r="G14" s="28"/>
      <c r="H14" s="28"/>
      <c r="I14" s="28"/>
      <c r="K14" s="12"/>
    </row>
    <row r="15" spans="1:11" ht="16.95" customHeight="1" thickBot="1" x14ac:dyDescent="0.35">
      <c r="A15" s="29" t="s">
        <v>18</v>
      </c>
      <c r="B15" s="30">
        <f>B13-B14</f>
        <v>0.22700000000000001</v>
      </c>
      <c r="C15" s="21" t="s">
        <v>19</v>
      </c>
      <c r="K15" s="12"/>
    </row>
    <row r="16" spans="1:11" ht="16.2" thickTop="1" x14ac:dyDescent="0.3">
      <c r="C16" s="21"/>
    </row>
    <row r="17" spans="1:23" s="31" customFormat="1" x14ac:dyDescent="0.3">
      <c r="B17" s="32" t="s">
        <v>20</v>
      </c>
      <c r="C17" s="32"/>
      <c r="D17" s="32"/>
      <c r="E17" s="33" t="s">
        <v>21</v>
      </c>
      <c r="F17" s="33"/>
      <c r="G17" s="33"/>
      <c r="H17" s="33"/>
      <c r="I17" s="33"/>
      <c r="J17"/>
    </row>
    <row r="18" spans="1:23" s="31" customFormat="1" x14ac:dyDescent="0.3">
      <c r="A18" s="7" t="s">
        <v>22</v>
      </c>
      <c r="B18" s="34">
        <v>44501</v>
      </c>
      <c r="C18" s="34">
        <v>44866</v>
      </c>
      <c r="D18" s="34">
        <v>45231</v>
      </c>
      <c r="E18" s="35">
        <v>45597</v>
      </c>
      <c r="F18" s="35">
        <v>45962</v>
      </c>
      <c r="G18" s="35">
        <v>46327</v>
      </c>
      <c r="H18" s="35">
        <v>46692</v>
      </c>
      <c r="I18" s="35">
        <v>47058</v>
      </c>
      <c r="J18"/>
    </row>
    <row r="19" spans="1:23" x14ac:dyDescent="0.3">
      <c r="A19" s="7" t="s">
        <v>23</v>
      </c>
      <c r="B19" s="36">
        <f>228/1000</f>
        <v>0.22800000000000001</v>
      </c>
      <c r="C19" s="36">
        <f>444/1000</f>
        <v>0.44400000000000001</v>
      </c>
      <c r="D19" s="36">
        <f>792/1000</f>
        <v>0.79200000000000004</v>
      </c>
      <c r="E19" s="13">
        <v>1.1399999999999999</v>
      </c>
      <c r="F19" s="13">
        <v>1.54</v>
      </c>
      <c r="G19" s="13">
        <f>F19*1.24</f>
        <v>1.9096</v>
      </c>
      <c r="H19" s="37">
        <f>G19*1.22</f>
        <v>2.3297119999999998</v>
      </c>
      <c r="I19" s="37">
        <f>H19*1.2</f>
        <v>2.7956543999999997</v>
      </c>
      <c r="J19" s="16" t="s">
        <v>24</v>
      </c>
    </row>
    <row r="20" spans="1:23" x14ac:dyDescent="0.3">
      <c r="B20" s="38"/>
      <c r="C20" s="38"/>
    </row>
    <row r="21" spans="1:23" x14ac:dyDescent="0.3">
      <c r="B21" s="1" t="s">
        <v>25</v>
      </c>
      <c r="C21" s="39"/>
      <c r="D21" s="39"/>
      <c r="E21" s="39"/>
      <c r="F21" s="39"/>
      <c r="G21" s="39"/>
      <c r="H21" s="39"/>
      <c r="I21" s="2"/>
      <c r="J21" s="1" t="s">
        <v>25</v>
      </c>
      <c r="K21" s="39"/>
      <c r="L21" s="39"/>
      <c r="M21" s="39"/>
      <c r="N21" s="39"/>
      <c r="O21" s="39"/>
      <c r="P21" s="39"/>
      <c r="Q21" s="2"/>
    </row>
    <row r="22" spans="1:23" x14ac:dyDescent="0.3">
      <c r="B22" s="40" t="str">
        <f>B17</f>
        <v>Historical</v>
      </c>
      <c r="C22" s="40"/>
      <c r="D22" s="40"/>
      <c r="E22" s="33"/>
      <c r="F22" s="33"/>
      <c r="G22" s="33"/>
      <c r="H22" s="33"/>
      <c r="I22" s="33"/>
      <c r="J22" s="33"/>
      <c r="K22" s="33"/>
      <c r="L22" s="33"/>
      <c r="M22" s="33"/>
      <c r="N22" s="33"/>
      <c r="O22" s="33"/>
      <c r="P22" s="33"/>
      <c r="Q22" s="33"/>
      <c r="R22" s="33"/>
      <c r="S22" s="41"/>
      <c r="T22" s="42" t="s">
        <v>26</v>
      </c>
      <c r="U22" s="43" t="s">
        <v>27</v>
      </c>
      <c r="V22" s="43" t="s">
        <v>28</v>
      </c>
      <c r="W22" s="44" t="s">
        <v>29</v>
      </c>
    </row>
    <row r="23" spans="1:23" x14ac:dyDescent="0.3">
      <c r="A23" s="7" t="str">
        <f>A18</f>
        <v>Fiscal Period Ending</v>
      </c>
      <c r="B23" s="34">
        <f t="shared" ref="B23:I24" si="0">B18</f>
        <v>44501</v>
      </c>
      <c r="C23" s="34">
        <f t="shared" si="0"/>
        <v>44866</v>
      </c>
      <c r="D23" s="34">
        <f t="shared" si="0"/>
        <v>45231</v>
      </c>
      <c r="E23" s="35">
        <f t="shared" si="0"/>
        <v>45597</v>
      </c>
      <c r="F23" s="35">
        <f t="shared" si="0"/>
        <v>45962</v>
      </c>
      <c r="G23" s="35">
        <f t="shared" si="0"/>
        <v>46327</v>
      </c>
      <c r="H23" s="35">
        <f t="shared" si="0"/>
        <v>46692</v>
      </c>
      <c r="I23" s="35">
        <f t="shared" si="0"/>
        <v>47058</v>
      </c>
      <c r="K23">
        <v>2029</v>
      </c>
      <c r="L23">
        <f>K23+1</f>
        <v>2030</v>
      </c>
      <c r="M23">
        <f t="shared" ref="M23:P23" si="1">L23+1</f>
        <v>2031</v>
      </c>
      <c r="N23">
        <f t="shared" si="1"/>
        <v>2032</v>
      </c>
      <c r="O23">
        <f t="shared" si="1"/>
        <v>2033</v>
      </c>
      <c r="P23">
        <f t="shared" si="1"/>
        <v>2034</v>
      </c>
      <c r="T23" s="45"/>
      <c r="U23" s="46"/>
      <c r="V23" s="46"/>
      <c r="W23" s="47"/>
    </row>
    <row r="24" spans="1:23" s="50" customFormat="1" ht="18" x14ac:dyDescent="0.35">
      <c r="A24" s="7" t="str">
        <f>A19</f>
        <v>Total Revenues (Billions)</v>
      </c>
      <c r="B24" s="48">
        <f t="shared" si="0"/>
        <v>0.22800000000000001</v>
      </c>
      <c r="C24" s="48">
        <f t="shared" si="0"/>
        <v>0.44400000000000001</v>
      </c>
      <c r="D24" s="48">
        <f t="shared" si="0"/>
        <v>0.79200000000000004</v>
      </c>
      <c r="E24" s="49">
        <f>D24*(1+E25)</f>
        <v>1.1399999999999999</v>
      </c>
      <c r="F24" s="49">
        <f>E24*(1+F25)</f>
        <v>1.482</v>
      </c>
      <c r="G24" s="49">
        <f>F24*(1+G25)</f>
        <v>1.7784</v>
      </c>
      <c r="H24" s="49">
        <f>G24*(1+H25)</f>
        <v>2.0985119999999999</v>
      </c>
      <c r="I24" s="49">
        <f>H24*(1+I25)</f>
        <v>2.4132887999999997</v>
      </c>
      <c r="J24" s="49">
        <f t="shared" ref="J24:P24" si="2">I24*(1+J25)</f>
        <v>2.4132887999999997</v>
      </c>
      <c r="K24" s="49">
        <f t="shared" si="2"/>
        <v>2.7752821199999995</v>
      </c>
      <c r="L24" s="49">
        <f t="shared" si="2"/>
        <v>3.1360687955999991</v>
      </c>
      <c r="M24" s="49">
        <f t="shared" si="2"/>
        <v>3.5437577390279986</v>
      </c>
      <c r="N24" s="49">
        <f t="shared" si="2"/>
        <v>4.0044462451016383</v>
      </c>
      <c r="O24" s="49">
        <f t="shared" si="2"/>
        <v>4.5250242569648504</v>
      </c>
      <c r="P24" s="49">
        <f t="shared" si="2"/>
        <v>5.1132774103702809</v>
      </c>
      <c r="T24" s="51"/>
      <c r="U24" s="52">
        <v>2029</v>
      </c>
      <c r="V24" s="53"/>
      <c r="W24" s="54"/>
    </row>
    <row r="25" spans="1:23" ht="18" x14ac:dyDescent="0.35">
      <c r="A25" s="7" t="s">
        <v>30</v>
      </c>
      <c r="B25" s="55"/>
      <c r="C25" s="56">
        <f>(C24-B24)/B24</f>
        <v>0.94736842105263153</v>
      </c>
      <c r="D25" s="56">
        <f t="shared" ref="D25" si="3">(D24-C24)/C24</f>
        <v>0.78378378378378388</v>
      </c>
      <c r="E25" s="56">
        <f>E36</f>
        <v>0.43939393939393923</v>
      </c>
      <c r="F25" s="56">
        <v>0.3</v>
      </c>
      <c r="G25" s="56">
        <v>0.2</v>
      </c>
      <c r="H25" s="56">
        <v>0.18</v>
      </c>
      <c r="I25" s="56">
        <v>0.15</v>
      </c>
      <c r="K25" s="57">
        <v>0.15</v>
      </c>
      <c r="L25" s="57">
        <v>0.13</v>
      </c>
      <c r="M25" s="57">
        <v>0.13</v>
      </c>
      <c r="N25" s="57">
        <v>0.13</v>
      </c>
      <c r="O25" s="57">
        <v>0.13</v>
      </c>
      <c r="P25" s="57">
        <v>0.13</v>
      </c>
      <c r="T25" s="52"/>
      <c r="U25" s="58"/>
      <c r="V25" s="59"/>
      <c r="W25" s="60"/>
    </row>
    <row r="26" spans="1:23" ht="18" x14ac:dyDescent="0.35">
      <c r="A26" s="7" t="str">
        <f>$A$6</f>
        <v>Expected FCF Margin</v>
      </c>
      <c r="B26" s="61" t="s">
        <v>31</v>
      </c>
      <c r="C26" s="61" t="s">
        <v>31</v>
      </c>
      <c r="D26" s="61">
        <f>D27/D24</f>
        <v>3.2828282828282825E-2</v>
      </c>
      <c r="E26" s="17">
        <f>$B$5</f>
        <v>8.504672897196261E-2</v>
      </c>
      <c r="F26" s="17">
        <f>E26+1.5%</f>
        <v>0.10004672897196261</v>
      </c>
      <c r="G26" s="17">
        <f t="shared" ref="G26:P26" si="4">F26+1%</f>
        <v>0.1100467289719626</v>
      </c>
      <c r="H26" s="17">
        <f t="shared" si="4"/>
        <v>0.1200467289719626</v>
      </c>
      <c r="I26" s="17">
        <f t="shared" si="4"/>
        <v>0.13004672897196259</v>
      </c>
      <c r="J26" s="17">
        <f t="shared" si="4"/>
        <v>0.1400467289719626</v>
      </c>
      <c r="K26" s="17">
        <f t="shared" si="4"/>
        <v>0.15004672897196261</v>
      </c>
      <c r="L26" s="17">
        <f t="shared" si="4"/>
        <v>0.16004672897196262</v>
      </c>
      <c r="M26" s="17">
        <f t="shared" si="4"/>
        <v>0.17004672897196263</v>
      </c>
      <c r="N26" s="17">
        <f t="shared" si="4"/>
        <v>0.18004672897196264</v>
      </c>
      <c r="O26" s="17">
        <f t="shared" si="4"/>
        <v>0.19004672897196265</v>
      </c>
      <c r="P26" s="17">
        <f t="shared" si="4"/>
        <v>0.20004672897196266</v>
      </c>
      <c r="T26" s="62">
        <f>K38*I40</f>
        <v>14.142908610168226</v>
      </c>
      <c r="U26" s="58" t="s">
        <v>32</v>
      </c>
      <c r="V26" s="53"/>
      <c r="W26" s="54"/>
    </row>
    <row r="27" spans="1:23" ht="18" x14ac:dyDescent="0.35">
      <c r="A27" s="7" t="s">
        <v>33</v>
      </c>
      <c r="B27" s="36" t="s">
        <v>31</v>
      </c>
      <c r="C27" s="36" t="s">
        <v>31</v>
      </c>
      <c r="D27" s="36">
        <v>2.5999999999999999E-2</v>
      </c>
      <c r="E27" s="49">
        <f>E26*E24</f>
        <v>9.6953271028037372E-2</v>
      </c>
      <c r="F27" s="49">
        <f>F26*F24</f>
        <v>0.14826925233644858</v>
      </c>
      <c r="G27" s="49">
        <f>G26*G24</f>
        <v>0.19570710280373829</v>
      </c>
      <c r="H27" s="49">
        <f>H26*H24</f>
        <v>0.25191950130841118</v>
      </c>
      <c r="I27" s="49">
        <f>I26*I24</f>
        <v>0.31384031450467281</v>
      </c>
      <c r="J27" s="49">
        <f t="shared" ref="J27:P27" si="5">J26*J24</f>
        <v>0.33797320250467283</v>
      </c>
      <c r="K27" s="49">
        <f t="shared" si="5"/>
        <v>0.41642200408037372</v>
      </c>
      <c r="L27" s="49">
        <f t="shared" si="5"/>
        <v>0.50191755256682224</v>
      </c>
      <c r="M27" s="49">
        <f t="shared" si="5"/>
        <v>0.60260441179078916</v>
      </c>
      <c r="N27" s="49">
        <f t="shared" si="5"/>
        <v>0.7209874477746081</v>
      </c>
      <c r="O27" s="49">
        <f t="shared" si="5"/>
        <v>0.85996605855495556</v>
      </c>
      <c r="P27" s="49">
        <f t="shared" si="5"/>
        <v>1.0228944202708026</v>
      </c>
      <c r="T27" s="63">
        <f>T26/G73</f>
        <v>47.356149427516527</v>
      </c>
      <c r="U27" s="58" t="s">
        <v>34</v>
      </c>
      <c r="V27" s="53" t="s">
        <v>35</v>
      </c>
      <c r="W27" s="64">
        <f t="shared" ref="W27:W28" si="6">(47.36-20)/20</f>
        <v>1.3679999999999999</v>
      </c>
    </row>
    <row r="28" spans="1:23" ht="21" x14ac:dyDescent="0.4">
      <c r="A28" s="65" t="s">
        <v>36</v>
      </c>
      <c r="B28" s="66">
        <f>NPV($B$7,E27:H27,(I27+I28))+$B$13-$B$14</f>
        <v>6.8812681798803874</v>
      </c>
      <c r="C28" t="s">
        <v>4</v>
      </c>
      <c r="H28" s="7" t="s">
        <v>37</v>
      </c>
      <c r="I28" s="67">
        <f>(I27*(1+$B$10))/($B$7-$B$10)</f>
        <v>9.549712427070757</v>
      </c>
      <c r="T28" s="68"/>
      <c r="U28" s="68"/>
      <c r="V28" s="68"/>
      <c r="W28" s="69">
        <f t="shared" si="6"/>
        <v>1.3679999999999999</v>
      </c>
    </row>
    <row r="29" spans="1:23" ht="18" x14ac:dyDescent="0.35">
      <c r="A29" s="7" t="str">
        <f>$A$11</f>
        <v>Diluted Shares Outstanding</v>
      </c>
      <c r="B29" s="7">
        <f>G73</f>
        <v>0.29864988562500011</v>
      </c>
      <c r="C29" t="s">
        <v>4</v>
      </c>
      <c r="H29" s="7" t="s">
        <v>38</v>
      </c>
      <c r="I29" s="70">
        <f>25</f>
        <v>25</v>
      </c>
      <c r="T29" s="52"/>
      <c r="U29" s="52">
        <v>2034</v>
      </c>
      <c r="V29" s="53"/>
      <c r="W29" s="54"/>
    </row>
    <row r="30" spans="1:23" ht="18" x14ac:dyDescent="0.35">
      <c r="A30" s="65" t="s">
        <v>39</v>
      </c>
      <c r="B30" s="66">
        <f>B28/B29</f>
        <v>23.041255031722514</v>
      </c>
      <c r="C30" s="31"/>
      <c r="T30" s="52"/>
      <c r="U30" s="58"/>
      <c r="V30" s="53"/>
      <c r="W30" s="54"/>
    </row>
    <row r="31" spans="1:23" ht="18" x14ac:dyDescent="0.35">
      <c r="T31" s="62">
        <f>P38*I40</f>
        <v>38.439286340967975</v>
      </c>
      <c r="U31" s="58" t="s">
        <v>32</v>
      </c>
      <c r="V31" s="53"/>
      <c r="W31" s="54"/>
    </row>
    <row r="32" spans="1:23" ht="18" x14ac:dyDescent="0.35">
      <c r="B32" s="1" t="s">
        <v>40</v>
      </c>
      <c r="C32" s="39"/>
      <c r="D32" s="39"/>
      <c r="E32" s="39"/>
      <c r="F32" s="39"/>
      <c r="G32" s="39"/>
      <c r="H32" s="39"/>
      <c r="I32" s="2"/>
      <c r="J32" s="1" t="s">
        <v>40</v>
      </c>
      <c r="K32" s="39"/>
      <c r="L32" s="39"/>
      <c r="M32" s="39"/>
      <c r="N32" s="39"/>
      <c r="O32" s="39"/>
      <c r="P32" s="39"/>
      <c r="Q32" s="2"/>
      <c r="T32" s="63">
        <f>T31/L73</f>
        <v>116.57679317046596</v>
      </c>
      <c r="U32" s="58" t="s">
        <v>41</v>
      </c>
      <c r="V32" s="53"/>
      <c r="W32" s="54"/>
    </row>
    <row r="33" spans="1:43" ht="18" x14ac:dyDescent="0.35">
      <c r="B33" s="40" t="str">
        <f>B22</f>
        <v>Historical</v>
      </c>
      <c r="C33" s="40"/>
      <c r="D33" s="40"/>
      <c r="E33" s="33"/>
      <c r="F33" s="33"/>
      <c r="G33" s="33"/>
      <c r="H33" s="33"/>
      <c r="I33" s="33"/>
      <c r="J33" s="33"/>
      <c r="K33" s="33"/>
      <c r="L33" s="33"/>
      <c r="M33" s="33"/>
      <c r="N33" s="33"/>
      <c r="O33" s="33"/>
      <c r="P33" s="33"/>
      <c r="Q33" s="33"/>
      <c r="R33" s="33"/>
      <c r="S33" s="41"/>
      <c r="T33" s="52"/>
      <c r="U33" s="58"/>
      <c r="V33" s="53" t="s">
        <v>35</v>
      </c>
      <c r="W33" s="64">
        <f>(116.58-20)/20</f>
        <v>4.8289999999999997</v>
      </c>
    </row>
    <row r="34" spans="1:43" ht="21" x14ac:dyDescent="0.4">
      <c r="A34" s="7" t="str">
        <f>A18</f>
        <v>Fiscal Period Ending</v>
      </c>
      <c r="B34" s="34">
        <f>B23</f>
        <v>44501</v>
      </c>
      <c r="C34" s="34">
        <f t="shared" ref="C34:I35" si="7">C23</f>
        <v>44866</v>
      </c>
      <c r="D34" s="34">
        <f t="shared" si="7"/>
        <v>45231</v>
      </c>
      <c r="E34" s="35">
        <f t="shared" si="7"/>
        <v>45597</v>
      </c>
      <c r="F34" s="35">
        <f t="shared" si="7"/>
        <v>45962</v>
      </c>
      <c r="G34" s="35">
        <f t="shared" si="7"/>
        <v>46327</v>
      </c>
      <c r="H34" s="35">
        <f t="shared" si="7"/>
        <v>46692</v>
      </c>
      <c r="I34" s="35">
        <f t="shared" si="7"/>
        <v>47058</v>
      </c>
      <c r="K34">
        <v>2029</v>
      </c>
      <c r="L34">
        <f>K34+1</f>
        <v>2030</v>
      </c>
      <c r="M34">
        <f t="shared" ref="M34:P34" si="8">L34+1</f>
        <v>2031</v>
      </c>
      <c r="N34">
        <f t="shared" si="8"/>
        <v>2032</v>
      </c>
      <c r="O34">
        <f t="shared" si="8"/>
        <v>2033</v>
      </c>
      <c r="P34">
        <f t="shared" si="8"/>
        <v>2034</v>
      </c>
      <c r="T34" s="71"/>
      <c r="U34" s="72"/>
      <c r="V34" s="73"/>
      <c r="W34" s="74"/>
    </row>
    <row r="35" spans="1:43" x14ac:dyDescent="0.3">
      <c r="A35" s="7" t="str">
        <f>A24</f>
        <v>Total Revenues (Billions)</v>
      </c>
      <c r="B35" s="48">
        <f>B24</f>
        <v>0.22800000000000001</v>
      </c>
      <c r="C35" s="48">
        <f t="shared" si="7"/>
        <v>0.44400000000000001</v>
      </c>
      <c r="D35" s="48">
        <f t="shared" si="7"/>
        <v>0.79200000000000004</v>
      </c>
      <c r="E35" s="13">
        <v>1.1399999999999999</v>
      </c>
      <c r="F35" s="13">
        <v>1.54</v>
      </c>
      <c r="G35" s="13">
        <f>F35*1.24</f>
        <v>1.9096</v>
      </c>
      <c r="H35" s="37">
        <f>G35*1.22</f>
        <v>2.3297119999999998</v>
      </c>
      <c r="I35" s="37">
        <f>H35*1.2</f>
        <v>2.7956543999999997</v>
      </c>
      <c r="K35" s="75">
        <f>I35*(1+K36)</f>
        <v>3.3268287359999995</v>
      </c>
      <c r="L35" s="75">
        <f>K35*(1+L36)</f>
        <v>3.8591213337599992</v>
      </c>
      <c r="M35" s="75">
        <f t="shared" ref="M35:P35" si="9">L35*(1+M36)</f>
        <v>4.4765807471615986</v>
      </c>
      <c r="N35" s="75">
        <f t="shared" si="9"/>
        <v>5.1928336667074539</v>
      </c>
      <c r="O35" s="75">
        <f t="shared" si="9"/>
        <v>6.0236870533806464</v>
      </c>
      <c r="P35" s="75">
        <f t="shared" si="9"/>
        <v>6.9874769819215494</v>
      </c>
    </row>
    <row r="36" spans="1:43" x14ac:dyDescent="0.3">
      <c r="A36" s="7" t="str">
        <f t="shared" ref="A36:D41" si="10">A25</f>
        <v>Expected Growth Rates</v>
      </c>
      <c r="B36" s="76">
        <f t="shared" si="10"/>
        <v>0</v>
      </c>
      <c r="C36" s="77">
        <f t="shared" si="10"/>
        <v>0.94736842105263153</v>
      </c>
      <c r="D36" s="77">
        <f>(D35-C35)/C35</f>
        <v>0.78378378378378388</v>
      </c>
      <c r="E36" s="77">
        <f t="shared" ref="E36:I36" si="11">(E35-D35)/D35</f>
        <v>0.43939393939393923</v>
      </c>
      <c r="F36" s="77">
        <f t="shared" si="11"/>
        <v>0.35087719298245629</v>
      </c>
      <c r="G36" s="77">
        <f t="shared" si="11"/>
        <v>0.23999999999999994</v>
      </c>
      <c r="H36" s="77">
        <f t="shared" si="11"/>
        <v>0.21999999999999992</v>
      </c>
      <c r="I36" s="77">
        <f t="shared" si="11"/>
        <v>0.19999999999999996</v>
      </c>
      <c r="K36" s="78">
        <v>0.19</v>
      </c>
      <c r="L36" s="78">
        <v>0.16</v>
      </c>
      <c r="M36" s="78">
        <v>0.16</v>
      </c>
      <c r="N36" s="78">
        <v>0.16</v>
      </c>
      <c r="O36" s="78">
        <v>0.16</v>
      </c>
      <c r="P36" s="78">
        <v>0.16</v>
      </c>
    </row>
    <row r="37" spans="1:43" x14ac:dyDescent="0.3">
      <c r="A37" s="7" t="str">
        <f t="shared" si="10"/>
        <v>Expected FCF Margin</v>
      </c>
      <c r="B37" s="79" t="str">
        <f t="shared" si="10"/>
        <v>-</v>
      </c>
      <c r="C37" s="79" t="str">
        <f t="shared" si="10"/>
        <v>-</v>
      </c>
      <c r="D37" s="79">
        <f t="shared" si="10"/>
        <v>3.2828282828282825E-2</v>
      </c>
      <c r="E37" s="17">
        <f>$B$5</f>
        <v>8.504672897196261E-2</v>
      </c>
      <c r="F37" s="17">
        <f>E37+3.5%</f>
        <v>0.12004672897196261</v>
      </c>
      <c r="G37" s="17">
        <f t="shared" ref="G37:P37" si="12">F37+1%</f>
        <v>0.13004672897196262</v>
      </c>
      <c r="H37" s="17">
        <f t="shared" si="12"/>
        <v>0.14004672897196263</v>
      </c>
      <c r="I37" s="17">
        <f t="shared" si="12"/>
        <v>0.15004672897196264</v>
      </c>
      <c r="J37" s="17">
        <f t="shared" si="12"/>
        <v>0.16004672897196265</v>
      </c>
      <c r="K37" s="17">
        <f t="shared" si="12"/>
        <v>0.17004672897196266</v>
      </c>
      <c r="L37" s="17">
        <f t="shared" si="12"/>
        <v>0.18004672897196267</v>
      </c>
      <c r="M37" s="17">
        <f t="shared" si="12"/>
        <v>0.19004672897196268</v>
      </c>
      <c r="N37" s="17">
        <f t="shared" si="12"/>
        <v>0.20004672897196268</v>
      </c>
      <c r="O37" s="17">
        <f t="shared" si="12"/>
        <v>0.21004672897196269</v>
      </c>
      <c r="P37" s="17">
        <f t="shared" si="12"/>
        <v>0.2200467289719627</v>
      </c>
    </row>
    <row r="38" spans="1:43" x14ac:dyDescent="0.3">
      <c r="A38" s="7" t="str">
        <f t="shared" si="10"/>
        <v>Free Cash Flows</v>
      </c>
      <c r="B38" s="48" t="str">
        <f t="shared" si="10"/>
        <v>-</v>
      </c>
      <c r="C38" s="48" t="str">
        <f t="shared" si="10"/>
        <v>-</v>
      </c>
      <c r="D38" s="48">
        <f t="shared" si="10"/>
        <v>2.5999999999999999E-2</v>
      </c>
      <c r="E38" s="49">
        <f>E37*E35</f>
        <v>9.6953271028037372E-2</v>
      </c>
      <c r="F38" s="49">
        <f>F37*F35</f>
        <v>0.18487196261682243</v>
      </c>
      <c r="G38" s="49">
        <f>G37*G35</f>
        <v>0.24833723364485982</v>
      </c>
      <c r="H38" s="49">
        <f>H37*H35</f>
        <v>0.32626854504672897</v>
      </c>
      <c r="I38" s="49">
        <f>I37*I35</f>
        <v>0.4194787980560748</v>
      </c>
      <c r="J38" s="49">
        <f t="shared" ref="J38:P38" si="13">J37*J35</f>
        <v>0</v>
      </c>
      <c r="K38" s="49">
        <f t="shared" si="13"/>
        <v>0.56571634440672902</v>
      </c>
      <c r="L38" s="49">
        <f t="shared" si="13"/>
        <v>0.69482217284940562</v>
      </c>
      <c r="M38" s="49">
        <f t="shared" si="13"/>
        <v>0.85075952797692644</v>
      </c>
      <c r="N38" s="49">
        <f t="shared" si="13"/>
        <v>1.0388093891203092</v>
      </c>
      <c r="O38" s="49">
        <f t="shared" si="13"/>
        <v>1.2652557619133653</v>
      </c>
      <c r="P38" s="49">
        <f t="shared" si="13"/>
        <v>1.5375714536387191</v>
      </c>
    </row>
    <row r="39" spans="1:43" x14ac:dyDescent="0.3">
      <c r="A39" s="65" t="str">
        <f t="shared" si="10"/>
        <v>Intrinsic Value (Company)</v>
      </c>
      <c r="B39" s="66">
        <f>NPV($B$7,E38:H38,(I38+I39))+$B$13-$B$14</f>
        <v>9.0633417092060586</v>
      </c>
      <c r="C39" t="str">
        <f>C28</f>
        <v>Billions</v>
      </c>
      <c r="H39" s="7" t="str">
        <f>H28</f>
        <v>Terminal Value</v>
      </c>
      <c r="I39" s="67">
        <f>(I38*(1+$B$10))/($B$7-$B$10)</f>
        <v>12.76414056942056</v>
      </c>
    </row>
    <row r="40" spans="1:43" x14ac:dyDescent="0.3">
      <c r="A40" s="7" t="str">
        <f t="shared" si="10"/>
        <v>Diluted Shares Outstanding</v>
      </c>
      <c r="B40" s="7">
        <f>G73</f>
        <v>0.29864988562500011</v>
      </c>
      <c r="C40" t="str">
        <f>C29</f>
        <v>Billions</v>
      </c>
      <c r="D40">
        <f>MEDIAN(11.54,14.37,9.02,18.58,17.78,13.41)</f>
        <v>13.89</v>
      </c>
      <c r="E40">
        <v>21.44</v>
      </c>
      <c r="F40">
        <f>D40*E40</f>
        <v>297.80160000000001</v>
      </c>
      <c r="G40">
        <f>F40/B11</f>
        <v>1272.6564102564103</v>
      </c>
      <c r="H40" s="7" t="str">
        <f>H29</f>
        <v>Terminal Value's P/FCF</v>
      </c>
      <c r="I40" s="70">
        <f>I29</f>
        <v>25</v>
      </c>
    </row>
    <row r="41" spans="1:43" x14ac:dyDescent="0.3">
      <c r="A41" s="65" t="str">
        <f t="shared" si="10"/>
        <v>Intrinsic Value/Share</v>
      </c>
      <c r="B41" s="66">
        <f>B39/B40</f>
        <v>30.347715319691929</v>
      </c>
      <c r="C41" s="31"/>
      <c r="AJ41" s="80"/>
      <c r="AK41" s="80"/>
    </row>
    <row r="42" spans="1:43" x14ac:dyDescent="0.3">
      <c r="V42" s="81"/>
      <c r="W42" s="82"/>
      <c r="X42" s="81"/>
      <c r="Y42" s="81"/>
      <c r="Z42" s="81"/>
      <c r="AA42" s="81"/>
      <c r="AB42" s="81"/>
      <c r="AC42" s="81"/>
      <c r="AD42" s="81"/>
      <c r="AE42" s="81"/>
      <c r="AG42" s="83"/>
      <c r="AH42" s="83"/>
      <c r="AI42" s="83"/>
      <c r="AJ42" s="83"/>
      <c r="AK42" s="83"/>
    </row>
    <row r="43" spans="1:43" x14ac:dyDescent="0.3">
      <c r="B43" s="1" t="s">
        <v>42</v>
      </c>
      <c r="C43" s="39"/>
      <c r="D43" s="39"/>
      <c r="E43" s="39"/>
      <c r="F43" s="39"/>
      <c r="G43" s="39"/>
      <c r="H43" s="39"/>
      <c r="I43" s="2"/>
      <c r="J43" s="1" t="s">
        <v>42</v>
      </c>
      <c r="K43" s="39"/>
      <c r="L43" s="39"/>
      <c r="M43" s="39"/>
      <c r="N43" s="39"/>
      <c r="O43" s="39"/>
      <c r="P43" s="39"/>
      <c r="Q43" s="2"/>
      <c r="V43" s="81"/>
      <c r="W43" s="82"/>
      <c r="X43" s="81"/>
      <c r="Y43" s="81"/>
      <c r="Z43" s="81"/>
      <c r="AA43" s="81"/>
      <c r="AB43" s="81"/>
      <c r="AC43" s="81"/>
      <c r="AD43" s="81"/>
      <c r="AE43" s="81"/>
      <c r="AG43" s="83"/>
      <c r="AH43" s="83"/>
      <c r="AI43" s="83"/>
      <c r="AJ43" s="83"/>
      <c r="AK43" s="83"/>
    </row>
    <row r="44" spans="1:43" x14ac:dyDescent="0.3">
      <c r="B44" s="40" t="str">
        <f>B33</f>
        <v>Historical</v>
      </c>
      <c r="C44" s="40"/>
      <c r="D44" s="40"/>
      <c r="E44" s="33"/>
      <c r="F44" s="33"/>
      <c r="G44" s="33"/>
      <c r="H44" s="33"/>
      <c r="I44" s="33"/>
      <c r="J44" s="33"/>
      <c r="K44" s="33"/>
      <c r="L44" s="33"/>
      <c r="M44" s="33"/>
      <c r="N44" s="33"/>
      <c r="O44" s="33"/>
      <c r="P44" s="33"/>
      <c r="Q44" s="33"/>
      <c r="R44" s="33"/>
      <c r="S44" s="33"/>
      <c r="V44" s="81"/>
      <c r="W44" s="82"/>
      <c r="X44" s="81"/>
      <c r="Y44" s="81"/>
      <c r="Z44" s="81"/>
      <c r="AA44" s="81"/>
      <c r="AB44" s="81"/>
      <c r="AC44" s="81"/>
      <c r="AD44" s="81"/>
      <c r="AE44" s="81"/>
      <c r="AG44" s="83"/>
      <c r="AH44" s="83"/>
      <c r="AI44" s="83"/>
      <c r="AJ44" s="83"/>
      <c r="AK44" s="83"/>
    </row>
    <row r="45" spans="1:43" x14ac:dyDescent="0.3">
      <c r="A45" s="7" t="str">
        <f>A23</f>
        <v>Fiscal Period Ending</v>
      </c>
      <c r="B45" s="34">
        <f>B34</f>
        <v>44501</v>
      </c>
      <c r="C45" s="34">
        <f t="shared" ref="C45:I46" si="14">C34</f>
        <v>44866</v>
      </c>
      <c r="D45" s="34">
        <f t="shared" si="14"/>
        <v>45231</v>
      </c>
      <c r="E45" s="35">
        <f t="shared" si="14"/>
        <v>45597</v>
      </c>
      <c r="F45" s="35">
        <f t="shared" si="14"/>
        <v>45962</v>
      </c>
      <c r="G45" s="35">
        <f t="shared" si="14"/>
        <v>46327</v>
      </c>
      <c r="H45" s="35">
        <f t="shared" si="14"/>
        <v>46692</v>
      </c>
      <c r="I45" s="35">
        <f t="shared" si="14"/>
        <v>47058</v>
      </c>
      <c r="K45">
        <v>2029</v>
      </c>
      <c r="L45">
        <f>K45+1</f>
        <v>2030</v>
      </c>
      <c r="M45">
        <f t="shared" ref="M45:P45" si="15">L45+1</f>
        <v>2031</v>
      </c>
      <c r="N45">
        <f t="shared" si="15"/>
        <v>2032</v>
      </c>
      <c r="O45">
        <f t="shared" si="15"/>
        <v>2033</v>
      </c>
      <c r="P45">
        <f t="shared" si="15"/>
        <v>2034</v>
      </c>
      <c r="V45" s="81"/>
      <c r="W45" s="82"/>
      <c r="X45" s="81"/>
      <c r="Y45" s="81"/>
      <c r="Z45" s="81"/>
      <c r="AA45" s="81"/>
      <c r="AB45" s="81"/>
      <c r="AC45" s="81"/>
      <c r="AD45" s="81"/>
      <c r="AE45" s="81"/>
      <c r="AG45" s="83"/>
      <c r="AH45" s="83"/>
      <c r="AI45" s="83"/>
      <c r="AJ45" s="83"/>
      <c r="AK45" s="83"/>
    </row>
    <row r="46" spans="1:43" x14ac:dyDescent="0.3">
      <c r="A46" s="7" t="str">
        <f>A35</f>
        <v>Total Revenues (Billions)</v>
      </c>
      <c r="B46" s="48">
        <f>B35</f>
        <v>0.22800000000000001</v>
      </c>
      <c r="C46" s="48">
        <f t="shared" si="14"/>
        <v>0.44400000000000001</v>
      </c>
      <c r="D46" s="48">
        <f t="shared" si="14"/>
        <v>0.79200000000000004</v>
      </c>
      <c r="E46" s="49">
        <f>D46*(1+E47)</f>
        <v>1.1399999999999999</v>
      </c>
      <c r="F46" s="49">
        <f>E46*(1+F47)</f>
        <v>1.5731999999999997</v>
      </c>
      <c r="G46" s="49">
        <f>F46*(1+G47)</f>
        <v>2.0136959999999995</v>
      </c>
      <c r="H46" s="49">
        <f>G46*(1+H47)</f>
        <v>2.5171199999999994</v>
      </c>
      <c r="I46" s="49">
        <f>H46*(1+I47)</f>
        <v>3.0960575999999991</v>
      </c>
      <c r="J46" s="49">
        <f t="shared" ref="J46:P46" si="16">I46*(1+J47)</f>
        <v>3.8081508479999986</v>
      </c>
      <c r="K46" s="49">
        <f t="shared" si="16"/>
        <v>4.684025543039998</v>
      </c>
      <c r="L46" s="49">
        <f t="shared" si="16"/>
        <v>5.5271501407871977</v>
      </c>
      <c r="M46" s="49">
        <f t="shared" si="16"/>
        <v>6.5220371661288929</v>
      </c>
      <c r="N46" s="49">
        <f t="shared" si="16"/>
        <v>7.6960038560320934</v>
      </c>
      <c r="O46" s="49">
        <f t="shared" si="16"/>
        <v>9.0812845501178696</v>
      </c>
      <c r="P46" s="49">
        <f t="shared" si="16"/>
        <v>10.715915769139086</v>
      </c>
      <c r="V46" s="81"/>
      <c r="W46" s="82"/>
      <c r="X46" s="81"/>
      <c r="Y46" s="81"/>
      <c r="Z46" s="81"/>
      <c r="AA46" s="81"/>
      <c r="AB46" s="81"/>
      <c r="AC46" s="81"/>
      <c r="AD46" s="81"/>
      <c r="AE46" s="81"/>
      <c r="AG46" s="83"/>
      <c r="AH46" s="83"/>
      <c r="AI46" s="83"/>
      <c r="AJ46" s="83"/>
      <c r="AK46" s="83"/>
    </row>
    <row r="47" spans="1:43" x14ac:dyDescent="0.3">
      <c r="A47" s="7" t="str">
        <f t="shared" ref="A47:D52" si="17">A36</f>
        <v>Expected Growth Rates</v>
      </c>
      <c r="B47" s="76">
        <f t="shared" si="17"/>
        <v>0</v>
      </c>
      <c r="C47" s="76">
        <f t="shared" si="17"/>
        <v>0.94736842105263153</v>
      </c>
      <c r="D47" s="76">
        <f t="shared" si="17"/>
        <v>0.78378378378378388</v>
      </c>
      <c r="E47" s="14">
        <f>E36</f>
        <v>0.43939393939393923</v>
      </c>
      <c r="F47" s="14">
        <v>0.38</v>
      </c>
      <c r="G47" s="14">
        <v>0.28000000000000003</v>
      </c>
      <c r="H47" s="14">
        <v>0.25</v>
      </c>
      <c r="I47" s="14">
        <v>0.23</v>
      </c>
      <c r="J47" s="14">
        <v>0.23</v>
      </c>
      <c r="K47" s="14">
        <v>0.23</v>
      </c>
      <c r="L47" s="84">
        <v>0.18</v>
      </c>
      <c r="M47" s="84">
        <v>0.18</v>
      </c>
      <c r="N47" s="84">
        <v>0.18</v>
      </c>
      <c r="O47" s="84">
        <v>0.18</v>
      </c>
      <c r="P47" s="84">
        <v>0.18</v>
      </c>
      <c r="V47" s="81"/>
      <c r="W47" s="82"/>
      <c r="X47" s="81"/>
      <c r="Y47" s="81"/>
      <c r="Z47" s="81"/>
      <c r="AA47" s="81"/>
      <c r="AB47" s="82"/>
      <c r="AC47" s="82"/>
      <c r="AD47" s="82"/>
      <c r="AE47" s="85"/>
      <c r="AG47" s="86"/>
      <c r="AH47" s="85"/>
      <c r="AI47" s="87"/>
      <c r="AJ47" s="87"/>
      <c r="AK47" s="83"/>
      <c r="AL47" s="75"/>
      <c r="AM47" s="75"/>
      <c r="AN47" s="75"/>
      <c r="AO47" s="75"/>
      <c r="AP47" s="75"/>
      <c r="AQ47" s="75"/>
    </row>
    <row r="48" spans="1:43" x14ac:dyDescent="0.3">
      <c r="A48" s="7" t="str">
        <f t="shared" si="17"/>
        <v>Expected FCF Margin</v>
      </c>
      <c r="B48" s="79" t="str">
        <f t="shared" si="17"/>
        <v>-</v>
      </c>
      <c r="C48" s="79" t="str">
        <f t="shared" si="17"/>
        <v>-</v>
      </c>
      <c r="D48" s="79">
        <f t="shared" si="17"/>
        <v>3.2828282828282825E-2</v>
      </c>
      <c r="E48" s="17">
        <f>$B$5</f>
        <v>8.504672897196261E-2</v>
      </c>
      <c r="F48" s="17">
        <f>E48+5.5%</f>
        <v>0.1400467289719626</v>
      </c>
      <c r="G48" s="17">
        <f t="shared" ref="G48:P48" si="18">F48+1%</f>
        <v>0.15004672897196261</v>
      </c>
      <c r="H48" s="17">
        <f t="shared" si="18"/>
        <v>0.16004672897196262</v>
      </c>
      <c r="I48" s="17">
        <f t="shared" si="18"/>
        <v>0.17004672897196263</v>
      </c>
      <c r="J48" s="17">
        <f t="shared" si="18"/>
        <v>0.18004672897196264</v>
      </c>
      <c r="K48" s="17">
        <f t="shared" si="18"/>
        <v>0.19004672897196265</v>
      </c>
      <c r="L48" s="17">
        <f t="shared" si="18"/>
        <v>0.20004672897196266</v>
      </c>
      <c r="M48" s="17">
        <f t="shared" si="18"/>
        <v>0.21004672897196267</v>
      </c>
      <c r="N48" s="17">
        <f t="shared" si="18"/>
        <v>0.22004672897196267</v>
      </c>
      <c r="O48" s="17">
        <f t="shared" si="18"/>
        <v>0.23004672897196268</v>
      </c>
      <c r="P48" s="17">
        <f t="shared" si="18"/>
        <v>0.24004672897196269</v>
      </c>
      <c r="V48" s="81"/>
      <c r="W48" s="82"/>
      <c r="X48" s="81"/>
      <c r="Y48" s="81"/>
      <c r="Z48" s="81"/>
      <c r="AA48" s="81"/>
      <c r="AB48" s="81"/>
      <c r="AC48" s="81"/>
      <c r="AD48" s="81"/>
      <c r="AE48" s="81"/>
      <c r="AG48" s="83"/>
      <c r="AH48" s="83"/>
      <c r="AI48" s="83"/>
      <c r="AJ48" s="83"/>
      <c r="AK48" s="83"/>
    </row>
    <row r="49" spans="1:37" x14ac:dyDescent="0.3">
      <c r="A49" s="7" t="str">
        <f t="shared" si="17"/>
        <v>Free Cash Flows</v>
      </c>
      <c r="B49" s="48" t="str">
        <f t="shared" si="17"/>
        <v>-</v>
      </c>
      <c r="C49" s="48" t="str">
        <f t="shared" si="17"/>
        <v>-</v>
      </c>
      <c r="D49" s="48">
        <f t="shared" si="17"/>
        <v>2.5999999999999999E-2</v>
      </c>
      <c r="E49" s="49">
        <f>E48*E46</f>
        <v>9.6953271028037372E-2</v>
      </c>
      <c r="F49" s="49">
        <f>F48*F46</f>
        <v>0.22032151401869152</v>
      </c>
      <c r="G49" s="49">
        <f>G48*G46</f>
        <v>0.30214849794392512</v>
      </c>
      <c r="H49" s="49">
        <f>H48*H46</f>
        <v>0.40285682242990645</v>
      </c>
      <c r="I49" s="49">
        <f>I48*I46</f>
        <v>0.52647446758878491</v>
      </c>
      <c r="J49" s="49">
        <f t="shared" ref="J49:P49" si="19">J48*J46</f>
        <v>0.68564510361420539</v>
      </c>
      <c r="K49" s="49">
        <f t="shared" si="19"/>
        <v>0.8901837328758726</v>
      </c>
      <c r="L49" s="49">
        <f t="shared" si="19"/>
        <v>1.1056883062014018</v>
      </c>
      <c r="M49" s="49">
        <f t="shared" si="19"/>
        <v>1.3699325729789431</v>
      </c>
      <c r="N49" s="49">
        <f t="shared" si="19"/>
        <v>1.6934804746754737</v>
      </c>
      <c r="O49" s="49">
        <f t="shared" si="19"/>
        <v>2.0891198056182376</v>
      </c>
      <c r="P49" s="49">
        <f t="shared" si="19"/>
        <v>2.5723205283209114</v>
      </c>
      <c r="V49" s="81"/>
      <c r="W49" s="82"/>
      <c r="X49" s="85"/>
      <c r="Y49" s="85"/>
      <c r="Z49" s="85"/>
      <c r="AA49" s="87"/>
      <c r="AB49" s="87"/>
      <c r="AC49" s="81"/>
      <c r="AD49" s="88"/>
      <c r="AE49" s="88"/>
      <c r="AG49" s="80"/>
      <c r="AH49" s="80"/>
      <c r="AI49" s="80"/>
      <c r="AJ49" s="80"/>
      <c r="AK49" s="83"/>
    </row>
    <row r="50" spans="1:37" x14ac:dyDescent="0.3">
      <c r="A50" s="65" t="str">
        <f t="shared" si="17"/>
        <v>Intrinsic Value (Company)</v>
      </c>
      <c r="B50" s="66">
        <f>NPV($B$7,E49:H49,(I49+I50))+$B$13-$B$14</f>
        <v>11.273364081185031</v>
      </c>
      <c r="C50" t="str">
        <f>C28</f>
        <v>Billions</v>
      </c>
      <c r="H50" s="7" t="str">
        <f>H28</f>
        <v>Terminal Value</v>
      </c>
      <c r="I50" s="67">
        <f>(I49*(1+$B$10))/($B$7-$B$10)</f>
        <v>16.019865942344452</v>
      </c>
      <c r="V50" s="81"/>
      <c r="W50" s="82"/>
      <c r="X50" s="81"/>
      <c r="Y50" s="81"/>
      <c r="Z50" s="81"/>
      <c r="AA50" s="81"/>
      <c r="AB50" s="81"/>
      <c r="AC50" s="81"/>
      <c r="AD50" s="81"/>
      <c r="AE50" s="81"/>
      <c r="AG50" s="83"/>
      <c r="AH50" s="83"/>
      <c r="AI50" s="83"/>
      <c r="AJ50" s="83"/>
      <c r="AK50" s="83"/>
    </row>
    <row r="51" spans="1:37" x14ac:dyDescent="0.3">
      <c r="A51" s="7" t="str">
        <f t="shared" si="17"/>
        <v>Diluted Shares Outstanding</v>
      </c>
      <c r="B51" s="7">
        <f>G73</f>
        <v>0.29864988562500011</v>
      </c>
      <c r="C51" t="str">
        <f>C29</f>
        <v>Billions</v>
      </c>
      <c r="H51" s="7" t="str">
        <f>H29</f>
        <v>Terminal Value's P/FCF</v>
      </c>
      <c r="I51" s="70">
        <f>I29</f>
        <v>25</v>
      </c>
      <c r="V51" s="81"/>
      <c r="W51" s="82"/>
      <c r="X51" s="81"/>
      <c r="Y51" s="81"/>
      <c r="Z51" s="81"/>
      <c r="AA51" s="81"/>
      <c r="AB51" s="81"/>
      <c r="AC51" s="81"/>
      <c r="AD51" s="81"/>
      <c r="AE51" s="81"/>
      <c r="AG51" s="83"/>
      <c r="AH51" s="83"/>
      <c r="AI51" s="83"/>
      <c r="AJ51" s="83"/>
      <c r="AK51" s="83"/>
    </row>
    <row r="52" spans="1:37" x14ac:dyDescent="0.3">
      <c r="A52" s="65" t="str">
        <f t="shared" si="17"/>
        <v>Intrinsic Value/Share</v>
      </c>
      <c r="B52" s="66">
        <f>B50/B51</f>
        <v>37.747759580060368</v>
      </c>
      <c r="C52" s="31"/>
      <c r="V52" s="81"/>
      <c r="W52" s="81"/>
      <c r="X52" s="81"/>
      <c r="Y52" s="81"/>
      <c r="Z52" s="81"/>
      <c r="AA52" s="81"/>
      <c r="AB52" s="81"/>
      <c r="AC52" s="81"/>
      <c r="AD52" s="81"/>
      <c r="AE52" s="81"/>
      <c r="AG52" s="83"/>
      <c r="AH52" s="83"/>
      <c r="AI52" s="83"/>
      <c r="AJ52" s="83"/>
      <c r="AK52" s="83"/>
    </row>
    <row r="53" spans="1:37" x14ac:dyDescent="0.3">
      <c r="V53" s="81"/>
      <c r="W53" s="81"/>
      <c r="X53" s="81"/>
      <c r="Y53" s="81"/>
      <c r="Z53" s="81"/>
      <c r="AA53" s="81"/>
      <c r="AB53" s="81"/>
      <c r="AC53" s="81"/>
      <c r="AD53" s="81"/>
      <c r="AE53" s="81"/>
      <c r="AG53" s="83"/>
      <c r="AH53" s="83"/>
      <c r="AI53" s="83"/>
      <c r="AJ53" s="83"/>
      <c r="AK53" s="83"/>
    </row>
    <row r="54" spans="1:37" s="89" customFormat="1" x14ac:dyDescent="0.3">
      <c r="A54" s="1" t="s">
        <v>43</v>
      </c>
      <c r="B54" s="39"/>
      <c r="C54" s="39"/>
      <c r="D54" s="2"/>
      <c r="E54"/>
      <c r="F54" s="1" t="s">
        <v>44</v>
      </c>
      <c r="G54" s="39"/>
      <c r="H54" s="2"/>
      <c r="V54" s="90"/>
      <c r="W54" s="90"/>
      <c r="X54" s="90"/>
      <c r="Y54" s="90"/>
      <c r="Z54" s="90"/>
      <c r="AA54" s="90"/>
      <c r="AB54" s="90"/>
      <c r="AC54" s="90"/>
      <c r="AD54" s="90"/>
      <c r="AE54" s="90"/>
    </row>
    <row r="55" spans="1:37" x14ac:dyDescent="0.3">
      <c r="A55" s="91" t="s">
        <v>39</v>
      </c>
      <c r="B55" s="92"/>
      <c r="C55" s="90" t="s">
        <v>45</v>
      </c>
      <c r="D55" s="90" t="s">
        <v>46</v>
      </c>
      <c r="F55" s="93" t="str">
        <f>A54</f>
        <v>DCF Valuation Model #1 2028</v>
      </c>
      <c r="G55" s="94"/>
      <c r="H55" s="66">
        <f>D59</f>
        <v>30.371111312791683</v>
      </c>
    </row>
    <row r="56" spans="1:37" x14ac:dyDescent="0.3">
      <c r="A56" s="65" t="str">
        <f>B21</f>
        <v>Worst Case Scenario</v>
      </c>
      <c r="B56" s="66">
        <f>B30</f>
        <v>23.041255031722514</v>
      </c>
      <c r="C56" s="95">
        <v>0.25</v>
      </c>
      <c r="D56" s="96">
        <f>B56*C56</f>
        <v>5.7603137579306285</v>
      </c>
      <c r="F56" s="93" t="str">
        <f>A61</f>
        <v>Forward Sales Valuation Model #2</v>
      </c>
      <c r="G56" s="94"/>
      <c r="H56" s="66">
        <f>D66</f>
        <v>29.23076923076923</v>
      </c>
      <c r="I56" s="7" t="s">
        <v>47</v>
      </c>
    </row>
    <row r="57" spans="1:37" x14ac:dyDescent="0.3">
      <c r="A57" s="65" t="str">
        <f>B32</f>
        <v>Normal Case Scenario</v>
      </c>
      <c r="B57" s="66">
        <f>B41</f>
        <v>30.347715319691929</v>
      </c>
      <c r="C57" s="95">
        <v>0.5</v>
      </c>
      <c r="D57" s="96">
        <f>B57*C57</f>
        <v>15.173857659845964</v>
      </c>
      <c r="F57" s="97" t="s">
        <v>48</v>
      </c>
      <c r="G57" s="98"/>
      <c r="H57" s="99">
        <f>AVERAGE(H55:H56)</f>
        <v>29.800940271780455</v>
      </c>
      <c r="I57" s="100">
        <v>635</v>
      </c>
    </row>
    <row r="58" spans="1:37" ht="16.05" customHeight="1" x14ac:dyDescent="0.3">
      <c r="A58" s="65" t="str">
        <f>B43</f>
        <v>Best Case Scenario</v>
      </c>
      <c r="B58" s="66">
        <f>B52</f>
        <v>37.747759580060368</v>
      </c>
      <c r="C58" s="95">
        <v>0.25</v>
      </c>
      <c r="D58" s="96">
        <f>B58*C58</f>
        <v>9.436939895015092</v>
      </c>
      <c r="F58" s="101" t="s">
        <v>49</v>
      </c>
      <c r="G58" s="101"/>
      <c r="H58" s="96">
        <v>20</v>
      </c>
    </row>
    <row r="59" spans="1:37" x14ac:dyDescent="0.3">
      <c r="A59" s="7"/>
      <c r="B59" s="41" t="s">
        <v>48</v>
      </c>
      <c r="C59" s="102"/>
      <c r="D59" s="66">
        <f>SUM(D56:D58)</f>
        <v>30.371111312791683</v>
      </c>
      <c r="F59" s="103" t="s">
        <v>50</v>
      </c>
      <c r="G59" s="104"/>
      <c r="H59" s="105">
        <f>-((H58-H57)/H57)</f>
        <v>0.32888023607299754</v>
      </c>
    </row>
    <row r="60" spans="1:37" x14ac:dyDescent="0.3">
      <c r="F60" t="s">
        <v>51</v>
      </c>
    </row>
    <row r="61" spans="1:37" x14ac:dyDescent="0.3">
      <c r="A61" s="1" t="s">
        <v>52</v>
      </c>
      <c r="B61" s="39"/>
      <c r="C61" s="39"/>
      <c r="D61" s="2"/>
      <c r="F61" s="106" t="s">
        <v>53</v>
      </c>
      <c r="G61" s="107"/>
      <c r="H61" s="108" t="s">
        <v>54</v>
      </c>
    </row>
    <row r="62" spans="1:37" x14ac:dyDescent="0.3">
      <c r="A62" s="109" t="s">
        <v>55</v>
      </c>
      <c r="B62" s="110"/>
      <c r="C62" s="111"/>
      <c r="D62" s="96">
        <f>E19</f>
        <v>1.1399999999999999</v>
      </c>
      <c r="E62" t="s">
        <v>4</v>
      </c>
      <c r="F62" s="112">
        <v>0</v>
      </c>
      <c r="G62" s="112"/>
      <c r="H62" s="13">
        <f>H57</f>
        <v>29.800940271780455</v>
      </c>
    </row>
    <row r="63" spans="1:37" x14ac:dyDescent="0.3">
      <c r="A63" s="109" t="s">
        <v>56</v>
      </c>
      <c r="B63" s="110"/>
      <c r="C63" s="111"/>
      <c r="D63" s="113">
        <f>6</f>
        <v>6</v>
      </c>
      <c r="E63" s="16" t="s">
        <v>57</v>
      </c>
      <c r="F63" s="114">
        <v>0.05</v>
      </c>
      <c r="G63" s="115"/>
      <c r="H63" s="13">
        <f>H62*(1-F63)</f>
        <v>28.310893258191431</v>
      </c>
    </row>
    <row r="64" spans="1:37" x14ac:dyDescent="0.3">
      <c r="A64" s="109" t="str">
        <f>A28</f>
        <v>Intrinsic Value (Company)</v>
      </c>
      <c r="B64" s="110"/>
      <c r="C64" s="111"/>
      <c r="D64" s="96">
        <f>D62*D63</f>
        <v>6.84</v>
      </c>
      <c r="E64" t="s">
        <v>4</v>
      </c>
      <c r="F64" s="112">
        <v>0.1</v>
      </c>
      <c r="G64" s="112"/>
      <c r="H64" s="13">
        <f>H62*(1-F64)</f>
        <v>26.820846244602411</v>
      </c>
    </row>
    <row r="65" spans="1:12" x14ac:dyDescent="0.3">
      <c r="A65" s="109" t="str">
        <f>A11</f>
        <v>Diluted Shares Outstanding</v>
      </c>
      <c r="B65" s="110"/>
      <c r="C65" s="111"/>
      <c r="D65" s="7">
        <f>B11</f>
        <v>0.23400000000000001</v>
      </c>
      <c r="E65" t="str">
        <f>E64</f>
        <v>Billions</v>
      </c>
      <c r="F65" s="112">
        <v>0.2</v>
      </c>
      <c r="G65" s="112"/>
      <c r="H65" s="13">
        <f>H64*(1-F65)</f>
        <v>21.456676995681931</v>
      </c>
    </row>
    <row r="66" spans="1:12" x14ac:dyDescent="0.3">
      <c r="B66" s="41" t="s">
        <v>48</v>
      </c>
      <c r="C66" s="102"/>
      <c r="D66" s="66">
        <f>D64/D65</f>
        <v>29.23076923076923</v>
      </c>
      <c r="F66" s="114">
        <v>0.3</v>
      </c>
      <c r="G66" s="115"/>
      <c r="H66" s="13">
        <f>H65*(1-F66)</f>
        <v>15.01967389697735</v>
      </c>
    </row>
    <row r="68" spans="1:12" x14ac:dyDescent="0.3">
      <c r="A68" s="116" t="s">
        <v>58</v>
      </c>
      <c r="B68" s="117">
        <v>365</v>
      </c>
      <c r="C68" t="s">
        <v>59</v>
      </c>
    </row>
    <row r="72" spans="1:12" x14ac:dyDescent="0.3">
      <c r="A72" s="118" t="s">
        <v>26</v>
      </c>
      <c r="B72" s="119" t="s">
        <v>60</v>
      </c>
      <c r="C72" s="119" t="s">
        <v>61</v>
      </c>
      <c r="D72" s="119" t="s">
        <v>62</v>
      </c>
      <c r="E72" s="119" t="s">
        <v>63</v>
      </c>
      <c r="F72" s="119" t="s">
        <v>64</v>
      </c>
      <c r="G72" s="119" t="s">
        <v>65</v>
      </c>
      <c r="H72" s="119" t="s">
        <v>66</v>
      </c>
      <c r="I72" s="119" t="s">
        <v>67</v>
      </c>
      <c r="J72" s="119" t="s">
        <v>68</v>
      </c>
      <c r="K72" s="119" t="s">
        <v>69</v>
      </c>
      <c r="L72" s="119" t="s">
        <v>70</v>
      </c>
    </row>
    <row r="73" spans="1:12" x14ac:dyDescent="0.3">
      <c r="A73" s="65" t="s">
        <v>71</v>
      </c>
      <c r="B73" s="22">
        <v>0.23400000000000001</v>
      </c>
      <c r="C73" s="22">
        <f>B73*1.05</f>
        <v>0.24570000000000003</v>
      </c>
      <c r="D73" s="22">
        <f t="shared" ref="D73:G73" si="20">C73*1.05</f>
        <v>0.25798500000000002</v>
      </c>
      <c r="E73" s="22">
        <f t="shared" si="20"/>
        <v>0.27088425000000005</v>
      </c>
      <c r="F73" s="22">
        <f t="shared" si="20"/>
        <v>0.28442846250000009</v>
      </c>
      <c r="G73" s="22">
        <f t="shared" si="20"/>
        <v>0.29864988562500011</v>
      </c>
      <c r="H73" s="22">
        <f>G73*(1.02)</f>
        <v>0.30462288333750009</v>
      </c>
      <c r="I73" s="22">
        <f t="shared" ref="I73:L73" si="21">H73*(1.02)</f>
        <v>0.31071534100425008</v>
      </c>
      <c r="J73" s="22">
        <f t="shared" si="21"/>
        <v>0.31692964782433508</v>
      </c>
      <c r="K73" s="22">
        <f t="shared" si="21"/>
        <v>0.32326824078082178</v>
      </c>
      <c r="L73" s="22">
        <f t="shared" si="21"/>
        <v>0.32973360559643822</v>
      </c>
    </row>
    <row r="74" spans="1:12" x14ac:dyDescent="0.3">
      <c r="A74" s="65"/>
      <c r="B74" s="22"/>
      <c r="C74" s="22"/>
      <c r="D74" s="22"/>
      <c r="E74" s="65"/>
      <c r="F74" s="22"/>
      <c r="G74" s="22"/>
      <c r="H74" s="22"/>
      <c r="I74" s="22"/>
      <c r="J74" s="22"/>
      <c r="K74" s="22"/>
      <c r="L74" s="22"/>
    </row>
    <row r="75" spans="1:12" x14ac:dyDescent="0.3">
      <c r="A75" s="65"/>
      <c r="B75" s="22"/>
      <c r="C75" s="22"/>
      <c r="D75" s="22"/>
      <c r="E75" s="22"/>
      <c r="F75" s="22"/>
      <c r="G75" s="22"/>
      <c r="H75" s="22"/>
      <c r="I75" s="22"/>
      <c r="J75" s="22"/>
      <c r="K75" s="22"/>
      <c r="L75" s="22"/>
    </row>
    <row r="77" spans="1:12" x14ac:dyDescent="0.3">
      <c r="G77" s="83"/>
    </row>
    <row r="79" spans="1:12" x14ac:dyDescent="0.3">
      <c r="B79" s="75"/>
    </row>
    <row r="80" spans="1:12" x14ac:dyDescent="0.3">
      <c r="B80" s="75"/>
    </row>
  </sheetData>
  <mergeCells count="42">
    <mergeCell ref="A65:C65"/>
    <mergeCell ref="F65:G65"/>
    <mergeCell ref="B66:C66"/>
    <mergeCell ref="F66:G66"/>
    <mergeCell ref="A62:C62"/>
    <mergeCell ref="F62:G62"/>
    <mergeCell ref="A63:C63"/>
    <mergeCell ref="F63:G63"/>
    <mergeCell ref="A64:C64"/>
    <mergeCell ref="F64:G64"/>
    <mergeCell ref="A55:B55"/>
    <mergeCell ref="F55:G55"/>
    <mergeCell ref="F56:G56"/>
    <mergeCell ref="F57:G57"/>
    <mergeCell ref="B59:C59"/>
    <mergeCell ref="A61:D61"/>
    <mergeCell ref="F61:G61"/>
    <mergeCell ref="B44:D44"/>
    <mergeCell ref="E44:I44"/>
    <mergeCell ref="J44:N44"/>
    <mergeCell ref="O44:S44"/>
    <mergeCell ref="A54:D54"/>
    <mergeCell ref="F54:H54"/>
    <mergeCell ref="B33:D33"/>
    <mergeCell ref="E33:I33"/>
    <mergeCell ref="J33:N33"/>
    <mergeCell ref="O33:S33"/>
    <mergeCell ref="B43:I43"/>
    <mergeCell ref="J43:Q43"/>
    <mergeCell ref="J21:Q21"/>
    <mergeCell ref="B22:D22"/>
    <mergeCell ref="E22:I22"/>
    <mergeCell ref="J22:N22"/>
    <mergeCell ref="O22:S22"/>
    <mergeCell ref="B32:I32"/>
    <mergeCell ref="J32:Q32"/>
    <mergeCell ref="A1:B1"/>
    <mergeCell ref="D1:I13"/>
    <mergeCell ref="A12:B12"/>
    <mergeCell ref="B17:D17"/>
    <mergeCell ref="E17:I17"/>
    <mergeCell ref="B21:I21"/>
  </mergeCells>
  <conditionalFormatting sqref="H59">
    <cfRule type="expression" dxfId="23" priority="1" stopIfTrue="1">
      <formula>$H$59&gt;=0</formula>
    </cfRule>
    <cfRule type="expression" dxfId="22" priority="2">
      <formula>$H$59&lt;0</formula>
    </cfRule>
  </conditionalFormatting>
  <dataValidations count="1">
    <dataValidation type="list" allowBlank="1" showInputMessage="1" showErrorMessage="1" sqref="B68" xr:uid="{F67DC369-6A20-41BA-93D3-91A7D2A15ABC}">
      <formula1>"7, 15, 30, 60, 90, 180, 365, 1095"</formula1>
    </dataValidation>
  </dataValidations>
  <hyperlinks>
    <hyperlink ref="E63" r:id="rId1" xr:uid="{BD3E3E6F-97DB-4700-9317-4BA98E4C9910}"/>
    <hyperlink ref="C8" r:id="rId2" xr:uid="{70F72E4D-40E7-4CF1-9B21-235447E916B1}"/>
    <hyperlink ref="C9" r:id="rId3" xr:uid="{1F10216E-B148-4FC6-B499-8DD45B1916D8}"/>
    <hyperlink ref="J19" r:id="rId4" xr:uid="{CDB01CF7-50E2-4758-94B1-ED28D439072A}"/>
    <hyperlink ref="C7" r:id="rId5" xr:uid="{FA9853A5-00AB-4EEE-AF9D-7DD789013DAF}"/>
  </hyperlinks>
  <pageMargins left="0.7" right="0.7" top="0.75" bottom="0.75" header="0.3" footer="0.3"/>
  <tableParts count="2">
    <tablePart r:id="rId6"/>
    <tablePart r:id="rId7"/>
  </tableParts>
  <extLst>
    <ext xmlns:x14="http://schemas.microsoft.com/office/spreadsheetml/2009/9/main" uri="{05C60535-1F16-4fd2-B633-F4F36F0B64E0}">
      <x14:sparklineGroups xmlns:xm="http://schemas.microsoft.com/office/excel/2006/main">
        <x14:sparklineGroup displayEmptyCellsAs="gap" xr2:uid="{7C22D27A-CDF0-48A2-BA42-97C86CDD079A}">
          <x14:colorSeries rgb="FF376092"/>
          <x14:colorNegative rgb="FFD00000"/>
          <x14:colorAxis rgb="FF000000"/>
          <x14:colorMarkers rgb="FFD00000"/>
          <x14:colorFirst rgb="FFD00000"/>
          <x14:colorLast rgb="FFD00000"/>
          <x14:colorHigh rgb="FFD00000"/>
          <x14:colorLow rgb="FFD00000"/>
          <x14:sparklines>
            <x14:sparkline>
              <xm:f>Sheet1!T26:T26</xm:f>
              <xm:sqref>AB22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Alexandrou</dc:creator>
  <cp:lastModifiedBy>Gregory Alexandrou</cp:lastModifiedBy>
  <dcterms:created xsi:type="dcterms:W3CDTF">2024-11-03T16:03:40Z</dcterms:created>
  <dcterms:modified xsi:type="dcterms:W3CDTF">2024-11-03T16:04:12Z</dcterms:modified>
</cp:coreProperties>
</file>