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proarchit-my.sharepoint.com/personal/gregd_proarch_com/Documents/Documents/GitHub/Fslogix-Calculator/"/>
    </mc:Choice>
  </mc:AlternateContent>
  <xr:revisionPtr revIDLastSave="5" documentId="8_{F282D37A-2727-43A6-94A0-D31E5FAE0319}" xr6:coauthVersionLast="47" xr6:coauthVersionMax="47" xr10:uidLastSave="{4DA6CC63-9CDE-4FDB-B059-BF39E27F79C1}"/>
  <workbookProtection workbookAlgorithmName="SHA-512" workbookHashValue="gDUjH74XIGJJUPzyUYWvoxOiicF7Tj8bMGxa9N6oH2WDFKBAQRs6A3usjtyMZL21vRXIpTSfoOQkIo1QhX1WEA==" workbookSaltValue="PS9NlcIsX9yYtdu7qj/kUQ==" workbookSpinCount="100000" lockStructure="1"/>
  <bookViews>
    <workbookView xWindow="11760" yWindow="1845" windowWidth="26550" windowHeight="17565" xr2:uid="{CB3913B2-BB8F-4CB3-9459-2FD527F7F31B}"/>
  </bookViews>
  <sheets>
    <sheet name="FSLogix Calculator" sheetId="1" r:id="rId1"/>
    <sheet name="Azure NetApp Files Calcuations" sheetId="3" state="hidden" r:id="rId2"/>
    <sheet name="Azure Files Calculations" sheetId="4" state="hidden" r:id="rId3"/>
    <sheet name="definitions" sheetId="2" state="hidden" r:id="rId4"/>
    <sheet name="Throughput Test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1" l="1"/>
  <c r="B37" i="2" l="1"/>
  <c r="B36" i="2"/>
  <c r="B38" i="2" s="1"/>
  <c r="B35" i="2"/>
  <c r="C5" i="4" l="1"/>
  <c r="B5" i="4" l="1"/>
  <c r="B5" i="3" l="1"/>
  <c r="G28" i="1" s="1"/>
  <c r="I28" i="1"/>
  <c r="J28" i="1"/>
  <c r="G44" i="1"/>
  <c r="G45" i="1"/>
  <c r="G37" i="1"/>
  <c r="G36" i="1"/>
  <c r="G35" i="1"/>
  <c r="B6" i="4"/>
  <c r="B4" i="3"/>
  <c r="B16" i="1"/>
  <c r="C3" i="4" s="1"/>
  <c r="B3" i="4" l="1"/>
  <c r="B8" i="4"/>
  <c r="B10" i="4" s="1"/>
  <c r="B9" i="4"/>
  <c r="B11" i="4" l="1"/>
  <c r="C12" i="4" s="1"/>
  <c r="B13" i="4"/>
  <c r="C13" i="4"/>
  <c r="B12" i="4" l="1"/>
  <c r="H40" i="1" l="1"/>
  <c r="C6" i="4"/>
  <c r="B3" i="3"/>
  <c r="B15" i="1" l="1"/>
  <c r="B18" i="1"/>
  <c r="C2" i="4" s="1"/>
  <c r="B17" i="1"/>
  <c r="B4" i="4" l="1"/>
  <c r="C4" i="4"/>
  <c r="G32" i="1" s="1"/>
  <c r="G27" i="1"/>
  <c r="J22" i="1" s="1"/>
  <c r="B2" i="4"/>
  <c r="I32" i="1" s="1"/>
  <c r="B62" i="3"/>
  <c r="B14" i="4"/>
  <c r="G43" i="1" s="1"/>
  <c r="C14" i="4"/>
  <c r="G41" i="1" s="1"/>
  <c r="G42" i="1" s="1"/>
  <c r="B13" i="3"/>
  <c r="B12" i="3"/>
  <c r="B11" i="3"/>
  <c r="B15" i="3" s="1"/>
  <c r="I40" i="1"/>
  <c r="B7" i="3"/>
  <c r="B2" i="3"/>
  <c r="B40" i="2"/>
  <c r="B44" i="3" l="1"/>
  <c r="B43" i="3"/>
  <c r="B42" i="3"/>
  <c r="G40" i="1"/>
  <c r="H32" i="1"/>
  <c r="J32" i="1"/>
  <c r="B23" i="3"/>
  <c r="B31" i="3" s="1"/>
  <c r="B38" i="3" s="1"/>
  <c r="B19" i="3"/>
  <c r="B46" i="3" l="1"/>
  <c r="B36" i="3"/>
  <c r="G33" i="1"/>
  <c r="G34" i="1" s="1"/>
  <c r="B27" i="3"/>
  <c r="B50" i="3"/>
  <c r="B9" i="3"/>
  <c r="B8" i="3"/>
  <c r="B17" i="3"/>
  <c r="B16" i="3"/>
  <c r="B58" i="3" l="1"/>
  <c r="B54" i="3"/>
  <c r="B20" i="3"/>
  <c r="B21" i="3"/>
  <c r="B24" i="3"/>
  <c r="B32" i="3" s="1"/>
  <c r="B25" i="3"/>
  <c r="B39" i="3" l="1"/>
  <c r="B47" i="3" s="1"/>
  <c r="B28" i="3"/>
  <c r="B33" i="3"/>
  <c r="B40" i="3" s="1"/>
  <c r="B29" i="3"/>
  <c r="B59" i="3" l="1"/>
  <c r="B55" i="3"/>
  <c r="B35" i="3"/>
  <c r="B48" i="3"/>
  <c r="B52" i="3"/>
  <c r="B51" i="3"/>
  <c r="H22" i="1" l="1"/>
  <c r="G22" i="1"/>
  <c r="B56" i="3"/>
  <c r="B60" i="3"/>
  <c r="G24" i="1"/>
  <c r="G23" i="1" s="1"/>
  <c r="D22" i="1" l="1"/>
  <c r="C22" i="1"/>
  <c r="B22" i="1"/>
  <c r="B23" i="1" s="1"/>
  <c r="G25" i="1"/>
  <c r="G26" i="1"/>
  <c r="F29" i="1" l="1"/>
  <c r="G29" i="1"/>
  <c r="H28" i="1" s="1"/>
</calcChain>
</file>

<file path=xl/sharedStrings.xml><?xml version="1.0" encoding="utf-8"?>
<sst xmlns="http://schemas.openxmlformats.org/spreadsheetml/2006/main" count="314" uniqueCount="181">
  <si>
    <t>seconds in an hour</t>
  </si>
  <si>
    <t>weeks in a year</t>
  </si>
  <si>
    <t>IO Size</t>
  </si>
  <si>
    <t>Modify: User Count</t>
  </si>
  <si>
    <t>IOPS Per User</t>
  </si>
  <si>
    <t>Fields</t>
  </si>
  <si>
    <t xml:space="preserve">Input </t>
  </si>
  <si>
    <t>Calculated Output</t>
  </si>
  <si>
    <t>months in a year</t>
  </si>
  <si>
    <t>Cost Per GiB Azure Files</t>
  </si>
  <si>
    <t>Cost Per GiB Azure Premium Files</t>
  </si>
  <si>
    <t>Cost per IOP for Azure Files</t>
  </si>
  <si>
    <t xml:space="preserve">Azure Files maxium supported IOPS </t>
  </si>
  <si>
    <t xml:space="preserve">Azure Files maxium MiB/s </t>
  </si>
  <si>
    <t>Azure Premium Files maxium IO Rate</t>
  </si>
  <si>
    <t>Calculated: Required Bandwidth Per User (KiB/s)</t>
  </si>
  <si>
    <t>Calculated: Required IOPS Per Volume</t>
  </si>
  <si>
    <t>High Level Environmental Needs</t>
  </si>
  <si>
    <t>Calculated: Total Capacity (GiB)</t>
  </si>
  <si>
    <t>Calculated: Azure Premium Files: Supports Required I/O Needs?</t>
  </si>
  <si>
    <t>Calculated: Azure Files: Supports Required I/O Needs?</t>
  </si>
  <si>
    <t>Calculated: Azure Files: Supports Required Bandwidth Needs?</t>
  </si>
  <si>
    <t>Keys</t>
  </si>
  <si>
    <t>Values</t>
  </si>
  <si>
    <t>Ultra: Cost per GiB</t>
  </si>
  <si>
    <t>Ultra: Bandwidth per GiB</t>
  </si>
  <si>
    <t>Premium: Cost per GiB</t>
  </si>
  <si>
    <t>Premium: Bandwidth per GiB</t>
  </si>
  <si>
    <t>Standard Cost per GiB</t>
  </si>
  <si>
    <t>Standard: Bandwidth per GiB</t>
  </si>
  <si>
    <t>Azure NetApp Files Break Down</t>
  </si>
  <si>
    <t>Standard: Capacity (GiB) Required For Calculated Bandwidth</t>
  </si>
  <si>
    <t>Premium: Capacity (GiB) Required For Calculated Bandwidth</t>
  </si>
  <si>
    <t>Ultra: Capacity (GiB) Required For Calculated Bandwidth</t>
  </si>
  <si>
    <t>Minimum Capacity Pool Size GiB</t>
  </si>
  <si>
    <t>Standard: Minimum Users Required To Justify Minimum Capacity Pool Size</t>
  </si>
  <si>
    <t>Premium: Minimum Users Required To Justify Minimum Capacity Pool Size</t>
  </si>
  <si>
    <t>Ultra: Minimum Users Required To Justify Minimum Capacity Pool Size</t>
  </si>
  <si>
    <t>Calculated: Azure Files: Supports Required Capacity?</t>
  </si>
  <si>
    <t>Ultra</t>
  </si>
  <si>
    <t>Standard: Percentage Difference Than Azure Files</t>
  </si>
  <si>
    <t>Premium: Percentage Difference Than Azure Files</t>
  </si>
  <si>
    <t>Ultra: Percentage Difference Than Azure Files</t>
  </si>
  <si>
    <t>Standard</t>
  </si>
  <si>
    <t>Premium</t>
  </si>
  <si>
    <t>Standard: Percentage Difference Than Azure Premium Files</t>
  </si>
  <si>
    <t>Premium: Percentage Difference Than Azure Premium Files</t>
  </si>
  <si>
    <t>Ultra: Percentage Difference Than Azure Premium Files</t>
  </si>
  <si>
    <t>Standard: Capacity Per User (GiB)</t>
  </si>
  <si>
    <t>Premium: Capacity Per User (GiB)</t>
  </si>
  <si>
    <t>Ultra: Capacity Per User (GiB)</t>
  </si>
  <si>
    <t>VHD Sizes</t>
  </si>
  <si>
    <t>Will Azure Files Work (Without Explanation - for Xlookup)</t>
  </si>
  <si>
    <t>Will Azure Files * Work (with explanation)</t>
  </si>
  <si>
    <t>Etc(1)</t>
  </si>
  <si>
    <t>Etc(2)</t>
  </si>
  <si>
    <t>Etc(3)</t>
  </si>
  <si>
    <t>Concurrent Users</t>
  </si>
  <si>
    <t>Calculated: Concurrent Users</t>
  </si>
  <si>
    <t>Capacity Required By Input (GiB)</t>
  </si>
  <si>
    <t>Drop Down: Storage Profile Size in GiB</t>
  </si>
  <si>
    <t>Modify: Working Hours Per Week</t>
  </si>
  <si>
    <t>ANF: Max Volume Size GiB</t>
  </si>
  <si>
    <t>Capacity Per User (GiB)</t>
  </si>
  <si>
    <t>Monthly Cost Per User</t>
  </si>
  <si>
    <t>Azure NetApp Files Additional Information</t>
  </si>
  <si>
    <t>Azure NetApp Files Price Break Down</t>
  </si>
  <si>
    <t>Capacity (GiB)</t>
  </si>
  <si>
    <t>Azure Premium Files Additional Information</t>
  </si>
  <si>
    <t>Azure Standard Files Additional Information</t>
  </si>
  <si>
    <t xml:space="preserve"> Output</t>
  </si>
  <si>
    <t>Output</t>
  </si>
  <si>
    <t>output</t>
  </si>
  <si>
    <t>Azure NetApp Files</t>
  </si>
  <si>
    <t>Azure Premium Files</t>
  </si>
  <si>
    <t>Standard: Select Capacity/Bandwidth/Capacity Pool Minimum (English)</t>
  </si>
  <si>
    <t>Premium:  Select Capacity/Bandwidth/Capacity Pool Minimum (English)</t>
  </si>
  <si>
    <t>Ultra:  Select Capacity/Bandwidth/Capacity Pool Minimum (English)</t>
  </si>
  <si>
    <t>Standard: Select Capacity/Bandwidth/Capacity Pool Minimum (#)</t>
  </si>
  <si>
    <t>Premium:  Select Capacity/Bandwidth/Capacity Pool Minimum (#)</t>
  </si>
  <si>
    <t>Ultra:  Select Capacity/Bandwidth/Capacity Pool Minimum (#)</t>
  </si>
  <si>
    <t>Standard: Select Capacity Based On Bandwidth Needs Or Capacity Needs (English)</t>
  </si>
  <si>
    <t>Premium: Select Capacity Based On Bandwidth Needs Or Capacity Needs (English)</t>
  </si>
  <si>
    <t>Ultra: Select Capacity Based On Bandwidth Needs Or Capacity Needs (English)</t>
  </si>
  <si>
    <t>Standard: Select Capacity Based On Bandwidth Needs Or Capacity Needs (#)</t>
  </si>
  <si>
    <t>Premium: Select Capacity Based On Bandwidth Needs Or Capacity Needs (#)</t>
  </si>
  <si>
    <t>Ultra: Select Capacity Based On Bandwidth Needs Or Capacity Needs (#)</t>
  </si>
  <si>
    <t>Standard: Capacity (GiB) Required Per User To Satisfy Bandwidth Needs</t>
  </si>
  <si>
    <t>Premium: Capacity (GiB) Required Per User To Satisfy Bandwidth Needs</t>
  </si>
  <si>
    <t>Ultra: Capacity (GiB) Required Per User To Satisfy Bandwidth Needs</t>
  </si>
  <si>
    <t>Capacity (GiB) Required Per User To Satisfy Capacity Needs</t>
  </si>
  <si>
    <t>Calculated: Required Bandwidth Per Vol (MiB/s)</t>
  </si>
  <si>
    <t>Max Total Supported User Count (Based on Concurrent  I/O Rate)</t>
  </si>
  <si>
    <t>Max Total Supported User Count (Based on Concurrent MiB/s)</t>
  </si>
  <si>
    <t>Azure Files Max Capacity (GiB)</t>
  </si>
  <si>
    <t>Azure Premium Files Max (GiB)</t>
  </si>
  <si>
    <t>Calculated: Azure Premium Files: Required Capacity?</t>
  </si>
  <si>
    <t>Drop Down: Concurrent Users</t>
  </si>
  <si>
    <t>Recommended Service Level</t>
  </si>
  <si>
    <t>Read Percentage</t>
  </si>
  <si>
    <t>VMCount=4</t>
  </si>
  <si>
    <t>Thread=1</t>
  </si>
  <si>
    <t>Azure Files</t>
  </si>
  <si>
    <t>Readpct=100</t>
  </si>
  <si>
    <t>Readpct=90</t>
  </si>
  <si>
    <t>Readpct=80</t>
  </si>
  <si>
    <t>Readpct=70</t>
  </si>
  <si>
    <t>Readpct=60</t>
  </si>
  <si>
    <t>Readpct=50</t>
  </si>
  <si>
    <t>Readpct=40</t>
  </si>
  <si>
    <t>Readpct=30</t>
  </si>
  <si>
    <t>Readpct=20</t>
  </si>
  <si>
    <t>Readpct=10</t>
  </si>
  <si>
    <t>Readpct=0</t>
  </si>
  <si>
    <t>vms</t>
  </si>
  <si>
    <t>thread</t>
  </si>
  <si>
    <t>volume</t>
  </si>
  <si>
    <t>io_rate</t>
  </si>
  <si>
    <t>MiB/s</t>
  </si>
  <si>
    <t>iosize</t>
  </si>
  <si>
    <t>read_pct</t>
  </si>
  <si>
    <t>resp_time</t>
  </si>
  <si>
    <t>read_resp_time</t>
  </si>
  <si>
    <t>write_resp_time</t>
  </si>
  <si>
    <t>resp_max</t>
  </si>
  <si>
    <t>resp_stddev</t>
  </si>
  <si>
    <t>qdepth</t>
  </si>
  <si>
    <t>Read Percenage</t>
  </si>
  <si>
    <t>Drop Down: Read Percentage (Advanced)</t>
  </si>
  <si>
    <t>Drop Down: Avg I/O Size To Storage (Advanced)</t>
  </si>
  <si>
    <t>Read Bandwidth</t>
  </si>
  <si>
    <t>Write Bandwidth</t>
  </si>
  <si>
    <t>Maximum Tested Bandwidth (MiB/s) At Read %</t>
  </si>
  <si>
    <t>Does Calculated Capacity Fit Within Maximum Volume Size? (English)</t>
  </si>
  <si>
    <t>Provisioned Capacity (GiB)</t>
  </si>
  <si>
    <t>Is tested bandwidth sufficient for user count? (English)</t>
  </si>
  <si>
    <t>Max Total Supported User Count (Based on Capacity)</t>
  </si>
  <si>
    <t>Maximum Supported Users Based On Capacity</t>
  </si>
  <si>
    <t>Max Total Supported User Count (Based on Requested Capacity)</t>
  </si>
  <si>
    <t>Provisioned Capacity Per User (GiB)</t>
  </si>
  <si>
    <t>Provisioned Capacity defined By</t>
  </si>
  <si>
    <t>Provisioned Capacity Defined By</t>
  </si>
  <si>
    <t>Azure Premium Files Read MiB/s base value MiB/s</t>
  </si>
  <si>
    <t>Azure Premium Files Read MiB/s Per GiB of Capacity</t>
  </si>
  <si>
    <t>Azure Premium Files Write MiB/s base value MiB/s</t>
  </si>
  <si>
    <t>Azure Premium Files Write MiB/s Per GiB of Capacity</t>
  </si>
  <si>
    <t>Calculated: Azure Premium Files: Capacity Required For Read MiB/s</t>
  </si>
  <si>
    <t>Calculated: Azure Premium Files: Capacity Required For Write MiB/s</t>
  </si>
  <si>
    <t>Calculated: Azure Premium Files: Capacity Required By Read or Write Bandwidth</t>
  </si>
  <si>
    <t>Calculated: Azure Premium Files: Adjusted Capacity Required For Read MiB/s</t>
  </si>
  <si>
    <t>Calculated: Azure Premium Files: Adjusted Capacity Required For Write MiB/s</t>
  </si>
  <si>
    <t>Calculated: Azure Premium Files: Capacity Required By I/O, Bandwidth, Or Profile Size</t>
  </si>
  <si>
    <t>Calculated: Azure Premium Files: Capacity Required By I/O or Bandwidth</t>
  </si>
  <si>
    <t>Max Total Supported User Count (Based on Concurrent I/O Rate)</t>
  </si>
  <si>
    <t>Modify: IOPS Per User</t>
  </si>
  <si>
    <t>Required capacity exceeds documented single ANF volume 100TiB upper limit</t>
  </si>
  <si>
    <t>Does Single Storage Account Support User Count?</t>
  </si>
  <si>
    <t>Does Single ANF Volume Support User Count?</t>
  </si>
  <si>
    <t>Configure more than one volume</t>
  </si>
  <si>
    <t>hours in a week</t>
  </si>
  <si>
    <t>non hours in a week</t>
  </si>
  <si>
    <t>Percentage of week working</t>
  </si>
  <si>
    <t>Percentage of week not working</t>
  </si>
  <si>
    <t>Standard: Total Capacity Cost</t>
  </si>
  <si>
    <t>Premium: Total Capacity Costs</t>
  </si>
  <si>
    <t>Ultra: Total Capacity Costs</t>
  </si>
  <si>
    <t>Monthly Cost (Assuming Volume Shaping)</t>
  </si>
  <si>
    <t>Working Hours Cost</t>
  </si>
  <si>
    <t>Non Working Hour Cost</t>
  </si>
  <si>
    <t>Standard: Capacity Cost for working hours (assuming shaping)</t>
  </si>
  <si>
    <t>Premium: Capacity Cost for working hours (assuming shaping)</t>
  </si>
  <si>
    <t>Ultra: Capacity Cost for working hours (assuming shaping)</t>
  </si>
  <si>
    <t>Standard: Capacity Cost for non working hours (assuming shaping)</t>
  </si>
  <si>
    <t>Premium: Capacity Cost for non working hours (assuming shaping)</t>
  </si>
  <si>
    <r>
      <t xml:space="preserve">Ultra: Capacity Cost for non working hours </t>
    </r>
    <r>
      <rPr>
        <b/>
        <sz val="11"/>
        <color theme="1"/>
        <rFont val="Calibri"/>
        <family val="2"/>
        <scheme val="minor"/>
      </rPr>
      <t>(assuming shaping)</t>
    </r>
  </si>
  <si>
    <t>Calculated Montly Cost</t>
  </si>
  <si>
    <t>Azure NetApp Files Volume Shaping</t>
  </si>
  <si>
    <t>boolean</t>
  </si>
  <si>
    <t>yes</t>
  </si>
  <si>
    <t>no</t>
  </si>
  <si>
    <t>FSLogix ANF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</si>
</sst>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164" formatCode="0.0000"/>
    <numFmt numFmtId="165" formatCode="&quot;$&quot;#,##0.00"/>
    <numFmt numFmtId="166" formatCode="0.0"/>
    <numFmt numFmtId="167" formatCode="&quot;$&quot;#,##0.00000000_);[Red]\(&quot;$&quot;#,##0.00000000\)"/>
    <numFmt numFmtId="168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/>
    <xf numFmtId="9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7" fontId="0" fillId="0" borderId="0" xfId="0" applyNumberFormat="1"/>
    <xf numFmtId="3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3" fontId="1" fillId="0" borderId="0" xfId="0" applyNumberFormat="1" applyFont="1" applyAlignment="1">
      <alignment horizontal="left"/>
    </xf>
    <xf numFmtId="3" fontId="1" fillId="0" borderId="0" xfId="0" applyNumberFormat="1" applyFont="1" applyBorder="1" applyAlignment="1">
      <alignment horizontal="left"/>
    </xf>
    <xf numFmtId="3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165" fontId="1" fillId="0" borderId="0" xfId="0" applyNumberFormat="1" applyFont="1" applyBorder="1" applyAlignment="1">
      <alignment horizontal="left"/>
    </xf>
    <xf numFmtId="8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0" fontId="1" fillId="0" borderId="0" xfId="0" applyFont="1" applyBorder="1"/>
    <xf numFmtId="3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Border="1" applyAlignment="1" applyProtection="1">
      <alignment horizontal="left"/>
      <protection locked="0"/>
    </xf>
    <xf numFmtId="0" fontId="0" fillId="2" borderId="0" xfId="0" applyFill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3" borderId="1" xfId="0" applyFont="1" applyFill="1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2" borderId="0" xfId="0" applyNumberFormat="1" applyFill="1"/>
    <xf numFmtId="0" fontId="0" fillId="2" borderId="5" xfId="0" applyFill="1" applyBorder="1"/>
    <xf numFmtId="0" fontId="0" fillId="2" borderId="2" xfId="0" applyNumberFormat="1" applyFill="1" applyBorder="1"/>
    <xf numFmtId="0" fontId="0" fillId="2" borderId="3" xfId="0" applyNumberFormat="1" applyFill="1" applyBorder="1"/>
    <xf numFmtId="0" fontId="0" fillId="2" borderId="6" xfId="0" applyFill="1" applyBorder="1"/>
    <xf numFmtId="9" fontId="0" fillId="0" borderId="0" xfId="0" applyNumberFormat="1"/>
    <xf numFmtId="9" fontId="1" fillId="0" borderId="0" xfId="0" applyNumberFormat="1" applyFont="1" applyAlignment="1" applyProtection="1">
      <alignment horizontal="left"/>
      <protection locked="0"/>
    </xf>
    <xf numFmtId="165" fontId="1" fillId="0" borderId="0" xfId="0" applyNumberFormat="1" applyFont="1" applyBorder="1" applyAlignment="1">
      <alignment horizontal="left" vertical="center"/>
    </xf>
    <xf numFmtId="9" fontId="1" fillId="0" borderId="0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3" fontId="1" fillId="0" borderId="0" xfId="0" applyNumberFormat="1" applyFont="1" applyBorder="1" applyAlignment="1">
      <alignment horizontal="left" vertical="center" wrapText="1"/>
    </xf>
    <xf numFmtId="0" fontId="0" fillId="2" borderId="3" xfId="0" applyFill="1" applyBorder="1" applyAlignment="1">
      <alignment vertical="center"/>
    </xf>
    <xf numFmtId="168" fontId="1" fillId="0" borderId="0" xfId="0" applyNumberFormat="1" applyFont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4" fontId="0" fillId="0" borderId="0" xfId="0" applyNumberFormat="1"/>
    <xf numFmtId="3" fontId="0" fillId="0" borderId="0" xfId="0" applyNumberFormat="1" applyFont="1" applyAlignment="1">
      <alignment horizontal="left"/>
    </xf>
    <xf numFmtId="0" fontId="5" fillId="0" borderId="2" xfId="0" applyFont="1" applyBorder="1" applyAlignment="1">
      <alignment vertical="center" wrapText="1"/>
    </xf>
    <xf numFmtId="0" fontId="0" fillId="0" borderId="0" xfId="0" applyAlignment="1">
      <alignment horizontal="center"/>
    </xf>
    <xf numFmtId="9" fontId="1" fillId="0" borderId="0" xfId="0" applyNumberFormat="1" applyFont="1" applyBorder="1" applyAlignment="1" applyProtection="1">
      <alignment horizontal="left"/>
      <protection locked="0"/>
    </xf>
    <xf numFmtId="0" fontId="0" fillId="2" borderId="3" xfId="0" applyNumberForma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NumberFormat="1" applyFill="1" applyAlignment="1">
      <alignment vertical="center"/>
    </xf>
    <xf numFmtId="0" fontId="0" fillId="0" borderId="0" xfId="0" applyNumberFormat="1"/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4" fontId="0" fillId="0" borderId="0" xfId="0" applyNumberFormat="1" applyAlignment="1">
      <alignment horizontal="left"/>
    </xf>
    <xf numFmtId="3" fontId="0" fillId="0" borderId="0" xfId="0" applyNumberFormat="1"/>
    <xf numFmtId="1" fontId="0" fillId="0" borderId="0" xfId="0" applyNumberFormat="1"/>
    <xf numFmtId="0" fontId="1" fillId="0" borderId="7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center"/>
    </xf>
    <xf numFmtId="10" fontId="0" fillId="0" borderId="0" xfId="0" applyNumberFormat="1" applyAlignment="1">
      <alignment horizontal="left"/>
    </xf>
    <xf numFmtId="3" fontId="1" fillId="0" borderId="0" xfId="0" applyNumberFormat="1" applyFont="1" applyBorder="1" applyAlignment="1">
      <alignment horizontal="left" wrapText="1"/>
    </xf>
    <xf numFmtId="3" fontId="1" fillId="5" borderId="0" xfId="0" applyNumberFormat="1" applyFont="1" applyFill="1" applyBorder="1" applyAlignment="1">
      <alignment horizontal="left"/>
    </xf>
    <xf numFmtId="0" fontId="1" fillId="6" borderId="8" xfId="0" applyFont="1" applyFill="1" applyBorder="1" applyAlignment="1">
      <alignment horizontal="center" vertical="center"/>
    </xf>
    <xf numFmtId="168" fontId="1" fillId="0" borderId="1" xfId="0" applyNumberFormat="1" applyFont="1" applyBorder="1" applyAlignment="1">
      <alignment horizontal="left" vertical="center"/>
    </xf>
    <xf numFmtId="0" fontId="6" fillId="0" borderId="8" xfId="0" applyFont="1" applyBorder="1" applyAlignment="1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0" fontId="2" fillId="0" borderId="0" xfId="0" applyFont="1" applyAlignment="1">
      <alignment horizontal="center" wrapText="1"/>
    </xf>
    <xf numFmtId="3" fontId="1" fillId="0" borderId="0" xfId="0" applyNumberFormat="1" applyFont="1" applyAlignment="1">
      <alignment horizontal="left" vertical="center" wrapText="1"/>
    </xf>
    <xf numFmtId="3" fontId="1" fillId="4" borderId="0" xfId="0" applyNumberFormat="1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3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center" wrapText="1"/>
    </xf>
    <xf numFmtId="165" fontId="1" fillId="0" borderId="0" xfId="0" applyNumberFormat="1" applyFont="1" applyBorder="1" applyAlignment="1">
      <alignment horizontal="left" vertical="center" wrapText="1"/>
    </xf>
    <xf numFmtId="168" fontId="1" fillId="0" borderId="1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93">
    <dxf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3" formatCode="0%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font>
        <b/>
      </font>
      <alignment textRotation="0" wrapText="1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alignment textRotation="0" wrapText="1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left" vertical="bottom" textRotation="0" wrapText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fill>
        <patternFill patternType="solid">
          <fgColor indexed="64"/>
          <bgColor theme="1"/>
        </patternFill>
      </fill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font>
        <b/>
      </font>
      <alignment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alignment vertical="center" textRotation="0" indent="0" justifyLastLine="0" shrinkToFit="0" readingOrder="0"/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fill>
        <patternFill patternType="solid">
          <fgColor indexed="64"/>
          <bgColor theme="9"/>
        </patternFill>
      </fill>
      <alignment horizontal="left" vertical="bottom" textRotation="0" wrapText="0" indent="0" justifyLastLine="0" shrinkToFit="0" readingOrder="0"/>
    </dxf>
    <dxf>
      <font>
        <b/>
      </font>
      <numFmt numFmtId="3" formatCode="#,##0"/>
      <alignment horizontal="left" vertical="bottom" textRotation="0" wrapText="0" indent="0" justifyLastLine="0" shrinkToFit="0" readingOrder="0"/>
      <protection locked="0" hidden="0"/>
    </dxf>
    <dxf>
      <font>
        <b/>
      </font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Four</a:t>
            </a:r>
            <a:r>
              <a:rPr lang="en-US" baseline="0"/>
              <a:t> Instance 64K Sequential IO</a:t>
            </a:r>
          </a:p>
          <a:p>
            <a:pPr>
              <a:defRPr/>
            </a:pPr>
            <a:r>
              <a:rPr lang="en-US" baseline="0"/>
              <a:t>(1 Thread Per Job)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Azure Files MiB/s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2">
                        <c:v>Readpct=80</c:v>
                      </c:pt>
                    </c:strCache>
                  </c16:filteredLitCache>
                </c:ext>
              </c:extLst>
              <c:f/>
              <c:strCache>
                <c:ptCount val="10"/>
                <c:pt idx="0">
                  <c:v>Readpct=100</c:v>
                </c:pt>
                <c:pt idx="1">
                  <c:v>Readpct=90</c:v>
                </c:pt>
                <c:pt idx="2">
                  <c:v>Readpct=70</c:v>
                </c:pt>
                <c:pt idx="3">
                  <c:v>Readpct=60</c:v>
                </c:pt>
                <c:pt idx="4">
                  <c:v>Readpct=50</c:v>
                </c:pt>
                <c:pt idx="5">
                  <c:v>Readpct=40</c:v>
                </c:pt>
                <c:pt idx="6">
                  <c:v>Readpct=30</c:v>
                </c:pt>
                <c:pt idx="7">
                  <c:v>Readpct=20</c:v>
                </c:pt>
                <c:pt idx="8">
                  <c:v>Readpct=10</c:v>
                </c:pt>
                <c:pt idx="9">
                  <c:v>Readpct=0</c:v>
                </c:pt>
              </c:strCache>
            </c:strRef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535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564</c:v>
                </c:pt>
                <c:pt idx="1">
                  <c:v>562</c:v>
                </c:pt>
                <c:pt idx="2">
                  <c:v>491</c:v>
                </c:pt>
                <c:pt idx="3">
                  <c:v>428</c:v>
                </c:pt>
                <c:pt idx="4">
                  <c:v>581</c:v>
                </c:pt>
                <c:pt idx="5">
                  <c:v>451</c:v>
                </c:pt>
                <c:pt idx="6">
                  <c:v>540</c:v>
                </c:pt>
                <c:pt idx="7">
                  <c:v>526</c:v>
                </c:pt>
                <c:pt idx="8">
                  <c:v>633</c:v>
                </c:pt>
                <c:pt idx="9">
                  <c:v>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021-A45E-DDBB4657CB37}"/>
            </c:ext>
          </c:extLst>
        </c:ser>
        <c:ser>
          <c:idx val="1"/>
          <c:order val="1"/>
          <c:tx>
            <c:v>Azure NetApp Files MiB/s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Readpct=100</c:v>
              </c:pt>
              <c:pt idx="1">
                <c:v>Readpct=90</c:v>
              </c:pt>
              <c:pt idx="2">
                <c:v>Readpct=70</c:v>
              </c:pt>
              <c:pt idx="3">
                <c:v>Readpct=60</c:v>
              </c:pt>
              <c:pt idx="4">
                <c:v>Readpct=50</c:v>
              </c:pt>
              <c:pt idx="5">
                <c:v>Readpct=40</c:v>
              </c:pt>
              <c:pt idx="6">
                <c:v>Readpct=30</c:v>
              </c:pt>
              <c:pt idx="7">
                <c:v>Readpct=20</c:v>
              </c:pt>
              <c:pt idx="8">
                <c:v>Readpct=10</c:v>
              </c:pt>
              <c:pt idx="9">
                <c:v>Readpct=0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3295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3766</c:v>
                </c:pt>
                <c:pt idx="1">
                  <c:v>3582</c:v>
                </c:pt>
                <c:pt idx="2">
                  <c:v>3217</c:v>
                </c:pt>
                <c:pt idx="3">
                  <c:v>3062</c:v>
                </c:pt>
                <c:pt idx="4">
                  <c:v>2940</c:v>
                </c:pt>
                <c:pt idx="5">
                  <c:v>2683</c:v>
                </c:pt>
                <c:pt idx="6">
                  <c:v>2429</c:v>
                </c:pt>
                <c:pt idx="7">
                  <c:v>2198</c:v>
                </c:pt>
                <c:pt idx="8">
                  <c:v>1990</c:v>
                </c:pt>
                <c:pt idx="9">
                  <c:v>1842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021-A45E-DDBB4657CB37}"/>
            </c:ext>
          </c:extLst>
        </c:ser>
        <c:ser>
          <c:idx val="2"/>
          <c:order val="2"/>
          <c:tx>
            <c:v>Azure Premium Files MiB/s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Readpct=100</c:v>
              </c:pt>
              <c:pt idx="1">
                <c:v>Readpct=90</c:v>
              </c:pt>
              <c:pt idx="2">
                <c:v>Readpct=70</c:v>
              </c:pt>
              <c:pt idx="3">
                <c:v>Readpct=60</c:v>
              </c:pt>
              <c:pt idx="4">
                <c:v>Readpct=50</c:v>
              </c:pt>
              <c:pt idx="5">
                <c:v>Readpct=40</c:v>
              </c:pt>
              <c:pt idx="6">
                <c:v>Readpct=30</c:v>
              </c:pt>
              <c:pt idx="7">
                <c:v>Readpct=20</c:v>
              </c:pt>
              <c:pt idx="8">
                <c:v>Readpct=10</c:v>
              </c:pt>
              <c:pt idx="9">
                <c:v>Readpct=0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1197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1064</c:v>
                </c:pt>
                <c:pt idx="1">
                  <c:v>1155</c:v>
                </c:pt>
                <c:pt idx="2">
                  <c:v>1235</c:v>
                </c:pt>
                <c:pt idx="3">
                  <c:v>1232</c:v>
                </c:pt>
                <c:pt idx="4">
                  <c:v>1236</c:v>
                </c:pt>
                <c:pt idx="5">
                  <c:v>1174</c:v>
                </c:pt>
                <c:pt idx="6">
                  <c:v>1097</c:v>
                </c:pt>
                <c:pt idx="7">
                  <c:v>1010</c:v>
                </c:pt>
                <c:pt idx="8">
                  <c:v>950</c:v>
                </c:pt>
                <c:pt idx="9">
                  <c:v>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021-A45E-DDBB4657C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700946472"/>
        <c:axId val="700940240"/>
      </c:barChart>
      <c:lineChart>
        <c:grouping val="standard"/>
        <c:varyColors val="0"/>
        <c:ser>
          <c:idx val="3"/>
          <c:order val="3"/>
          <c:tx>
            <c:v>Azure Files Latency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14.6566666667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13.820666666699999</c:v>
                </c:pt>
                <c:pt idx="1">
                  <c:v>13.823</c:v>
                </c:pt>
                <c:pt idx="2">
                  <c:v>15.9073333333</c:v>
                </c:pt>
                <c:pt idx="3">
                  <c:v>18.195666666699999</c:v>
                </c:pt>
                <c:pt idx="4">
                  <c:v>13.262666666699999</c:v>
                </c:pt>
                <c:pt idx="5">
                  <c:v>17.063666666700001</c:v>
                </c:pt>
                <c:pt idx="6">
                  <c:v>14.683999999999999</c:v>
                </c:pt>
                <c:pt idx="7">
                  <c:v>15.0756666667</c:v>
                </c:pt>
                <c:pt idx="8">
                  <c:v>12.279666666700001</c:v>
                </c:pt>
                <c:pt idx="9">
                  <c:v>13.119666666700001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9E-4021-A45E-DDBB4657CB37}"/>
            </c:ext>
          </c:extLst>
        </c:ser>
        <c:ser>
          <c:idx val="4"/>
          <c:order val="4"/>
          <c:tx>
            <c:v>Azure NetApp Files Latency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2.4056666666700002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2.1063333333299998</c:v>
                </c:pt>
                <c:pt idx="1">
                  <c:v>2.2126666666700001</c:v>
                </c:pt>
                <c:pt idx="2">
                  <c:v>2.4623333333300002</c:v>
                </c:pt>
                <c:pt idx="3">
                  <c:v>2.5903333333299998</c:v>
                </c:pt>
                <c:pt idx="4">
                  <c:v>2.6956666666700002</c:v>
                </c:pt>
                <c:pt idx="5">
                  <c:v>2.9540000000000002</c:v>
                </c:pt>
                <c:pt idx="6">
                  <c:v>3.26633333333</c:v>
                </c:pt>
                <c:pt idx="7">
                  <c:v>3.6153333333300002</c:v>
                </c:pt>
                <c:pt idx="8">
                  <c:v>3.99633333333</c:v>
                </c:pt>
                <c:pt idx="9">
                  <c:v>4.3016666666700001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9E-4021-A45E-DDBB4657CB37}"/>
            </c:ext>
          </c:extLst>
        </c:ser>
        <c:ser>
          <c:idx val="5"/>
          <c:order val="5"/>
          <c:tx>
            <c:v>Azure Premium Files Latency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6.6449999999999996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7.4829999999999997</c:v>
                </c:pt>
                <c:pt idx="1">
                  <c:v>6.8860000000000001</c:v>
                </c:pt>
                <c:pt idx="2">
                  <c:v>6.4393333333299996</c:v>
                </c:pt>
                <c:pt idx="3">
                  <c:v>6.4546666666699997</c:v>
                </c:pt>
                <c:pt idx="4">
                  <c:v>6.4283333333300003</c:v>
                </c:pt>
                <c:pt idx="5">
                  <c:v>6.7686666666699997</c:v>
                </c:pt>
                <c:pt idx="6">
                  <c:v>7.2423333333300004</c:v>
                </c:pt>
                <c:pt idx="7">
                  <c:v>7.8673333333300004</c:v>
                </c:pt>
                <c:pt idx="8">
                  <c:v>8.3573333333300006</c:v>
                </c:pt>
                <c:pt idx="9">
                  <c:v>8.9133333333299998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9E-4021-A45E-DDBB4657C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667480"/>
        <c:axId val="896669448"/>
      </c:lineChart>
      <c:catAx>
        <c:axId val="70094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40240"/>
        <c:crosses val="autoZero"/>
        <c:auto val="1"/>
        <c:lblAlgn val="ctr"/>
        <c:lblOffset val="100"/>
        <c:noMultiLvlLbl val="0"/>
      </c:catAx>
      <c:valAx>
        <c:axId val="700940240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46472"/>
        <c:crosses val="autoZero"/>
        <c:crossBetween val="between"/>
      </c:valAx>
      <c:valAx>
        <c:axId val="8966694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67480"/>
        <c:crosses val="max"/>
        <c:crossBetween val="between"/>
      </c:valAx>
      <c:catAx>
        <c:axId val="896667480"/>
        <c:scaling>
          <c:orientation val="minMax"/>
        </c:scaling>
        <c:delete val="1"/>
        <c:axPos val="b"/>
        <c:majorTickMark val="out"/>
        <c:minorTickMark val="none"/>
        <c:tickLblPos val="nextTo"/>
        <c:crossAx val="896669448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15</xdr:row>
      <xdr:rowOff>19050</xdr:rowOff>
    </xdr:from>
    <xdr:to>
      <xdr:col>16</xdr:col>
      <xdr:colOff>276225</xdr:colOff>
      <xdr:row>40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F854C-7638-408E-92F5-91B03ECC9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6F6794-4173-4194-B8E4-7BB540367D16}" name="Table3" displayName="Table3" ref="A4:B11" totalsRowShown="0" headerRowDxfId="53" dataDxfId="52" tableBorderDxfId="51">
  <autoFilter ref="A4:B11" xr:uid="{91E6A135-C0E7-4D0B-8EB4-141892DA45C5}"/>
  <tableColumns count="2">
    <tableColumn id="1" xr3:uid="{2F564818-5A0F-4075-8D5E-BCEC57D8FC3C}" name="Fields" dataDxfId="50"/>
    <tableColumn id="2" xr3:uid="{D42113E7-14D7-4A36-BB89-433CD657FB9D}" name="Input " dataDxfId="4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317605-A8C7-4DFA-9894-A955BD37C1CF}" name="Table4" displayName="Table4" ref="A14:B19" totalsRowShown="0" headerRowDxfId="48" tableBorderDxfId="47">
  <autoFilter ref="A14:B19" xr:uid="{FDD62D26-CF49-4DB8-BB86-E5640AFB3072}"/>
  <tableColumns count="2">
    <tableColumn id="1" xr3:uid="{98F6AE4C-A8FE-46A2-B695-4F7EC29B79C1}" name="High Level Environmental Needs" dataDxfId="46"/>
    <tableColumn id="2" xr3:uid="{923448D6-8587-46CF-AC83-4786C0E6E31A}" name="Calculated Output" dataDxfId="45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2039F74-6304-436F-9B2C-E726744D9970}" name="Table9" displayName="Table9" ref="A21:D23" totalsRowShown="0" dataDxfId="44" tableBorderDxfId="43">
  <autoFilter ref="A21:D23" xr:uid="{1849FF8B-C5DF-48B3-BD49-7E1B6D720287}"/>
  <tableColumns count="4">
    <tableColumn id="1" xr3:uid="{3F78E685-9C28-44F6-9A2A-3F9135F54C28}" name="Azure NetApp Files Price Break Down" dataDxfId="42"/>
    <tableColumn id="2" xr3:uid="{AA370671-CA18-4101-A4C3-7BC422CCC1F1}" name="Calculated Montly Cost" dataDxfId="41"/>
    <tableColumn id="3" xr3:uid="{AF833074-9B28-4223-9165-83150BC78ED9}" name="Working Hours Cost" dataDxfId="40"/>
    <tableColumn id="4" xr3:uid="{C7199001-B01A-41FD-9464-9A86DAF94291}" name="Non Working Hour Cost" dataDxfId="39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F4EE936-97FF-430B-BCE0-3BA4433FF3D4}" name="Table91119" displayName="Table91119" ref="F21:J29" totalsRowShown="0" dataDxfId="38" tableBorderDxfId="37">
  <autoFilter ref="F21:J29" xr:uid="{F75E429C-8018-41C4-B4C3-C0AD783F2D38}"/>
  <tableColumns count="5">
    <tableColumn id="1" xr3:uid="{25D43E32-76CE-4E57-9637-4A7FD2463E37}" name="Azure NetApp Files Additional Information" dataDxfId="36" totalsRowDxfId="35"/>
    <tableColumn id="2" xr3:uid="{3C9CF5B6-EAB8-4222-9C96-5A10EE28F85F}" name=" Output" dataDxfId="34"/>
    <tableColumn id="3" xr3:uid="{F8FAE1CB-5733-4CC5-9F68-AD29EB511AF6}" name="Etc(1)" dataDxfId="33">
      <calculatedColumnFormula>IF(G23&gt;definitions!B24,definitions!$A$23,"Yes")</calculatedColumnFormula>
    </tableColumn>
    <tableColumn id="4" xr3:uid="{2A8935D0-2756-4A0D-B01F-87C8DFAE1AD5}" name="Etc(2)" dataDxfId="32">
      <calculatedColumnFormula>IF(B5&gt;G27,"Required bandwidth exceeds tested upper limit at selected read percentage","Yes")</calculatedColumnFormula>
    </tableColumn>
    <tableColumn id="5" xr3:uid="{7CD54AC1-822B-4FE1-B7D3-C9A779DEF8FC}" name="Etc(3)" dataDxfId="31">
      <calculatedColumnFormula>IF(B5&gt;G27,"Required bandwidth exceeds tested upper limit at selected read percentage","Yes")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617B910-6016-4284-B1B7-B2BDBB2DAC94}" name="Table622" displayName="Table622" ref="F31:J37" totalsRowShown="0" headerRowDxfId="30" tableBorderDxfId="29">
  <autoFilter ref="F31:J37" xr:uid="{6432D5DC-E020-4F4A-81F0-AFAE2FFBB2FE}"/>
  <tableColumns count="5">
    <tableColumn id="1" xr3:uid="{284AB7F5-C1F5-4923-8D18-8B326F2B7795}" name="Azure Standard Files Additional Information"/>
    <tableColumn id="2" xr3:uid="{A95529E7-EF42-4D6F-BDD9-4D129864E797}" name="Output" dataDxfId="28"/>
    <tableColumn id="3" xr3:uid="{9881ABB1-4E08-4030-AEC9-CCA810605C29}" name="Etc(1)" dataDxfId="27">
      <calculatedColumnFormula>'Azure Files Calculations'!$B$4</calculatedColumnFormula>
    </tableColumn>
    <tableColumn id="4" xr3:uid="{5BC3DEF6-CDB9-4DE9-B8FF-9749CBA220CD}" name="Etc(2)" dataDxfId="26">
      <calculatedColumnFormula>'Azure Files Calculations'!$B$2</calculatedColumnFormula>
    </tableColumn>
    <tableColumn id="5" xr3:uid="{3F802064-6239-4D79-9EEF-E6B1422584F4}" name="Etc(3)" dataDxfId="25">
      <calculatedColumnFormula>'Azure Files Calculations'!$B$3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17E12BE-FEED-449C-A993-3E3DA447FC83}" name="Table61423" displayName="Table61423" ref="F39:I45" totalsRowShown="0" headerRowDxfId="24" tableBorderDxfId="23">
  <autoFilter ref="F39:I45" xr:uid="{35197520-871D-45A1-92D2-3E64562C597C}"/>
  <tableColumns count="4">
    <tableColumn id="1" xr3:uid="{7454E181-1F78-43D7-992D-393BF7E62908}" name="Azure Premium Files Additional Information"/>
    <tableColumn id="2" xr3:uid="{D283543A-6DF3-46B8-B880-680345E5383E}" name="output" dataDxfId="22"/>
    <tableColumn id="3" xr3:uid="{383E5A06-7313-4E3D-A474-C65E865DB16D}" name="Etc(1)" dataDxfId="21">
      <calculatedColumnFormula>'Azure Files Calculations'!$B$6</calculatedColumnFormula>
    </tableColumn>
    <tableColumn id="4" xr3:uid="{22B7B0DB-CD46-43E2-A4B8-192176C63B53}" name="Etc(2)" dataDxfId="20">
      <calculatedColumnFormula>'Azure Files Calculations'!$B$5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22AF52-430F-48A3-BC6A-EC30D412E5EE}" name="Table1" displayName="Table1" ref="A1:F21" totalsRowShown="0">
  <autoFilter ref="A1:F21" xr:uid="{81B2E200-FC2F-4069-86C2-6671D699FE86}"/>
  <tableColumns count="6">
    <tableColumn id="2" xr3:uid="{9191646A-D382-43C8-AD5D-D9379A6352B8}" name="IO Size"/>
    <tableColumn id="3" xr3:uid="{B94E1025-3714-4DA4-824F-A38F565F77F4}" name="IOPS Per User"/>
    <tableColumn id="1" xr3:uid="{E67A9471-95D1-42FF-B18E-7D012DE67FD4}" name="VHD Sizes"/>
    <tableColumn id="4" xr3:uid="{779397D8-86EA-41AE-9217-A6D49A13139B}" name="Concurrent Users" dataDxfId="3"/>
    <tableColumn id="5" xr3:uid="{5EBEBC80-5940-4420-B7CB-91D5FC7DF075}" name="Read Percenage"/>
    <tableColumn id="6" xr3:uid="{3965A4D9-F34B-424C-8DD6-AA7E0E566849}" name="boolea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5554924-003B-4661-B33F-97EE2DB8E4A1}" name="Table8" displayName="Table8" ref="A22:B51" totalsRowShown="0" dataDxfId="2">
  <autoFilter ref="A22:B51" xr:uid="{783E58C8-C7D9-4121-86C6-A6F7E49A97E3}"/>
  <tableColumns count="2">
    <tableColumn id="1" xr3:uid="{62872274-DD35-4869-BA93-32B33621B006}" name="Keys" dataDxfId="1"/>
    <tableColumn id="2" xr3:uid="{BCBEE816-C2FF-4BB7-8812-71E8D95CE734}" name="Valu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F1148-3B87-4101-8535-9F7FDD18F1E9}">
  <sheetPr codeName="Sheet1">
    <pageSetUpPr fitToPage="1"/>
  </sheetPr>
  <dimension ref="A1:J115"/>
  <sheetViews>
    <sheetView tabSelected="1" zoomScale="60" zoomScaleNormal="60" workbookViewId="0">
      <selection activeCell="A4" sqref="A4:B19"/>
    </sheetView>
  </sheetViews>
  <sheetFormatPr defaultRowHeight="15" x14ac:dyDescent="0.25"/>
  <cols>
    <col min="1" max="1" width="63" style="7" bestFit="1" customWidth="1"/>
    <col min="2" max="2" width="68.5703125" style="7" customWidth="1"/>
    <col min="3" max="4" width="18" style="7" customWidth="1"/>
    <col min="5" max="5" width="2" customWidth="1"/>
    <col min="6" max="6" width="85.42578125" bestFit="1" customWidth="1"/>
    <col min="7" max="7" width="62" style="81" bestFit="1" customWidth="1"/>
    <col min="8" max="8" width="11.85546875" customWidth="1"/>
    <col min="9" max="9" width="12.28515625" customWidth="1"/>
    <col min="10" max="10" width="11.85546875" customWidth="1"/>
  </cols>
  <sheetData>
    <row r="1" spans="1:7" ht="27.75" customHeight="1" thickBot="1" x14ac:dyDescent="0.3">
      <c r="A1" s="72" t="s">
        <v>180</v>
      </c>
      <c r="B1" s="73"/>
      <c r="C1" s="73"/>
      <c r="D1" s="73"/>
    </row>
    <row r="2" spans="1:7" ht="27.75" customHeight="1" thickBot="1" x14ac:dyDescent="0.4">
      <c r="A2" s="78" t="s">
        <v>176</v>
      </c>
      <c r="B2" s="80" t="s">
        <v>178</v>
      </c>
      <c r="C2" s="73"/>
      <c r="D2" s="73"/>
    </row>
    <row r="3" spans="1:7" ht="27.75" customHeight="1" x14ac:dyDescent="0.25">
      <c r="A3" s="72"/>
      <c r="B3" s="73"/>
      <c r="C3" s="73"/>
      <c r="D3" s="73"/>
    </row>
    <row r="4" spans="1:7" x14ac:dyDescent="0.25">
      <c r="A4" s="17" t="s">
        <v>5</v>
      </c>
      <c r="B4" s="17" t="s">
        <v>6</v>
      </c>
      <c r="C4" s="17"/>
      <c r="D4" s="17"/>
    </row>
    <row r="5" spans="1:7" x14ac:dyDescent="0.25">
      <c r="A5" s="17" t="s">
        <v>3</v>
      </c>
      <c r="B5" s="31">
        <v>2500</v>
      </c>
      <c r="C5" s="31"/>
      <c r="D5" s="31"/>
    </row>
    <row r="6" spans="1:7" x14ac:dyDescent="0.25">
      <c r="A6" s="17" t="s">
        <v>154</v>
      </c>
      <c r="B6" s="31">
        <v>20</v>
      </c>
      <c r="C6" s="31"/>
      <c r="D6" s="31"/>
      <c r="F6" s="54"/>
    </row>
    <row r="7" spans="1:7" x14ac:dyDescent="0.25">
      <c r="A7" s="17" t="s">
        <v>60</v>
      </c>
      <c r="B7" s="31">
        <v>15</v>
      </c>
      <c r="C7" s="31"/>
      <c r="D7" s="31"/>
    </row>
    <row r="8" spans="1:7" x14ac:dyDescent="0.25">
      <c r="A8" s="20" t="s">
        <v>97</v>
      </c>
      <c r="B8" s="46">
        <v>1</v>
      </c>
      <c r="C8" s="46"/>
      <c r="D8" s="46"/>
      <c r="F8" s="45"/>
    </row>
    <row r="9" spans="1:7" x14ac:dyDescent="0.25">
      <c r="A9" s="17" t="s">
        <v>61</v>
      </c>
      <c r="B9" s="31">
        <v>40</v>
      </c>
      <c r="C9" s="31"/>
      <c r="D9" s="31"/>
      <c r="F9" s="70"/>
    </row>
    <row r="10" spans="1:7" x14ac:dyDescent="0.25">
      <c r="A10" s="17" t="s">
        <v>129</v>
      </c>
      <c r="B10" s="31">
        <v>32</v>
      </c>
      <c r="C10" s="31"/>
      <c r="D10" s="31"/>
      <c r="F10" s="70"/>
      <c r="G10" s="82"/>
    </row>
    <row r="11" spans="1:7" x14ac:dyDescent="0.25">
      <c r="A11" s="17" t="s">
        <v>128</v>
      </c>
      <c r="B11" s="58">
        <v>0.2</v>
      </c>
      <c r="C11" s="58"/>
      <c r="D11" s="58"/>
    </row>
    <row r="12" spans="1:7" x14ac:dyDescent="0.25">
      <c r="A12" s="17"/>
      <c r="B12" s="58"/>
      <c r="C12" s="58"/>
      <c r="D12" s="58"/>
    </row>
    <row r="13" spans="1:7" x14ac:dyDescent="0.25">
      <c r="A13" s="16"/>
      <c r="B13" s="16"/>
      <c r="C13" s="16"/>
      <c r="D13" s="16"/>
    </row>
    <row r="14" spans="1:7" x14ac:dyDescent="0.25">
      <c r="A14" s="77" t="s">
        <v>17</v>
      </c>
      <c r="B14" s="77" t="s">
        <v>7</v>
      </c>
      <c r="C14" s="17"/>
      <c r="D14" s="17"/>
    </row>
    <row r="15" spans="1:7" x14ac:dyDescent="0.25">
      <c r="A15" s="7" t="s">
        <v>58</v>
      </c>
      <c r="B15" s="17">
        <f>B$5*B$8</f>
        <v>2500</v>
      </c>
      <c r="C15" s="17"/>
      <c r="D15" s="17"/>
    </row>
    <row r="16" spans="1:7" x14ac:dyDescent="0.25">
      <c r="A16" s="21" t="s">
        <v>91</v>
      </c>
      <c r="B16" s="17">
        <f>(B$6*B$10*B$5*B$8)/1024</f>
        <v>1562.5</v>
      </c>
      <c r="C16" s="17"/>
      <c r="D16" s="17"/>
    </row>
    <row r="17" spans="1:10" x14ac:dyDescent="0.25">
      <c r="A17" s="21" t="s">
        <v>15</v>
      </c>
      <c r="B17" s="17">
        <f>(B$6*B$10)</f>
        <v>640</v>
      </c>
      <c r="C17" s="17"/>
      <c r="D17" s="17"/>
    </row>
    <row r="18" spans="1:10" x14ac:dyDescent="0.25">
      <c r="A18" s="17" t="s">
        <v>16</v>
      </c>
      <c r="B18" s="17">
        <f>B$6*B$5*B8</f>
        <v>50000</v>
      </c>
      <c r="C18" s="17"/>
      <c r="D18" s="17"/>
    </row>
    <row r="19" spans="1:10" x14ac:dyDescent="0.25">
      <c r="A19" s="17" t="s">
        <v>18</v>
      </c>
      <c r="B19" s="17">
        <f>B7*B5</f>
        <v>37500</v>
      </c>
      <c r="C19" s="17"/>
      <c r="D19" s="17"/>
    </row>
    <row r="20" spans="1:10" ht="18.75" x14ac:dyDescent="0.3">
      <c r="A20" s="74" t="s">
        <v>73</v>
      </c>
      <c r="B20" s="74"/>
      <c r="C20" s="74"/>
      <c r="D20" s="74"/>
      <c r="E20" s="74"/>
      <c r="F20" s="74"/>
      <c r="G20" s="83"/>
      <c r="H20" s="74"/>
      <c r="I20" s="74"/>
      <c r="J20" s="74"/>
    </row>
    <row r="21" spans="1:10" ht="63.75" customHeight="1" x14ac:dyDescent="0.25">
      <c r="A21" s="21" t="s">
        <v>66</v>
      </c>
      <c r="B21" s="17" t="s">
        <v>175</v>
      </c>
      <c r="C21" s="76" t="s">
        <v>167</v>
      </c>
      <c r="D21" s="76" t="s">
        <v>168</v>
      </c>
      <c r="F21" s="19" t="s">
        <v>65</v>
      </c>
      <c r="G21" s="76" t="s">
        <v>70</v>
      </c>
      <c r="H21" t="s">
        <v>54</v>
      </c>
      <c r="I21" t="s">
        <v>55</v>
      </c>
      <c r="J21" t="s">
        <v>56</v>
      </c>
    </row>
    <row r="22" spans="1:10" s="49" customFormat="1" ht="138" customHeight="1" x14ac:dyDescent="0.25">
      <c r="A22" s="34" t="s">
        <v>166</v>
      </c>
      <c r="B22" s="79">
        <f>IF(G22="Yes",_xlfn.XLOOKUP(G24,'Azure NetApp Files Calcuations'!C$46:C$48,'Azure NetApp Files Calcuations'!B$46:B$48,definitions!A$23),"Recommend Adding Additional Volumes")</f>
        <v>11250</v>
      </c>
      <c r="C22" s="92">
        <f>IF(G22="Yes",_xlfn.XLOOKUP(G24,'Azure NetApp Files Calcuations'!C$38:C$40,'Azure NetApp Files Calcuations'!B$38:B$40,definitions!A$23),"Recommend Adding Additional Volumes")</f>
        <v>2678.5714285714284</v>
      </c>
      <c r="D22" s="92">
        <f>IF(G22="Yes",_xlfn.XLOOKUP(G24,'Azure NetApp Files Calcuations'!C$42:C$44,'Azure NetApp Files Calcuations'!B$42:B$44,definitions!A$23),"Recommend Adding Additional Volumes")</f>
        <v>8571.4285714285706</v>
      </c>
      <c r="F22" s="34" t="s">
        <v>157</v>
      </c>
      <c r="G22" s="50" t="str">
        <f>_xlfn.XLOOKUP("No",'Azure NetApp Files Calcuations'!B35:B36,'Azure NetApp Files Calcuations'!C35:C36,"Yes")</f>
        <v>Yes</v>
      </c>
      <c r="H22" s="56" t="str">
        <f>IF('Azure NetApp Files Calcuations'!B35="Yes","Yes",definitions!$A$23)</f>
        <v>Yes</v>
      </c>
      <c r="I22" s="62"/>
      <c r="J22" s="61" t="str">
        <f>IF(B5&gt;G27,"Required bandwidth exceeds single ANF volume tested upper limit at selected read percentage","Yes")</f>
        <v>Yes</v>
      </c>
    </row>
    <row r="23" spans="1:10" s="49" customFormat="1" ht="39" customHeight="1" x14ac:dyDescent="0.25">
      <c r="A23" s="34" t="s">
        <v>64</v>
      </c>
      <c r="B23" s="91">
        <f>IF(G22="Yes",IF($G$24=definitions!A$23,B$22,B$22/B$5),"N/A: User Count Excceds Capability Of Azure NetApp Files")</f>
        <v>4.5</v>
      </c>
      <c r="C23" s="47"/>
      <c r="D23" s="47"/>
      <c r="F23" s="34" t="s">
        <v>134</v>
      </c>
      <c r="G23" s="50">
        <f>IF('Azure NetApp Files Calcuations'!B35="Yes",_xlfn.XLOOKUP(G24,'Azure NetApp Files Calcuations'!$C$31:$C$33,'Azure NetApp Files Calcuations'!$B$31:$B$33),"No")</f>
        <v>37500</v>
      </c>
      <c r="H23" s="51"/>
      <c r="I23" s="63"/>
      <c r="J23" s="63"/>
    </row>
    <row r="24" spans="1:10" s="49" customFormat="1" ht="37.5" customHeight="1" x14ac:dyDescent="0.25">
      <c r="A24" s="34"/>
      <c r="B24" s="48"/>
      <c r="C24" s="48"/>
      <c r="D24" s="48"/>
      <c r="F24" s="34" t="s">
        <v>98</v>
      </c>
      <c r="G24" s="50" t="str">
        <f>IF('Azure NetApp Files Calcuations'!B35="Yes",(_xlfn.XLOOKUP(MIN('Azure NetApp Files Calcuations'!$B$38:$B$40),'Azure NetApp Files Calcuations'!$B$38:$B$40,'Azure NetApp Files Calcuations'!$C$38:$C$40)),"No")</f>
        <v>Premium</v>
      </c>
      <c r="H24" s="51"/>
      <c r="I24" s="63"/>
      <c r="J24" s="63"/>
    </row>
    <row r="25" spans="1:10" s="49" customFormat="1" x14ac:dyDescent="0.25">
      <c r="A25" s="34"/>
      <c r="B25" s="47"/>
      <c r="C25" s="47"/>
      <c r="D25" s="47"/>
      <c r="F25" s="34" t="s">
        <v>141</v>
      </c>
      <c r="G25" s="50" t="str">
        <f>IF(G22="Configure more than one volume","No",(_xlfn.XLOOKUP(G24,'Azure NetApp Files Calcuations'!$C$27:$C$29,'Azure NetApp Files Calcuations'!$B$27:$B$29)))</f>
        <v>Capacity</v>
      </c>
      <c r="H25" s="51"/>
      <c r="I25" s="63"/>
      <c r="J25" s="63"/>
    </row>
    <row r="26" spans="1:10" s="49" customFormat="1" x14ac:dyDescent="0.25">
      <c r="A26" s="34"/>
      <c r="B26" s="47"/>
      <c r="C26" s="47"/>
      <c r="D26" s="47"/>
      <c r="F26" s="34" t="s">
        <v>139</v>
      </c>
      <c r="G26" s="50">
        <f>IF(G22="Yes",(_xlfn.XLOOKUP(G24,'Azure NetApp Files Calcuations'!$C$50:$C$52,'Azure NetApp Files Calcuations'!$B$50:$B$52,definitions!A$23)),"No")</f>
        <v>15</v>
      </c>
      <c r="H26" s="51"/>
      <c r="I26" s="63"/>
      <c r="J26" s="63"/>
    </row>
    <row r="27" spans="1:10" s="49" customFormat="1" x14ac:dyDescent="0.25">
      <c r="A27" s="34"/>
      <c r="B27" s="47"/>
      <c r="C27" s="47"/>
      <c r="D27" s="47"/>
      <c r="F27" s="60" t="s">
        <v>93</v>
      </c>
      <c r="G27" s="84">
        <f>FLOOR(('Azure NetApp Files Calcuations'!B4*1024/'FSLogix Calculator'!B17)*(1/'FSLogix Calculator'!B8),1)</f>
        <v>3516</v>
      </c>
      <c r="H27" s="64"/>
      <c r="I27" s="63"/>
      <c r="J27" s="63"/>
    </row>
    <row r="28" spans="1:10" s="49" customFormat="1" ht="18.75" x14ac:dyDescent="0.3">
      <c r="A28" s="74"/>
      <c r="B28" s="74"/>
      <c r="C28" s="74"/>
      <c r="D28" s="74"/>
      <c r="F28" s="60" t="s">
        <v>138</v>
      </c>
      <c r="G28" s="84">
        <f>'Azure NetApp Files Calcuations'!B5</f>
        <v>6826</v>
      </c>
      <c r="H28" s="64" t="str">
        <f>IF(G29&gt;definitions!B30,definitions!$A$23,"Yes")</f>
        <v>Required capacity exceeds documented single ANF volume 100TiB upper limit</v>
      </c>
      <c r="I28" s="64" t="str">
        <f>IF(B11&gt;G31,"Required bandwidth exceeds tested upper limit at selected read percentage","Yes")</f>
        <v>Yes</v>
      </c>
      <c r="J28" s="64" t="str">
        <f>IF(B11&gt;G31,"Required bandwidth exceeds tested upper limit at selected read percentage","Yes")</f>
        <v>Yes</v>
      </c>
    </row>
    <row r="29" spans="1:10" s="49" customFormat="1" x14ac:dyDescent="0.25">
      <c r="A29" s="21"/>
      <c r="B29" s="17"/>
      <c r="C29" s="17"/>
      <c r="D29" s="17"/>
      <c r="F29" s="53" t="str">
        <f>IF(G25="Capacity Pool Minimum Size","# Of Users At Min Capacity Pool Size ","Temporarily Empty Field")</f>
        <v>Temporarily Empty Field</v>
      </c>
      <c r="G29" s="85" t="str">
        <f>IF(G25="Capacity Pool Minimum Size",_xlfn.XLOOKUP(G24,'Azure NetApp Files Calcuations'!$C$15:$C$17,'Azure NetApp Files Calcuations'!$B$15:$B$17),"Temporarily Empty Field")</f>
        <v>Temporarily Empty Field</v>
      </c>
      <c r="H29" s="59"/>
      <c r="I29" s="63"/>
      <c r="J29" s="63"/>
    </row>
    <row r="30" spans="1:10" s="3" customFormat="1" ht="18.75" hidden="1" x14ac:dyDescent="0.3">
      <c r="A30" s="34"/>
      <c r="B30" s="52"/>
      <c r="C30" s="52"/>
      <c r="D30" s="52"/>
      <c r="E30" s="74"/>
      <c r="F30" s="74"/>
      <c r="G30" s="83"/>
      <c r="H30" s="74"/>
      <c r="I30" s="74"/>
      <c r="J30" s="74"/>
    </row>
    <row r="31" spans="1:10" hidden="1" x14ac:dyDescent="0.25">
      <c r="A31" s="34"/>
      <c r="B31" s="47"/>
      <c r="C31" s="47"/>
      <c r="D31" s="47"/>
      <c r="F31" s="18" t="s">
        <v>69</v>
      </c>
      <c r="G31" s="76" t="s">
        <v>71</v>
      </c>
      <c r="H31" s="55" t="s">
        <v>54</v>
      </c>
      <c r="I31" s="55" t="s">
        <v>55</v>
      </c>
      <c r="J31" s="55" t="s">
        <v>56</v>
      </c>
    </row>
    <row r="32" spans="1:10" ht="122.25" hidden="1" customHeight="1" x14ac:dyDescent="0.25">
      <c r="A32" s="34"/>
      <c r="B32" s="91"/>
      <c r="C32" s="47"/>
      <c r="D32" s="47"/>
      <c r="F32" s="33" t="s">
        <v>156</v>
      </c>
      <c r="G32" s="86" t="str">
        <f>_xlfn.XLOOKUP("No, must configure additional storage accounts",'Azure Files Calculations'!$C$2:$C$4,'Azure Files Calculations'!$C$2:$C$4,"Yes")</f>
        <v>No, must configure additional storage accounts</v>
      </c>
      <c r="H32" s="66" t="str">
        <f>'Azure Files Calculations'!$B$4</f>
        <v>Yes</v>
      </c>
      <c r="I32" s="56" t="str">
        <f>'Azure Files Calculations'!$B$2</f>
        <v>Required I/O rate exceeds documented single storage account 10,000 op rate upper limit</v>
      </c>
      <c r="J32" s="56" t="str">
        <f>'Azure Files Calculations'!$B$3</f>
        <v>Required bandwidth exceeds documented single storage account 300MiB/s  upper limit</v>
      </c>
    </row>
    <row r="33" spans="1:10" hidden="1" x14ac:dyDescent="0.25">
      <c r="A33" s="34"/>
      <c r="B33" s="91"/>
      <c r="C33" s="47"/>
      <c r="D33" s="47"/>
      <c r="F33" s="26" t="s">
        <v>67</v>
      </c>
      <c r="G33" s="76" t="str">
        <f>IF(G32="Yes",$B$7*$B$5,"No")</f>
        <v>No</v>
      </c>
      <c r="H33" s="39"/>
      <c r="I33" s="38"/>
      <c r="J33" s="39"/>
    </row>
    <row r="34" spans="1:10" hidden="1" x14ac:dyDescent="0.25">
      <c r="A34" s="34"/>
      <c r="B34" s="47"/>
      <c r="C34" s="47"/>
      <c r="D34" s="47"/>
      <c r="F34" s="26" t="s">
        <v>63</v>
      </c>
      <c r="G34" s="76" t="str">
        <f>IF(G32="Yes",G33/$B$5,"No")</f>
        <v>No</v>
      </c>
      <c r="H34" s="39"/>
      <c r="I34" s="42"/>
      <c r="J34" s="43"/>
    </row>
    <row r="35" spans="1:10" hidden="1" x14ac:dyDescent="0.25">
      <c r="F35" s="26" t="s">
        <v>92</v>
      </c>
      <c r="G35" s="76">
        <f>FLOOR(   (definitions!$B$42/$B$6)*(1/$B$8),1)</f>
        <v>500</v>
      </c>
      <c r="H35" s="39"/>
      <c r="I35" s="39"/>
      <c r="J35" s="39"/>
    </row>
    <row r="36" spans="1:10" ht="18.75" hidden="1" x14ac:dyDescent="0.3">
      <c r="A36" s="74"/>
      <c r="B36" s="74"/>
      <c r="C36" s="74"/>
      <c r="D36" s="74"/>
      <c r="F36" s="26" t="s">
        <v>93</v>
      </c>
      <c r="G36" s="76">
        <f>FLOOR((   (1024*definitions!$B$43)   /   ('FSLogix Calculator'!$B$6*'FSLogix Calculator'!$B$10)  ) * (1/$B$8   ),1)</f>
        <v>480</v>
      </c>
      <c r="H36" s="39"/>
      <c r="I36" s="38"/>
      <c r="J36" s="39"/>
    </row>
    <row r="37" spans="1:10" hidden="1" x14ac:dyDescent="0.25">
      <c r="A37" s="33"/>
      <c r="B37" s="33"/>
      <c r="C37" s="33"/>
      <c r="D37" s="33"/>
      <c r="F37" s="60" t="s">
        <v>136</v>
      </c>
      <c r="G37" s="87">
        <f>definitions!B45/'FSLogix Calculator'!B7</f>
        <v>6826.666666666667</v>
      </c>
      <c r="H37" s="65"/>
      <c r="I37" s="65"/>
      <c r="J37" s="65"/>
    </row>
    <row r="38" spans="1:10" ht="18.75" hidden="1" x14ac:dyDescent="0.3">
      <c r="A38" s="34"/>
      <c r="B38" s="52"/>
      <c r="C38" s="52"/>
      <c r="D38" s="52"/>
      <c r="E38" s="74"/>
      <c r="F38" s="74"/>
      <c r="G38" s="83"/>
      <c r="H38" s="74"/>
      <c r="I38" s="74"/>
    </row>
    <row r="39" spans="1:10" hidden="1" x14ac:dyDescent="0.25">
      <c r="A39" s="21"/>
      <c r="B39" s="22"/>
      <c r="C39" s="22"/>
      <c r="D39" s="22"/>
      <c r="F39" t="s">
        <v>68</v>
      </c>
      <c r="G39" s="88" t="s">
        <v>72</v>
      </c>
      <c r="H39" t="s">
        <v>54</v>
      </c>
      <c r="I39" t="s">
        <v>55</v>
      </c>
    </row>
    <row r="40" spans="1:10" ht="122.25" hidden="1" customHeight="1" x14ac:dyDescent="0.25">
      <c r="F40" s="33" t="s">
        <v>156</v>
      </c>
      <c r="G40" s="86" t="str">
        <f>_xlfn.XLOOKUP("No",'Azure Files Calculations'!$C$5:$C$7,'Azure Files Calculations'!$C$2:$C$4,"Yes")</f>
        <v>Yes</v>
      </c>
      <c r="H40" s="67" t="str">
        <f>'Azure Files Calculations'!$B$6</f>
        <v>Yes</v>
      </c>
      <c r="I40" s="67" t="str">
        <f>'Azure Files Calculations'!$B$5</f>
        <v>Yes</v>
      </c>
    </row>
    <row r="41" spans="1:10" hidden="1" x14ac:dyDescent="0.25">
      <c r="A41" s="16"/>
      <c r="B41" s="16"/>
      <c r="C41" s="16"/>
      <c r="D41" s="16"/>
      <c r="F41" s="26" t="s">
        <v>134</v>
      </c>
      <c r="G41" s="76">
        <f>'Azure Files Calculations'!C14</f>
        <v>50000</v>
      </c>
      <c r="H41" s="41"/>
      <c r="I41" s="41"/>
    </row>
    <row r="42" spans="1:10" hidden="1" x14ac:dyDescent="0.25">
      <c r="A42" s="16"/>
      <c r="B42" s="16"/>
      <c r="C42" s="16"/>
      <c r="D42" s="16"/>
      <c r="F42" s="7" t="s">
        <v>139</v>
      </c>
      <c r="G42" s="87">
        <f>IF('Azure Files Calculations'!$C$6="Yes",G$41/$B$5,"No")</f>
        <v>20</v>
      </c>
      <c r="H42" s="32"/>
      <c r="I42" s="40"/>
    </row>
    <row r="43" spans="1:10" hidden="1" x14ac:dyDescent="0.25">
      <c r="E43" s="7"/>
      <c r="F43" s="26" t="s">
        <v>140</v>
      </c>
      <c r="G43" s="89" t="str">
        <f>'Azure Files Calculations'!B14</f>
        <v>I/O Need</v>
      </c>
      <c r="H43" s="39"/>
      <c r="I43" s="38"/>
    </row>
    <row r="44" spans="1:10" hidden="1" x14ac:dyDescent="0.25">
      <c r="E44" s="7"/>
      <c r="F44" s="26" t="s">
        <v>153</v>
      </c>
      <c r="G44" s="76">
        <f>FLOOR(( definitions!$B$44/$B$6) * (1/$B$8),1)</f>
        <v>5000</v>
      </c>
      <c r="H44" s="39"/>
      <c r="I44" s="44"/>
    </row>
    <row r="45" spans="1:10" hidden="1" x14ac:dyDescent="0.25">
      <c r="E45" s="7"/>
      <c r="F45" s="60" t="s">
        <v>138</v>
      </c>
      <c r="G45" s="76">
        <f>definitions!B46/'FSLogix Calculator'!B7</f>
        <v>6826.666666666667</v>
      </c>
      <c r="H45" s="39"/>
      <c r="I45" s="44"/>
    </row>
    <row r="71" spans="1:6" x14ac:dyDescent="0.25">
      <c r="A71" s="10"/>
      <c r="B71" s="27"/>
      <c r="C71" s="27"/>
      <c r="D71" s="27"/>
    </row>
    <row r="72" spans="1:6" x14ac:dyDescent="0.25">
      <c r="A72" s="10"/>
      <c r="B72" s="6"/>
      <c r="C72" s="6"/>
      <c r="D72" s="6"/>
    </row>
    <row r="73" spans="1:6" x14ac:dyDescent="0.25">
      <c r="A73" s="10"/>
      <c r="B73" s="6"/>
      <c r="C73" s="6"/>
      <c r="D73" s="6"/>
      <c r="E73" s="57"/>
      <c r="F73" s="57"/>
    </row>
    <row r="74" spans="1:6" ht="18.75" x14ac:dyDescent="0.3">
      <c r="A74" s="74"/>
      <c r="B74" s="5"/>
      <c r="C74" s="5"/>
      <c r="D74" s="5"/>
      <c r="E74" s="57"/>
      <c r="F74" s="57"/>
    </row>
    <row r="75" spans="1:6" x14ac:dyDescent="0.25">
      <c r="A75" s="10"/>
      <c r="B75" s="6"/>
      <c r="C75" s="6"/>
      <c r="D75" s="6"/>
      <c r="E75" s="57"/>
      <c r="F75" s="57"/>
    </row>
    <row r="76" spans="1:6" x14ac:dyDescent="0.25">
      <c r="A76" s="10"/>
      <c r="B76" s="6"/>
      <c r="C76" s="6"/>
      <c r="D76" s="6"/>
      <c r="E76" s="57"/>
      <c r="F76" s="57"/>
    </row>
    <row r="77" spans="1:6" x14ac:dyDescent="0.25">
      <c r="A77" s="10"/>
      <c r="B77" s="6"/>
      <c r="C77" s="6"/>
      <c r="D77" s="6"/>
    </row>
    <row r="78" spans="1:6" x14ac:dyDescent="0.25">
      <c r="A78" s="10"/>
      <c r="B78" s="6"/>
      <c r="C78" s="6"/>
      <c r="D78" s="6"/>
    </row>
    <row r="79" spans="1:6" x14ac:dyDescent="0.25">
      <c r="A79" s="10"/>
    </row>
    <row r="80" spans="1:6" x14ac:dyDescent="0.25">
      <c r="A80" s="10"/>
      <c r="B80" s="6"/>
      <c r="C80" s="6"/>
      <c r="D80" s="6"/>
    </row>
    <row r="81" spans="1:10" ht="18.75" x14ac:dyDescent="0.3">
      <c r="A81" s="74"/>
      <c r="B81" s="74"/>
      <c r="C81" s="74"/>
      <c r="D81" s="74"/>
      <c r="F81" s="57"/>
      <c r="G81" s="90"/>
    </row>
    <row r="82" spans="1:10" x14ac:dyDescent="0.25">
      <c r="A82" s="10"/>
      <c r="B82" s="10"/>
      <c r="C82" s="10"/>
      <c r="D82" s="10"/>
      <c r="E82" s="57"/>
      <c r="F82" s="57"/>
      <c r="G82" s="90"/>
    </row>
    <row r="83" spans="1:10" ht="18.75" x14ac:dyDescent="0.3">
      <c r="A83" s="10"/>
      <c r="B83" s="28"/>
      <c r="C83" s="28"/>
      <c r="D83" s="28"/>
      <c r="E83" s="74"/>
      <c r="F83" s="74"/>
      <c r="G83" s="83"/>
    </row>
    <row r="84" spans="1:10" x14ac:dyDescent="0.25">
      <c r="A84" s="10"/>
      <c r="B84" s="6"/>
      <c r="C84" s="6"/>
      <c r="D84" s="6"/>
      <c r="E84" s="57"/>
      <c r="F84" s="57"/>
      <c r="G84" s="90"/>
    </row>
    <row r="85" spans="1:10" s="3" customFormat="1" ht="18.75" x14ac:dyDescent="0.3">
      <c r="A85" s="74"/>
      <c r="B85" s="5"/>
      <c r="C85" s="5"/>
      <c r="D85" s="5"/>
      <c r="E85" s="57"/>
      <c r="F85" s="57"/>
      <c r="G85" s="90"/>
      <c r="H85" s="57"/>
      <c r="I85" s="57"/>
      <c r="J85" s="57"/>
    </row>
    <row r="86" spans="1:10" s="8" customFormat="1" ht="18.75" x14ac:dyDescent="0.3">
      <c r="A86" s="74"/>
      <c r="B86" s="9"/>
      <c r="C86" s="9"/>
      <c r="D86" s="9"/>
      <c r="E86" s="1"/>
      <c r="F86" s="57"/>
      <c r="G86" s="90"/>
    </row>
    <row r="87" spans="1:10" ht="18.75" x14ac:dyDescent="0.3">
      <c r="A87" s="10"/>
      <c r="B87" s="10"/>
      <c r="C87" s="10"/>
      <c r="D87" s="10"/>
      <c r="E87" s="74"/>
      <c r="F87" s="74"/>
      <c r="G87" s="83"/>
    </row>
    <row r="88" spans="1:10" ht="18.75" x14ac:dyDescent="0.3">
      <c r="A88" s="10"/>
      <c r="E88" s="74"/>
      <c r="F88" s="74"/>
      <c r="G88" s="83"/>
    </row>
    <row r="89" spans="1:10" x14ac:dyDescent="0.25">
      <c r="A89" s="10"/>
      <c r="B89" s="6"/>
      <c r="C89" s="6"/>
      <c r="D89" s="6"/>
      <c r="E89" s="57"/>
      <c r="F89" s="57"/>
      <c r="G89" s="90"/>
    </row>
    <row r="90" spans="1:10" s="8" customFormat="1" ht="18.75" x14ac:dyDescent="0.3">
      <c r="A90" s="10"/>
      <c r="B90" s="74"/>
      <c r="C90" s="74"/>
      <c r="D90" s="74"/>
      <c r="E90"/>
      <c r="F90" s="57"/>
      <c r="G90" s="90"/>
    </row>
    <row r="91" spans="1:10" s="8" customFormat="1" ht="18.75" x14ac:dyDescent="0.3">
      <c r="A91" s="10"/>
      <c r="B91" s="10"/>
      <c r="C91" s="10"/>
      <c r="D91" s="10"/>
      <c r="E91" s="57"/>
      <c r="F91" s="57"/>
      <c r="G91" s="90"/>
    </row>
    <row r="92" spans="1:10" x14ac:dyDescent="0.25">
      <c r="A92" s="10"/>
      <c r="B92" s="28"/>
      <c r="C92" s="28"/>
      <c r="D92" s="28"/>
      <c r="E92" s="10"/>
      <c r="F92" s="57"/>
      <c r="G92" s="90"/>
    </row>
    <row r="93" spans="1:10" x14ac:dyDescent="0.25">
      <c r="A93" s="10"/>
      <c r="B93" s="6"/>
      <c r="C93" s="6"/>
      <c r="D93" s="6"/>
      <c r="E93" s="57"/>
      <c r="F93" s="57"/>
      <c r="G93" s="90"/>
    </row>
    <row r="94" spans="1:10" s="3" customFormat="1" ht="18.75" x14ac:dyDescent="0.3">
      <c r="A94" s="74"/>
      <c r="B94" s="5"/>
      <c r="C94" s="5"/>
      <c r="D94" s="5"/>
      <c r="E94" s="57"/>
      <c r="F94" s="57"/>
      <c r="G94" s="90"/>
      <c r="H94" s="57"/>
      <c r="I94" s="57"/>
      <c r="J94" s="57"/>
    </row>
    <row r="95" spans="1:10" ht="18.75" x14ac:dyDescent="0.3">
      <c r="A95" s="74"/>
      <c r="B95" s="9"/>
      <c r="C95" s="9"/>
      <c r="D95" s="9"/>
      <c r="E95" s="11"/>
      <c r="F95" s="57"/>
      <c r="G95" s="90"/>
    </row>
    <row r="96" spans="1:10" ht="18.75" x14ac:dyDescent="0.3">
      <c r="A96" s="10"/>
      <c r="B96" s="10"/>
      <c r="C96" s="10"/>
      <c r="D96" s="10"/>
      <c r="E96" s="74"/>
      <c r="F96" s="74"/>
      <c r="G96" s="83"/>
    </row>
    <row r="97" spans="1:10" ht="18.75" x14ac:dyDescent="0.3">
      <c r="A97" s="10"/>
      <c r="E97" s="74"/>
      <c r="F97" s="74"/>
      <c r="G97" s="83"/>
    </row>
    <row r="98" spans="1:10" x14ac:dyDescent="0.25">
      <c r="A98" s="10"/>
      <c r="B98" s="6"/>
      <c r="C98" s="6"/>
      <c r="D98" s="6"/>
      <c r="E98" s="57"/>
      <c r="F98" s="57"/>
      <c r="G98" s="90"/>
    </row>
    <row r="99" spans="1:10" s="8" customFormat="1" ht="18.75" x14ac:dyDescent="0.3">
      <c r="A99" s="74"/>
      <c r="B99" s="74"/>
      <c r="C99" s="74"/>
      <c r="D99" s="74"/>
      <c r="E99"/>
      <c r="F99" s="57"/>
      <c r="G99" s="90"/>
    </row>
    <row r="100" spans="1:10" s="8" customFormat="1" ht="18.75" x14ac:dyDescent="0.3">
      <c r="A100" s="10"/>
      <c r="B100" s="10"/>
      <c r="C100" s="10"/>
      <c r="D100" s="10"/>
      <c r="E100" s="57"/>
      <c r="F100" s="57"/>
      <c r="G100" s="90"/>
    </row>
    <row r="101" spans="1:10" ht="18.75" x14ac:dyDescent="0.3">
      <c r="A101" s="10"/>
      <c r="B101" s="28"/>
      <c r="C101" s="28"/>
      <c r="D101" s="28"/>
      <c r="E101" s="10"/>
      <c r="F101" s="74"/>
      <c r="G101" s="83"/>
    </row>
    <row r="102" spans="1:10" x14ac:dyDescent="0.25">
      <c r="A102" s="10"/>
      <c r="B102" s="6"/>
      <c r="C102" s="6"/>
      <c r="D102" s="6"/>
      <c r="E102" s="57"/>
    </row>
    <row r="103" spans="1:10" s="3" customFormat="1" ht="18.75" x14ac:dyDescent="0.3">
      <c r="A103" s="74"/>
      <c r="B103" s="5"/>
      <c r="C103" s="5"/>
      <c r="D103" s="5"/>
      <c r="E103" s="57"/>
      <c r="F103"/>
      <c r="G103" s="81"/>
      <c r="H103" s="57"/>
      <c r="I103" s="57"/>
      <c r="J103" s="57"/>
    </row>
    <row r="104" spans="1:10" s="8" customFormat="1" ht="18.75" x14ac:dyDescent="0.3">
      <c r="A104" s="74"/>
      <c r="B104" s="9"/>
      <c r="C104" s="9"/>
      <c r="D104" s="9"/>
      <c r="E104" s="11"/>
      <c r="F104" s="57"/>
      <c r="G104" s="90"/>
    </row>
    <row r="105" spans="1:10" ht="18.75" x14ac:dyDescent="0.3">
      <c r="E105" s="12"/>
      <c r="F105" s="57"/>
      <c r="G105" s="90"/>
    </row>
    <row r="106" spans="1:10" ht="18.75" x14ac:dyDescent="0.3">
      <c r="E106" s="74"/>
      <c r="F106" s="74"/>
      <c r="G106" s="83"/>
    </row>
    <row r="107" spans="1:10" x14ac:dyDescent="0.25">
      <c r="A107" s="10"/>
      <c r="B107" s="6"/>
      <c r="C107" s="6"/>
      <c r="D107" s="6"/>
    </row>
    <row r="108" spans="1:10" x14ac:dyDescent="0.25">
      <c r="A108" s="10"/>
      <c r="B108" s="10"/>
      <c r="C108" s="10"/>
      <c r="D108" s="10"/>
    </row>
    <row r="109" spans="1:10" s="8" customFormat="1" ht="18.75" x14ac:dyDescent="0.3">
      <c r="A109" s="10"/>
      <c r="B109" s="10"/>
      <c r="C109" s="10"/>
      <c r="D109" s="10"/>
      <c r="E109" s="57"/>
      <c r="F109" s="57"/>
      <c r="G109" s="90"/>
    </row>
    <row r="110" spans="1:10" x14ac:dyDescent="0.25">
      <c r="A110" s="10"/>
      <c r="B110" s="29"/>
      <c r="C110" s="29"/>
      <c r="D110" s="29"/>
      <c r="E110" s="57"/>
      <c r="F110" s="57"/>
      <c r="G110" s="90"/>
    </row>
    <row r="111" spans="1:10" x14ac:dyDescent="0.25">
      <c r="E111" s="57"/>
      <c r="F111" s="57"/>
      <c r="G111" s="90"/>
    </row>
    <row r="112" spans="1:10" s="3" customFormat="1" x14ac:dyDescent="0.25">
      <c r="A112" s="7"/>
      <c r="B112" s="7"/>
      <c r="C112" s="7"/>
      <c r="D112" s="7"/>
      <c r="E112" s="57"/>
      <c r="F112" s="57"/>
      <c r="G112" s="90"/>
      <c r="H112" s="57"/>
      <c r="I112" s="57"/>
      <c r="J112" s="57"/>
    </row>
    <row r="113" spans="1:7" x14ac:dyDescent="0.25">
      <c r="A113" s="10"/>
      <c r="B113" s="30"/>
      <c r="C113" s="30"/>
      <c r="D113" s="30"/>
    </row>
    <row r="115" spans="1:7" x14ac:dyDescent="0.25">
      <c r="E115" s="57"/>
      <c r="F115" s="57"/>
      <c r="G115" s="90"/>
    </row>
  </sheetData>
  <sheetProtection algorithmName="SHA-512" hashValue="oZaqc8c+1uaKIZJYo0ffiqq/0R2lPod7mHPYjinI+rAiU6/dDh79Nq/71MlASW3HTi5GWkEBuk5rVcG5aGBlcQ==" saltValue="NGdzqJJ7ADW51GQrxNVOuQ==" spinCount="100000" sheet="1" objects="1" scenarios="1"/>
  <phoneticPr fontId="4" type="noConversion"/>
  <conditionalFormatting sqref="A37:D40 A29:D29 A31:D35 A30">
    <cfRule type="cellIs" dxfId="92" priority="110" operator="equal">
      <formula>"Temporarily Empty Field"</formula>
    </cfRule>
  </conditionalFormatting>
  <conditionalFormatting sqref="H32:J34">
    <cfRule type="containsText" dxfId="91" priority="40" operator="containsText" text="Yes">
      <formula>NOT(ISERROR(SEARCH("Yes",H32)))</formula>
    </cfRule>
    <cfRule type="containsText" dxfId="90" priority="41" operator="containsText" text="Required">
      <formula>NOT(ISERROR(SEARCH("Required",H32)))</formula>
    </cfRule>
  </conditionalFormatting>
  <conditionalFormatting sqref="G25:G26">
    <cfRule type="cellIs" dxfId="89" priority="58" operator="equal">
      <formula>"Capacity Pool Minimum Size"</formula>
    </cfRule>
  </conditionalFormatting>
  <conditionalFormatting sqref="F29">
    <cfRule type="cellIs" dxfId="88" priority="57" operator="equal">
      <formula>"Temporarily Empty Field"</formula>
    </cfRule>
  </conditionalFormatting>
  <conditionalFormatting sqref="G29">
    <cfRule type="cellIs" dxfId="87" priority="56" operator="equal">
      <formula>"Temporarily Empty Field"</formula>
    </cfRule>
  </conditionalFormatting>
  <conditionalFormatting sqref="G32">
    <cfRule type="containsText" dxfId="86" priority="4" operator="containsText" text="No">
      <formula>NOT(ISERROR(SEARCH("No",G32)))</formula>
    </cfRule>
    <cfRule type="cellIs" dxfId="85" priority="46" operator="equal">
      <formula>"Yes"</formula>
    </cfRule>
    <cfRule type="cellIs" dxfId="84" priority="47" operator="equal">
      <formula>"No: 300MiB/s is Maximum Supported Load"</formula>
    </cfRule>
  </conditionalFormatting>
  <conditionalFormatting sqref="G32">
    <cfRule type="cellIs" dxfId="83" priority="45" operator="equal">
      <formula>"Yes"</formula>
    </cfRule>
  </conditionalFormatting>
  <conditionalFormatting sqref="G32">
    <cfRule type="cellIs" dxfId="82" priority="44" operator="equal">
      <formula>"""No: 102,400GiB is Maximum Supported Capacity"""</formula>
    </cfRule>
  </conditionalFormatting>
  <conditionalFormatting sqref="G32">
    <cfRule type="cellIs" dxfId="81" priority="42" operator="equal">
      <formula>"No"</formula>
    </cfRule>
    <cfRule type="cellIs" dxfId="80" priority="43" operator="equal">
      <formula>"No: 102,400GiB is Maximum Supported Capacity"</formula>
    </cfRule>
  </conditionalFormatting>
  <conditionalFormatting sqref="G40 G43">
    <cfRule type="cellIs" dxfId="79" priority="38" operator="equal">
      <formula>"Yes"</formula>
    </cfRule>
    <cfRule type="cellIs" dxfId="78" priority="39" operator="equal">
      <formula>"No: 100,000 IOPS is Maximum Supported Load"</formula>
    </cfRule>
  </conditionalFormatting>
  <conditionalFormatting sqref="H40:I41 H43:I43">
    <cfRule type="containsText" dxfId="77" priority="35" operator="containsText" text="Required">
      <formula>NOT(ISERROR(SEARCH("Required",H40)))</formula>
    </cfRule>
    <cfRule type="containsText" dxfId="76" priority="37" operator="containsText" text="Yes">
      <formula>NOT(ISERROR(SEARCH("Yes",H40)))</formula>
    </cfRule>
  </conditionalFormatting>
  <conditionalFormatting sqref="G40 G43">
    <cfRule type="cellIs" dxfId="75" priority="36" operator="equal">
      <formula>"No"</formula>
    </cfRule>
  </conditionalFormatting>
  <conditionalFormatting sqref="G34 G23:G26">
    <cfRule type="cellIs" dxfId="74" priority="34" operator="equal">
      <formula>"No"</formula>
    </cfRule>
  </conditionalFormatting>
  <conditionalFormatting sqref="G33">
    <cfRule type="cellIs" dxfId="73" priority="30" operator="equal">
      <formula>"No"</formula>
    </cfRule>
  </conditionalFormatting>
  <conditionalFormatting sqref="G41">
    <cfRule type="cellIs" dxfId="72" priority="28" operator="equal">
      <formula>"No"</formula>
    </cfRule>
  </conditionalFormatting>
  <conditionalFormatting sqref="G42">
    <cfRule type="cellIs" dxfId="71" priority="26" operator="equal">
      <formula>"No"</formula>
    </cfRule>
  </conditionalFormatting>
  <conditionalFormatting sqref="B39:D39">
    <cfRule type="containsText" dxfId="70" priority="25" operator="containsText" text="N/A">
      <formula>NOT(ISERROR(SEARCH("N/A",B39)))</formula>
    </cfRule>
  </conditionalFormatting>
  <conditionalFormatting sqref="B38:D38">
    <cfRule type="containsText" dxfId="69" priority="2" operator="containsText" text="Must">
      <formula>NOT(ISERROR(SEARCH("Must",B38)))</formula>
    </cfRule>
    <cfRule type="containsText" dxfId="68" priority="24" operator="containsText" text="N/A">
      <formula>NOT(ISERROR(SEARCH("N/A",B38)))</formula>
    </cfRule>
  </conditionalFormatting>
  <conditionalFormatting sqref="B23:D23">
    <cfRule type="containsText" dxfId="67" priority="21" operator="containsText" text="N/A">
      <formula>NOT(ISERROR(SEARCH("N/A",B23)))</formula>
    </cfRule>
  </conditionalFormatting>
  <conditionalFormatting sqref="B31:D31">
    <cfRule type="containsText" dxfId="66" priority="20" operator="containsText" text="N/A">
      <formula>NOT(ISERROR(SEARCH("N/A",B31)))</formula>
    </cfRule>
  </conditionalFormatting>
  <conditionalFormatting sqref="J22">
    <cfRule type="containsText" dxfId="65" priority="9" operator="containsText" text="Required">
      <formula>NOT(ISERROR(SEARCH("Required",J22)))</formula>
    </cfRule>
    <cfRule type="containsText" dxfId="64" priority="16" operator="containsText" text="Required">
      <formula>NOT(ISERROR(SEARCH("Required",J22)))</formula>
    </cfRule>
    <cfRule type="containsText" dxfId="63" priority="18" operator="containsText" text="Yes">
      <formula>NOT(ISERROR(SEARCH("Yes",J22)))</formula>
    </cfRule>
    <cfRule type="containsText" dxfId="62" priority="19" operator="containsText" text="Required">
      <formula>NOT(ISERROR(SEARCH("Required",J22)))</formula>
    </cfRule>
  </conditionalFormatting>
  <conditionalFormatting sqref="B22:D22">
    <cfRule type="containsText" dxfId="61" priority="14" operator="containsText" text="Rec">
      <formula>NOT(ISERROR(SEARCH("Rec",B22)))</formula>
    </cfRule>
  </conditionalFormatting>
  <conditionalFormatting sqref="H22">
    <cfRule type="containsText" dxfId="60" priority="10" operator="containsText" text="Yes">
      <formula>NOT(ISERROR(SEARCH("Yes",H22)))</formula>
    </cfRule>
    <cfRule type="containsText" dxfId="59" priority="12" operator="containsText" text="Required">
      <formula>NOT(ISERROR(SEARCH("Required",H22)))</formula>
    </cfRule>
  </conditionalFormatting>
  <conditionalFormatting sqref="G22">
    <cfRule type="containsText" dxfId="58" priority="7" operator="containsText" text="More">
      <formula>NOT(ISERROR(SEARCH("More",G22)))</formula>
    </cfRule>
    <cfRule type="containsText" dxfId="57" priority="8" operator="containsText" text="Yes">
      <formula>NOT(ISERROR(SEARCH("Yes",G22)))</formula>
    </cfRule>
  </conditionalFormatting>
  <conditionalFormatting sqref="B30:D30">
    <cfRule type="containsText" dxfId="56" priority="3" operator="containsText" text="Must">
      <formula>NOT(ISERROR(SEARCH("Must",B30)))</formula>
    </cfRule>
    <cfRule type="containsText" dxfId="55" priority="5" operator="containsText" text="Rec">
      <formula>NOT(ISERROR(SEARCH("Rec",B30)))</formula>
    </cfRule>
  </conditionalFormatting>
  <conditionalFormatting sqref="G40">
    <cfRule type="containsText" dxfId="54" priority="1" operator="containsText" text="No">
      <formula>NOT(ISERROR(SEARCH("No",G40)))</formula>
    </cfRule>
  </conditionalFormatting>
  <dataValidations count="6">
    <dataValidation type="whole" allowBlank="1" showInputMessage="1" showErrorMessage="1" errorTitle="Incorrect Value Entered" error="Valid values are between 1 and 1024 in int value" promptTitle="VHD Size Per User" prompt="Enter the VHD size in INT value, number must be between 1 and 1024" sqref="B13:D13" xr:uid="{CBED2FD9-9304-492F-812B-63234547D67B}">
      <formula1>1</formula1>
      <formula2>1024</formula2>
    </dataValidation>
    <dataValidation type="whole" showInputMessage="1" showErrorMessage="1" errorTitle="Incorrect Value Entered" error="Please Enter a whole number between 1 and 95,000" promptTitle="Number Of User" prompt="Enter the number of users (100% Concurrency is assumed).  Valid values are between 1 and 95,000." sqref="B5:D5" xr:uid="{838F7E3E-819B-4995-B75E-80FB4581AA29}">
      <formula1>1</formula1>
      <formula2>95000</formula2>
    </dataValidation>
    <dataValidation type="whole" showInputMessage="1" showErrorMessage="1" errorTitle="Incorrect Value Entered" error="Please Enter a whole number between 1 and 168" promptTitle="Enter Integer Value" prompt="Enter a value between 40 and 168 representing the working hours in a week.  Call centers for example that have 24X7 operations work 168 hours every week." sqref="B9:D9" xr:uid="{83D3B009-08C9-4277-BCBC-7A1B2CBFC57A}">
      <formula1>40</formula1>
      <formula2>168</formula2>
    </dataValidation>
    <dataValidation type="whole" showInputMessage="1" showErrorMessage="1" errorTitle="Incorrect Value Entered" error="Valid values are between 1 and 30  in int value" promptTitle="VHD Size Per User" prompt="Enter the VHD size in INT value, number must be between 1 and 1024" sqref="B9:D9" xr:uid="{4AE96117-04AC-420D-AD6D-903EA3285EB4}">
      <formula1>36</formula1>
      <formula2>168</formula2>
    </dataValidation>
    <dataValidation allowBlank="1" showInputMessage="1" showErrorMessage="1" promptTitle="VHD Size" prompt="Select the size of the user VHD defined in FSLogix Environment_x000a_" sqref="B9:D9" xr:uid="{A1CCD0B8-6B2D-42A1-89B6-7ABA9C370E18}"/>
    <dataValidation type="whole" allowBlank="1" showInputMessage="1" errorTitle="IOPS: Incorrect Input" error="Please enter a whole number between 1 and 200." promptTitle="Storage IOPS: Env Dependant" prompt="Suggested values for user profile containers_x000a_Without Office365: 5_x000a_With Office365: 15_x000a_With Offline Cache and Office365 Cache: 60 - 120" sqref="B6:D6" xr:uid="{E2E3AE84-252F-4455-AC8B-A92442F4F96A}">
      <formula1>1</formula1>
      <formula2>200</formula2>
    </dataValidation>
  </dataValidations>
  <printOptions horizontalCentered="1" verticalCentered="1"/>
  <pageMargins left="0.7" right="0.7" top="0.75" bottom="0.75" header="0.3" footer="0.3"/>
  <pageSetup scale="33" fitToHeight="0" orientation="portrait" horizontalDpi="200" verticalDpi="200" r:id="rId1"/>
  <tableParts count="6">
    <tablePart r:id="rId2"/>
    <tablePart r:id="rId3"/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error="If known, select the average storage I/O size.  If unknown, leave the value at the default of 32." promptTitle="Storage I/O Size (Advanced)" prompt="If known, select the average storage I/O size.  If unknown, leave the value at the default of 32." xr:uid="{86AD3042-EFBE-4769-8F55-A620876D83EA}">
          <x14:formula1>
            <xm:f>definitions!$A$2:$A$3</xm:f>
          </x14:formula1>
          <xm:sqref>B10:D10</xm:sqref>
        </x14:dataValidation>
        <x14:dataValidation type="list" showInputMessage="1" showErrorMessage="1" errorTitle="Incorrect Value Entered" error="Valid values are between 1 and 30  in int value" promptTitle="VHD Size Per User" prompt="Enter the VHD size in INT value, number must be between 1 and 1024" xr:uid="{F0468C29-122F-45A3-9E06-3D1D980A2EF8}">
          <x14:formula1>
            <xm:f>definitions!$C$2:$C$8</xm:f>
          </x14:formula1>
          <xm:sqref>B5:D5</xm:sqref>
        </x14:dataValidation>
        <x14:dataValidation type="list" allowBlank="1" showInputMessage="1" showErrorMessage="1" xr:uid="{FACD4DE7-9021-4B74-81BF-F5019EF7DF83}">
          <x14:formula1>
            <xm:f>definitions!$C$2:$C$8</xm:f>
          </x14:formula1>
          <xm:sqref>B5:D5</xm:sqref>
        </x14:dataValidation>
        <x14:dataValidation type="list" allowBlank="1" showInputMessage="1" showErrorMessage="1" promptTitle="VHD Size" prompt="Select the size of the user VHD defined in FSLogix Environment_x000a_" xr:uid="{F9F9F9EE-077A-4B49-876B-20EE9C7EA975}">
          <x14:formula1>
            <xm:f>definitions!$C$2:$C$8</xm:f>
          </x14:formula1>
          <xm:sqref>B5:D5</xm:sqref>
        </x14:dataValidation>
        <x14:dataValidation type="list" showInputMessage="1" showErrorMessage="1" xr:uid="{FF3B58C7-0EEE-4B9C-AA0D-36F4BBCFA8FD}">
          <x14:formula1>
            <xm:f>definitions!$D$2:$D$7</xm:f>
          </x14:formula1>
          <xm:sqref>B8:D9</xm:sqref>
        </x14:dataValidation>
        <x14:dataValidation type="list" showInputMessage="1" showErrorMessage="1" promptTitle="VHD(X) Size" prompt="Select the desired VHD(X) Size, 40GiB has been idenitifed as the average Profile Size Industry wide" xr:uid="{97763830-AAD4-4BCB-B82D-4588199C19CD}">
          <x14:formula1>
            <xm:f>definitions!$C$4:$C$13</xm:f>
          </x14:formula1>
          <xm:sqref>B7:D7</xm:sqref>
        </x14:dataValidation>
        <x14:dataValidation type="list" showInputMessage="1" showErrorMessage="1" error="If known, select the average storage read %.  If unknown, leave the value at the default of 20%" promptTitle="Read % (Advanced)" prompt="If known, select the average storage read%  If unknown, leave the value at the default of 20%." xr:uid="{4F30BAC0-8570-455C-9ACF-B1BAC194BCB9}">
          <x14:formula1>
            <xm:f>'Throughput Test'!$G$6:$G$10</xm:f>
          </x14:formula1>
          <xm:sqref>B11:D12</xm:sqref>
        </x14:dataValidation>
        <x14:dataValidation type="list" allowBlank="1" showInputMessage="1" showErrorMessage="1" xr:uid="{4B86BFC7-B959-49BD-A0CA-9D6F29B3BFCA}">
          <x14:formula1>
            <xm:f>definitions!$E$2:$E$4</xm:f>
          </x14:formula1>
          <xm:sqref>B11:D12</xm:sqref>
        </x14:dataValidation>
        <x14:dataValidation type="list" allowBlank="1" showInputMessage="1" showErrorMessage="1" xr:uid="{D52C3E3B-D7C9-4CAB-B3CD-9E815BA071AA}">
          <x14:formula1>
            <xm:f>definitions!#REF!</xm:f>
          </x14:formula1>
          <xm:sqref>B6:D6 B10:D10</xm:sqref>
        </x14:dataValidation>
        <x14:dataValidation type="list" allowBlank="1" showInputMessage="1" showErrorMessage="1" xr:uid="{FFFFEB35-BD9B-430F-9C7E-C79ED9C1795F}">
          <x14:formula1>
            <xm:f>definitions!$F$2:$F$3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156B8-3DAB-4F24-8D0A-36FBCF57BCBD}">
  <sheetPr codeName="Sheet2"/>
  <dimension ref="A1:E62"/>
  <sheetViews>
    <sheetView topLeftCell="A28" workbookViewId="0">
      <selection activeCell="B47" sqref="B47"/>
    </sheetView>
  </sheetViews>
  <sheetFormatPr defaultRowHeight="15" x14ac:dyDescent="0.25"/>
  <cols>
    <col min="1" max="1" width="78.28515625" bestFit="1" customWidth="1"/>
    <col min="2" max="2" width="54.7109375" bestFit="1" customWidth="1"/>
  </cols>
  <sheetData>
    <row r="1" spans="1:3" x14ac:dyDescent="0.25">
      <c r="A1" s="2" t="s">
        <v>30</v>
      </c>
      <c r="B1" s="14"/>
    </row>
    <row r="2" spans="1:3" ht="13.5" customHeight="1" x14ac:dyDescent="0.25">
      <c r="A2" s="2" t="s">
        <v>59</v>
      </c>
      <c r="B2" s="14">
        <f>'FSLogix Calculator'!B$19</f>
        <v>37500</v>
      </c>
      <c r="C2" s="3"/>
    </row>
    <row r="3" spans="1:3" ht="13.5" customHeight="1" x14ac:dyDescent="0.25">
      <c r="A3" s="2" t="s">
        <v>90</v>
      </c>
      <c r="B3" s="14">
        <f>'FSLogix Calculator'!B$7</f>
        <v>15</v>
      </c>
      <c r="C3" s="3"/>
    </row>
    <row r="4" spans="1:3" x14ac:dyDescent="0.25">
      <c r="A4" s="2" t="s">
        <v>132</v>
      </c>
      <c r="B4" s="2">
        <f>_xlfn.XLOOKUP('FSLogix Calculator'!B$11,'Throughput Test'!G2:G12,'Throughput Test'!P$2:P$12)</f>
        <v>2198</v>
      </c>
      <c r="C4" s="57"/>
    </row>
    <row r="5" spans="1:3" x14ac:dyDescent="0.25">
      <c r="A5" s="2" t="s">
        <v>137</v>
      </c>
      <c r="B5" s="2">
        <f>FLOOR(definitions!B24/'FSLogix Calculator'!B$7,1)</f>
        <v>6826</v>
      </c>
      <c r="C5" s="57"/>
    </row>
    <row r="6" spans="1:3" ht="13.5" customHeight="1" x14ac:dyDescent="0.25">
      <c r="A6" s="2"/>
      <c r="B6" s="14"/>
      <c r="C6" s="3"/>
    </row>
    <row r="7" spans="1:3" x14ac:dyDescent="0.25">
      <c r="A7" s="2" t="s">
        <v>31</v>
      </c>
      <c r="B7" s="14">
        <f>('FSLogix Calculator'!B$16*1024)/definitions!B30</f>
        <v>100000</v>
      </c>
      <c r="C7" s="3" t="s">
        <v>43</v>
      </c>
    </row>
    <row r="8" spans="1:3" x14ac:dyDescent="0.25">
      <c r="A8" s="2" t="s">
        <v>32</v>
      </c>
      <c r="B8" s="14">
        <f>('FSLogix Calculator'!B$16*1024)/definitions!B28</f>
        <v>25000</v>
      </c>
      <c r="C8" s="3" t="s">
        <v>44</v>
      </c>
    </row>
    <row r="9" spans="1:3" x14ac:dyDescent="0.25">
      <c r="A9" s="2" t="s">
        <v>33</v>
      </c>
      <c r="B9" s="14">
        <f>('FSLogix Calculator'!B$16*1024)/definitions!B26</f>
        <v>12500</v>
      </c>
      <c r="C9" s="3" t="s">
        <v>39</v>
      </c>
    </row>
    <row r="11" spans="1:3" x14ac:dyDescent="0.25">
      <c r="A11" s="2" t="s">
        <v>87</v>
      </c>
      <c r="B11" s="2">
        <f>('FSLogix Calculator'!B$17*'FSLogix Calculator'!B$8)/definitions!B$30</f>
        <v>40</v>
      </c>
      <c r="C11" s="3" t="s">
        <v>43</v>
      </c>
    </row>
    <row r="12" spans="1:3" x14ac:dyDescent="0.25">
      <c r="A12" s="2" t="s">
        <v>88</v>
      </c>
      <c r="B12" s="2">
        <f>('FSLogix Calculator'!B$17*'FSLogix Calculator'!B$8)/definitions!B28</f>
        <v>10</v>
      </c>
      <c r="C12" s="3" t="s">
        <v>44</v>
      </c>
    </row>
    <row r="13" spans="1:3" x14ac:dyDescent="0.25">
      <c r="A13" s="2" t="s">
        <v>89</v>
      </c>
      <c r="B13" s="2">
        <f>('FSLogix Calculator'!B$17*'FSLogix Calculator'!B$8)/definitions!B26</f>
        <v>5</v>
      </c>
      <c r="C13" s="3" t="s">
        <v>39</v>
      </c>
    </row>
    <row r="14" spans="1:3" x14ac:dyDescent="0.25">
      <c r="A14" s="2"/>
      <c r="B14" s="2"/>
      <c r="C14" s="3"/>
    </row>
    <row r="15" spans="1:3" x14ac:dyDescent="0.25">
      <c r="A15" s="2" t="s">
        <v>35</v>
      </c>
      <c r="B15" s="2">
        <f>CEILING(IF(B11&gt;B$3,definitions!B$31/B11,definitions!B$31/B$3),1)</f>
        <v>103</v>
      </c>
      <c r="C15" s="3" t="s">
        <v>43</v>
      </c>
    </row>
    <row r="16" spans="1:3" x14ac:dyDescent="0.25">
      <c r="A16" s="2" t="s">
        <v>36</v>
      </c>
      <c r="B16" s="2">
        <f>CEILING(IF(B12&gt;B$3,definitions!B$31/B12,definitions!B$31/B$3),1)</f>
        <v>274</v>
      </c>
      <c r="C16" s="3" t="s">
        <v>44</v>
      </c>
    </row>
    <row r="17" spans="1:3" ht="16.5" customHeight="1" x14ac:dyDescent="0.25">
      <c r="A17" s="2" t="s">
        <v>37</v>
      </c>
      <c r="B17" s="2">
        <f>CEILING(IF(B13&gt;B$3,definitions!B$31/B13,definitions!B$31/B$3),1)</f>
        <v>274</v>
      </c>
      <c r="C17" s="3" t="s">
        <v>39</v>
      </c>
    </row>
    <row r="18" spans="1:3" ht="13.5" customHeight="1" x14ac:dyDescent="0.25">
      <c r="A18" s="2"/>
      <c r="B18" s="2"/>
      <c r="C18" s="3"/>
    </row>
    <row r="19" spans="1:3" ht="13.5" customHeight="1" x14ac:dyDescent="0.25">
      <c r="A19" s="2" t="s">
        <v>81</v>
      </c>
      <c r="B19" s="14" t="str">
        <f>IF(B$2&gt;B7,"Capacity","Bandwidth")</f>
        <v>Bandwidth</v>
      </c>
      <c r="C19" s="3" t="s">
        <v>43</v>
      </c>
    </row>
    <row r="20" spans="1:3" ht="13.5" customHeight="1" x14ac:dyDescent="0.25">
      <c r="A20" s="2" t="s">
        <v>82</v>
      </c>
      <c r="B20" s="14" t="str">
        <f>IF(B$2&gt;B8,"Capacity","Bandwidth")</f>
        <v>Capacity</v>
      </c>
      <c r="C20" s="3" t="s">
        <v>44</v>
      </c>
    </row>
    <row r="21" spans="1:3" ht="13.5" customHeight="1" x14ac:dyDescent="0.25">
      <c r="A21" s="2" t="s">
        <v>83</v>
      </c>
      <c r="B21" s="14" t="str">
        <f>IF(B$2&gt;B9,"Capacity","Bandwidth")</f>
        <v>Capacity</v>
      </c>
      <c r="C21" s="3" t="s">
        <v>39</v>
      </c>
    </row>
    <row r="22" spans="1:3" ht="13.5" customHeight="1" x14ac:dyDescent="0.25">
      <c r="A22" s="2"/>
      <c r="B22" s="2"/>
      <c r="C22" s="3"/>
    </row>
    <row r="23" spans="1:3" ht="13.5" customHeight="1" x14ac:dyDescent="0.25">
      <c r="A23" s="2" t="s">
        <v>84</v>
      </c>
      <c r="B23" s="14">
        <f>IF(B$2&gt;B7,B$2,B7)</f>
        <v>100000</v>
      </c>
      <c r="C23" s="3" t="s">
        <v>43</v>
      </c>
    </row>
    <row r="24" spans="1:3" ht="13.5" customHeight="1" x14ac:dyDescent="0.25">
      <c r="A24" s="2" t="s">
        <v>85</v>
      </c>
      <c r="B24" s="14">
        <f>IF(B$2&gt;B8,B$2,B8)</f>
        <v>37500</v>
      </c>
      <c r="C24" s="3" t="s">
        <v>44</v>
      </c>
    </row>
    <row r="25" spans="1:3" ht="13.5" customHeight="1" x14ac:dyDescent="0.25">
      <c r="A25" s="2" t="s">
        <v>86</v>
      </c>
      <c r="B25" s="14">
        <f>IF(B$2&gt;B9,B$2,B9)</f>
        <v>37500</v>
      </c>
      <c r="C25" s="3" t="s">
        <v>39</v>
      </c>
    </row>
    <row r="26" spans="1:3" ht="13.5" customHeight="1" x14ac:dyDescent="0.25">
      <c r="A26" s="2"/>
      <c r="B26" s="2"/>
      <c r="C26" s="3"/>
    </row>
    <row r="27" spans="1:3" ht="13.5" customHeight="1" x14ac:dyDescent="0.25">
      <c r="A27" s="2" t="s">
        <v>75</v>
      </c>
      <c r="B27" s="14" t="str">
        <f>IF(B23&gt;definitions!B$31,B19,"Capacity Pool Minimum Size")</f>
        <v>Bandwidth</v>
      </c>
      <c r="C27" s="3" t="s">
        <v>43</v>
      </c>
    </row>
    <row r="28" spans="1:3" ht="13.5" customHeight="1" x14ac:dyDescent="0.25">
      <c r="A28" s="2" t="s">
        <v>76</v>
      </c>
      <c r="B28" s="14" t="str">
        <f>IF(B24&gt;definitions!B$31,B20,"Capacity Pool Minimum Size")</f>
        <v>Capacity</v>
      </c>
      <c r="C28" s="3" t="s">
        <v>44</v>
      </c>
    </row>
    <row r="29" spans="1:3" ht="13.5" customHeight="1" x14ac:dyDescent="0.25">
      <c r="A29" s="2" t="s">
        <v>77</v>
      </c>
      <c r="B29" s="14" t="str">
        <f>IF(B25&gt;definitions!B$31,B21,"Capacity Pool Minimum Size")</f>
        <v>Capacity</v>
      </c>
      <c r="C29" s="3" t="s">
        <v>39</v>
      </c>
    </row>
    <row r="30" spans="1:3" ht="13.5" customHeight="1" x14ac:dyDescent="0.25">
      <c r="A30" s="2"/>
      <c r="B30" s="2"/>
      <c r="C30" s="3"/>
    </row>
    <row r="31" spans="1:3" ht="13.5" customHeight="1" x14ac:dyDescent="0.25">
      <c r="A31" s="2" t="s">
        <v>78</v>
      </c>
      <c r="B31" s="14">
        <f>IF(B23&gt;definitions!B$31,B23,definitions!B$31)</f>
        <v>100000</v>
      </c>
      <c r="C31" s="3" t="s">
        <v>43</v>
      </c>
    </row>
    <row r="32" spans="1:3" ht="13.5" customHeight="1" x14ac:dyDescent="0.25">
      <c r="A32" s="2" t="s">
        <v>79</v>
      </c>
      <c r="B32" s="14">
        <f>IF(B24&gt;definitions!B$31,B24,definitions!B$31)</f>
        <v>37500</v>
      </c>
      <c r="C32" s="3" t="s">
        <v>44</v>
      </c>
    </row>
    <row r="33" spans="1:5" ht="13.5" customHeight="1" x14ac:dyDescent="0.25">
      <c r="A33" s="2" t="s">
        <v>80</v>
      </c>
      <c r="B33" s="14">
        <f>IF(B25&gt;definitions!B$31,B25,definitions!B$31)</f>
        <v>37500</v>
      </c>
      <c r="C33" s="3" t="s">
        <v>39</v>
      </c>
    </row>
    <row r="34" spans="1:5" ht="13.5" customHeight="1" x14ac:dyDescent="0.25">
      <c r="A34" s="2"/>
      <c r="B34" s="14"/>
      <c r="C34" s="3"/>
    </row>
    <row r="35" spans="1:5" ht="13.5" customHeight="1" x14ac:dyDescent="0.25">
      <c r="A35" s="2" t="s">
        <v>133</v>
      </c>
      <c r="B35" s="14" t="str">
        <f>IF(MIN(B31:B33)&gt;definitions!B24,"No","Yes")</f>
        <v>Yes</v>
      </c>
      <c r="C35" s="3" t="s">
        <v>158</v>
      </c>
    </row>
    <row r="36" spans="1:5" ht="13.5" customHeight="1" x14ac:dyDescent="0.25">
      <c r="A36" s="2" t="s">
        <v>135</v>
      </c>
      <c r="B36" s="2" t="str">
        <f>IF('FSLogix Calculator'!B5&gt;('FSLogix Calculator'!G27),"No","Yes")</f>
        <v>Yes</v>
      </c>
      <c r="C36" s="57" t="s">
        <v>158</v>
      </c>
      <c r="D36" s="3"/>
      <c r="E36" s="3"/>
    </row>
    <row r="37" spans="1:5" ht="13.5" customHeight="1" x14ac:dyDescent="0.25">
      <c r="A37" s="2"/>
      <c r="B37" s="2"/>
      <c r="C37" s="57"/>
      <c r="D37" s="57"/>
      <c r="E37" s="57"/>
    </row>
    <row r="38" spans="1:5" ht="13.5" customHeight="1" x14ac:dyDescent="0.25">
      <c r="A38" s="2" t="s">
        <v>169</v>
      </c>
      <c r="B38" s="23">
        <f>IF((B31&gt;definitions!B24),99999,B31*definitions!B$29)*(IF('FSLogix Calculator'!B2="yes",definitions!B37,1))</f>
        <v>3571.4285714285711</v>
      </c>
      <c r="C38" s="3" t="s">
        <v>43</v>
      </c>
      <c r="D38" s="3"/>
      <c r="E38" s="3"/>
    </row>
    <row r="39" spans="1:5" ht="13.5" customHeight="1" x14ac:dyDescent="0.25">
      <c r="A39" s="2" t="s">
        <v>170</v>
      </c>
      <c r="B39" s="15">
        <f>IF((B32&gt;definitions!B24),99999,B32*definitions!B$27)*(IF('FSLogix Calculator'!B2="yes",definitions!B37,1))</f>
        <v>2678.5714285714284</v>
      </c>
      <c r="C39" s="3" t="s">
        <v>44</v>
      </c>
      <c r="D39" s="3"/>
      <c r="E39" s="3"/>
    </row>
    <row r="40" spans="1:5" ht="13.5" customHeight="1" x14ac:dyDescent="0.25">
      <c r="A40" s="2" t="s">
        <v>171</v>
      </c>
      <c r="B40" s="15">
        <f>IF((B33&gt;definitions!B24),99999,(B33*definitions!B$25))*(IF('FSLogix Calculator'!B2="yes",definitions!B37,1))</f>
        <v>3571.4285714285711</v>
      </c>
      <c r="C40" s="3" t="s">
        <v>39</v>
      </c>
      <c r="D40" s="3"/>
      <c r="E40" s="3"/>
    </row>
    <row r="41" spans="1:5" ht="13.5" customHeight="1" x14ac:dyDescent="0.25">
      <c r="A41" s="2"/>
      <c r="B41" s="15"/>
      <c r="C41" s="3"/>
      <c r="D41" s="3"/>
      <c r="E41" s="3"/>
    </row>
    <row r="42" spans="1:5" ht="13.5" customHeight="1" x14ac:dyDescent="0.25">
      <c r="A42" s="2" t="s">
        <v>172</v>
      </c>
      <c r="B42" s="15">
        <f>(definitions!B29*(IF(B2&lt;definitions!B31,definitions!B31,B2)))*(IF('FSLogix Calculator'!B2="yes",definitions!B38,0))</f>
        <v>4285.7142857142853</v>
      </c>
      <c r="C42" s="57" t="s">
        <v>43</v>
      </c>
      <c r="D42" s="57"/>
      <c r="E42" s="57"/>
    </row>
    <row r="43" spans="1:5" ht="13.5" customHeight="1" x14ac:dyDescent="0.25">
      <c r="A43" s="2" t="s">
        <v>173</v>
      </c>
      <c r="B43" s="15">
        <f>(definitions!B27*(IF(B2&lt;definitions!B31,definitions!B31,B2)))*(IF('FSLogix Calculator'!B2="yes",definitions!B38,0))</f>
        <v>8571.4285714285706</v>
      </c>
      <c r="C43" s="57" t="s">
        <v>44</v>
      </c>
      <c r="D43" s="57"/>
      <c r="E43" s="57"/>
    </row>
    <row r="44" spans="1:5" ht="13.5" customHeight="1" x14ac:dyDescent="0.25">
      <c r="A44" s="2" t="s">
        <v>174</v>
      </c>
      <c r="B44" s="15">
        <f>(definitions!B25*(IF(B2&lt;definitions!B31,definitions!B31,B2)))*(IF('FSLogix Calculator'!B2="yes",definitions!B38,0))</f>
        <v>11428.571428571428</v>
      </c>
      <c r="C44" s="57" t="s">
        <v>39</v>
      </c>
      <c r="D44" s="57"/>
      <c r="E44" s="57"/>
    </row>
    <row r="45" spans="1:5" ht="13.5" customHeight="1" x14ac:dyDescent="0.25">
      <c r="A45" s="2"/>
      <c r="B45" s="15"/>
      <c r="C45" s="57"/>
      <c r="D45" s="57"/>
      <c r="E45" s="57"/>
    </row>
    <row r="46" spans="1:5" ht="13.5" customHeight="1" x14ac:dyDescent="0.25">
      <c r="A46" s="2" t="s">
        <v>163</v>
      </c>
      <c r="B46" s="15">
        <f>B38+B42</f>
        <v>7857.1428571428569</v>
      </c>
      <c r="C46" s="57" t="s">
        <v>43</v>
      </c>
      <c r="D46" s="57"/>
      <c r="E46" s="57"/>
    </row>
    <row r="47" spans="1:5" ht="13.5" customHeight="1" x14ac:dyDescent="0.25">
      <c r="A47" s="2" t="s">
        <v>164</v>
      </c>
      <c r="B47" s="15">
        <f>B43+B39</f>
        <v>11250</v>
      </c>
      <c r="C47" s="57" t="s">
        <v>44</v>
      </c>
      <c r="D47" s="57"/>
      <c r="E47" s="57"/>
    </row>
    <row r="48" spans="1:5" ht="13.5" customHeight="1" x14ac:dyDescent="0.25">
      <c r="A48" s="2" t="s">
        <v>165</v>
      </c>
      <c r="B48" s="15">
        <f>B44+B40</f>
        <v>14999.999999999998</v>
      </c>
      <c r="C48" s="57" t="s">
        <v>39</v>
      </c>
      <c r="D48" s="57"/>
      <c r="E48" s="57"/>
    </row>
    <row r="49" spans="1:5" ht="13.5" customHeight="1" x14ac:dyDescent="0.25">
      <c r="A49" s="2"/>
      <c r="B49" s="15"/>
      <c r="C49" s="57"/>
      <c r="D49" s="57"/>
      <c r="E49" s="57"/>
    </row>
    <row r="50" spans="1:5" ht="13.5" customHeight="1" x14ac:dyDescent="0.25">
      <c r="A50" s="2" t="s">
        <v>48</v>
      </c>
      <c r="B50" s="14">
        <f>B31/'FSLogix Calculator'!B$5</f>
        <v>40</v>
      </c>
      <c r="C50" s="3" t="s">
        <v>43</v>
      </c>
      <c r="D50" s="3"/>
      <c r="E50" s="3"/>
    </row>
    <row r="51" spans="1:5" ht="13.5" customHeight="1" x14ac:dyDescent="0.25">
      <c r="A51" s="2" t="s">
        <v>49</v>
      </c>
      <c r="B51" s="14">
        <f>B32/'FSLogix Calculator'!B$5</f>
        <v>15</v>
      </c>
      <c r="C51" s="3" t="s">
        <v>44</v>
      </c>
      <c r="D51" s="3"/>
      <c r="E51" s="3"/>
    </row>
    <row r="52" spans="1:5" ht="13.5" customHeight="1" x14ac:dyDescent="0.25">
      <c r="A52" s="2" t="s">
        <v>50</v>
      </c>
      <c r="B52" s="14">
        <f>B33/'FSLogix Calculator'!B$5</f>
        <v>15</v>
      </c>
      <c r="C52" s="3" t="s">
        <v>39</v>
      </c>
      <c r="D52" s="3"/>
      <c r="E52" s="3"/>
    </row>
    <row r="53" spans="1:5" ht="25.5" customHeight="1" x14ac:dyDescent="0.25">
      <c r="A53" s="2"/>
      <c r="B53" s="14"/>
      <c r="C53" s="3"/>
      <c r="D53" s="3"/>
      <c r="E53" s="3"/>
    </row>
    <row r="54" spans="1:5" ht="13.5" customHeight="1" x14ac:dyDescent="0.25">
      <c r="A54" s="2" t="s">
        <v>40</v>
      </c>
      <c r="B54" s="25" t="e">
        <f>IF(B46=definitions!A$23,B46, B46/'FSLogix Calculator'!B$30)</f>
        <v>#DIV/0!</v>
      </c>
      <c r="C54" s="3" t="s">
        <v>43</v>
      </c>
      <c r="D54" s="3"/>
      <c r="E54" s="3"/>
    </row>
    <row r="55" spans="1:5" ht="13.5" customHeight="1" x14ac:dyDescent="0.25">
      <c r="A55" s="2" t="s">
        <v>41</v>
      </c>
      <c r="B55" s="25" t="e">
        <f>IF(B47=definitions!A$23,B47, B47/'FSLogix Calculator'!B$30)</f>
        <v>#DIV/0!</v>
      </c>
      <c r="C55" s="3" t="s">
        <v>44</v>
      </c>
      <c r="D55" s="3"/>
      <c r="E55" s="3"/>
    </row>
    <row r="56" spans="1:5" x14ac:dyDescent="0.25">
      <c r="A56" s="2" t="s">
        <v>42</v>
      </c>
      <c r="B56" s="25" t="e">
        <f>IF(B48=definitions!A$23,B48, B48/'FSLogix Calculator'!B$30)</f>
        <v>#DIV/0!</v>
      </c>
      <c r="C56" s="3" t="s">
        <v>39</v>
      </c>
      <c r="D56" s="3"/>
      <c r="E56" s="4"/>
    </row>
    <row r="57" spans="1:5" x14ac:dyDescent="0.25">
      <c r="A57" s="3"/>
      <c r="B57" s="14"/>
      <c r="C57" s="3"/>
      <c r="D57" s="3"/>
    </row>
    <row r="58" spans="1:5" x14ac:dyDescent="0.25">
      <c r="A58" s="2" t="s">
        <v>45</v>
      </c>
      <c r="B58" s="25" t="e">
        <f>IF(B46=definitions!A23,B46,B46/'FSLogix Calculator'!B$38)</f>
        <v>#DIV/0!</v>
      </c>
      <c r="C58" s="3" t="s">
        <v>43</v>
      </c>
      <c r="D58" s="3"/>
    </row>
    <row r="59" spans="1:5" x14ac:dyDescent="0.25">
      <c r="A59" s="2" t="s">
        <v>46</v>
      </c>
      <c r="B59" s="25" t="e">
        <f>IF(B47=definitions!A23,B47,B47/'FSLogix Calculator'!B$38)</f>
        <v>#DIV/0!</v>
      </c>
      <c r="C59" s="3" t="s">
        <v>44</v>
      </c>
      <c r="D59" s="3"/>
    </row>
    <row r="60" spans="1:5" x14ac:dyDescent="0.25">
      <c r="A60" s="2" t="s">
        <v>47</v>
      </c>
      <c r="B60" s="25" t="e">
        <f>IF(B48=definitions!A23,B48,B48/'FSLogix Calculator'!B$38)</f>
        <v>#DIV/0!</v>
      </c>
      <c r="C60" s="3" t="s">
        <v>39</v>
      </c>
      <c r="D60" s="3"/>
    </row>
    <row r="62" spans="1:5" x14ac:dyDescent="0.25">
      <c r="A62" s="71" t="s">
        <v>93</v>
      </c>
      <c r="B62">
        <f>FLOOR(('Azure NetApp Files Calcuations'!B4*1024/'FSLogix Calculator'!B17)*(1/'FSLogix Calculator'!B8),1)</f>
        <v>3516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5F820-7E22-48AB-88D3-5118FCDA0E46}">
  <sheetPr codeName="Sheet3"/>
  <dimension ref="A1:C18"/>
  <sheetViews>
    <sheetView workbookViewId="0">
      <selection activeCell="C5" sqref="C5"/>
    </sheetView>
  </sheetViews>
  <sheetFormatPr defaultRowHeight="15" x14ac:dyDescent="0.25"/>
  <cols>
    <col min="1" max="1" width="83.28515625" bestFit="1" customWidth="1"/>
    <col min="2" max="2" width="58.85546875" customWidth="1"/>
    <col min="3" max="3" width="64" bestFit="1" customWidth="1"/>
  </cols>
  <sheetData>
    <row r="1" spans="1:3" x14ac:dyDescent="0.25">
      <c r="B1" t="s">
        <v>53</v>
      </c>
      <c r="C1" t="s">
        <v>52</v>
      </c>
    </row>
    <row r="2" spans="1:3" x14ac:dyDescent="0.25">
      <c r="A2" t="s">
        <v>20</v>
      </c>
      <c r="B2" s="35" t="str">
        <f>IF('FSLogix Calculator'!B18&gt;definitions!B$42,"Required I/O rate exceeds documented single storage account 10,000 op rate upper limit","Yes")</f>
        <v>Required I/O rate exceeds documented single storage account 10,000 op rate upper limit</v>
      </c>
      <c r="C2" s="36" t="str">
        <f>IF('FSLogix Calculator'!B$18&gt;definitions!B$42,"No, must configure additional storage accounts","Yes")</f>
        <v>No, must configure additional storage accounts</v>
      </c>
    </row>
    <row r="3" spans="1:3" x14ac:dyDescent="0.25">
      <c r="A3" t="s">
        <v>21</v>
      </c>
      <c r="B3" s="37" t="str">
        <f>IF(('FSLogix Calculator'!B16)&gt;definitions!B$43,"Required bandwidth exceeds documented single storage account 300MiB/s  upper limit","Yes")</f>
        <v>Required bandwidth exceeds documented single storage account 300MiB/s  upper limit</v>
      </c>
      <c r="C3" s="36" t="str">
        <f>IF(('FSLogix Calculator'!B16)&gt;definitions!B$43,"No, must configure additional storage accounts","Yes")</f>
        <v>No, must configure additional storage accounts</v>
      </c>
    </row>
    <row r="4" spans="1:3" x14ac:dyDescent="0.25">
      <c r="A4" t="s">
        <v>38</v>
      </c>
      <c r="B4" s="35" t="str">
        <f>IF('FSLogix Calculator'!B19&gt;102400,"Required capacity exceeds documented single storage account 100TiB upper limit","Yes")</f>
        <v>Yes</v>
      </c>
      <c r="C4" s="36" t="str">
        <f>IF('FSLogix Calculator'!B19&gt;102400,"No, must configure additional storage accounts","Yes")</f>
        <v>Yes</v>
      </c>
    </row>
    <row r="5" spans="1:3" x14ac:dyDescent="0.25">
      <c r="A5" t="s">
        <v>19</v>
      </c>
      <c r="B5" s="36" t="str">
        <f>IF(('FSLogix Calculator'!B$6*'FSLogix Calculator'!B$5*'FSLogix Calculator'!B$8)&gt;definitions!B$44,"Required I/O rate exceeds documented single storage account 100,000 op rate upper limit","Yes")</f>
        <v>Yes</v>
      </c>
      <c r="C5" s="36" t="str">
        <f>IF(('FSLogix Calculator'!B$6*'FSLogix Calculator'!B$5*'FSLogix Calculator'!B$8)&gt;definitions!B$44,"No","Yes")</f>
        <v>Yes</v>
      </c>
    </row>
    <row r="6" spans="1:3" x14ac:dyDescent="0.25">
      <c r="A6" t="s">
        <v>96</v>
      </c>
      <c r="B6" s="36" t="str">
        <f>IF(IF(('FSLogix Calculator'!$B$6*'FSLogix Calculator'!$B$5*'FSLogix Calculator'!$B$8)&gt;('FSLogix Calculator'!$B$7*'FSLogix Calculator'!$B$5),'FSLogix Calculator'!$B$6*'FSLogix Calculator'!$B$5*'FSLogix Calculator'!$B$8,'FSLogix Calculator'!$B$7*'FSLogix Calculator'!$B$5)&gt;definitions!B46,"Required capacity exceeds documented 100TiB upper limit","Yes")</f>
        <v>Yes</v>
      </c>
      <c r="C6" s="36" t="str">
        <f>IF(IF(('FSLogix Calculator'!$B$6*'FSLogix Calculator'!$B$5*'FSLogix Calculator'!$B$8)&gt;('FSLogix Calculator'!$B$7*'FSLogix Calculator'!$B$5),'FSLogix Calculator'!$B$6*'FSLogix Calculator'!$B$5*'FSLogix Calculator'!$B$8,'FSLogix Calculator'!$B$7*'FSLogix Calculator'!$B$5)&gt;definitions!B46,"No","Yes")</f>
        <v>Yes</v>
      </c>
    </row>
    <row r="7" spans="1:3" ht="13.5" customHeight="1" x14ac:dyDescent="0.25">
      <c r="A7" s="2"/>
      <c r="B7" s="14"/>
      <c r="C7" s="3"/>
    </row>
    <row r="8" spans="1:3" x14ac:dyDescent="0.25">
      <c r="A8" t="s">
        <v>146</v>
      </c>
      <c r="B8" s="14">
        <f>(('FSLogix Calculator'!B16-('FSLogix Calculator'!B16*(1-'FSLogix Calculator'!B11)))-definitions!B47)/definitions!B48</f>
        <v>4208.3333333333339</v>
      </c>
    </row>
    <row r="9" spans="1:3" x14ac:dyDescent="0.25">
      <c r="A9" t="s">
        <v>147</v>
      </c>
      <c r="B9" s="14">
        <f>(('FSLogix Calculator'!B16-('FSLogix Calculator'!B16*'FSLogix Calculator'!B11))-definitions!B49)/definitions!B50</f>
        <v>30250</v>
      </c>
    </row>
    <row r="10" spans="1:3" x14ac:dyDescent="0.25">
      <c r="A10" t="s">
        <v>149</v>
      </c>
      <c r="B10" s="14">
        <f>IF(B8&lt;100,100,B8)</f>
        <v>4208.3333333333339</v>
      </c>
      <c r="C10" t="s">
        <v>130</v>
      </c>
    </row>
    <row r="11" spans="1:3" x14ac:dyDescent="0.25">
      <c r="A11" t="s">
        <v>150</v>
      </c>
      <c r="B11" s="14">
        <f>IF(B9&lt;100,100,B9)</f>
        <v>30250</v>
      </c>
      <c r="C11" t="s">
        <v>131</v>
      </c>
    </row>
    <row r="12" spans="1:3" x14ac:dyDescent="0.25">
      <c r="A12" t="s">
        <v>148</v>
      </c>
      <c r="B12" t="str">
        <f>_xlfn.XLOOKUP(MAX(B10:B11),B10:B11,C10:C11)</f>
        <v>Write Bandwidth</v>
      </c>
      <c r="C12" s="14">
        <f>MAX(B10:B11)</f>
        <v>30250</v>
      </c>
    </row>
    <row r="13" spans="1:3" x14ac:dyDescent="0.25">
      <c r="A13" t="s">
        <v>152</v>
      </c>
      <c r="B13" t="str">
        <f>IF(B9&gt;'FSLogix Calculator'!B5*'FSLogix Calculator'!B6*'FSLogix Calculator'!B8,"Bandwidth Need","I/O Need")</f>
        <v>I/O Need</v>
      </c>
      <c r="C13" s="14">
        <f>IF(B9&gt;'FSLogix Calculator'!B5*'FSLogix Calculator'!B6*'FSLogix Calculator'!B8,C$12,'FSLogix Calculator'!B5*'FSLogix Calculator'!B6*'FSLogix Calculator'!B8)</f>
        <v>50000</v>
      </c>
    </row>
    <row r="14" spans="1:3" x14ac:dyDescent="0.25">
      <c r="A14" t="s">
        <v>151</v>
      </c>
      <c r="B14" t="str">
        <f>IF(C13&gt;'FSLogix Calculator'!B19,'Azure Files Calculations'!B13,"Profile Size")</f>
        <v>I/O Need</v>
      </c>
      <c r="C14" s="14">
        <f>IF(C13&gt;'FSLogix Calculator'!B19,'Azure Files Calculations'!C13,'FSLogix Calculator'!B19)</f>
        <v>50000</v>
      </c>
    </row>
    <row r="17" spans="2:2" x14ac:dyDescent="0.25">
      <c r="B17" s="69"/>
    </row>
    <row r="18" spans="2:2" x14ac:dyDescent="0.25">
      <c r="B18" s="69"/>
    </row>
  </sheetData>
  <conditionalFormatting sqref="B3:B4">
    <cfRule type="cellIs" dxfId="19" priority="15" operator="equal">
      <formula>"Yes"</formula>
    </cfRule>
    <cfRule type="cellIs" dxfId="18" priority="16" operator="equal">
      <formula>"No: 300MiB/s is Maximum Supported Load"</formula>
    </cfRule>
  </conditionalFormatting>
  <conditionalFormatting sqref="B2">
    <cfRule type="containsText" dxfId="17" priority="14" operator="containsText" text="No">
      <formula>NOT(ISERROR(SEARCH("No",B2)))</formula>
    </cfRule>
  </conditionalFormatting>
  <conditionalFormatting sqref="B2:B4">
    <cfRule type="containsText" dxfId="16" priority="4" operator="containsText" text="Yes">
      <formula>NOT(ISERROR(SEARCH("Yes",B2)))</formula>
    </cfRule>
    <cfRule type="containsText" dxfId="15" priority="5" operator="containsText" text="Required">
      <formula>NOT(ISERROR(SEARCH("Required",B2)))</formula>
    </cfRule>
    <cfRule type="cellIs" dxfId="14" priority="13" operator="equal">
      <formula>"Yes"</formula>
    </cfRule>
  </conditionalFormatting>
  <conditionalFormatting sqref="B4">
    <cfRule type="cellIs" dxfId="13" priority="12" operator="equal">
      <formula>"""No: 102,400GiB is Maximum Supported Capacity"""</formula>
    </cfRule>
  </conditionalFormatting>
  <conditionalFormatting sqref="B4">
    <cfRule type="cellIs" dxfId="12" priority="9" operator="equal">
      <formula>"No"</formula>
    </cfRule>
    <cfRule type="cellIs" dxfId="11" priority="11" operator="equal">
      <formula>"No: 102,400GiB is Maximum Supported Capacity"</formula>
    </cfRule>
  </conditionalFormatting>
  <conditionalFormatting sqref="B3">
    <cfRule type="cellIs" dxfId="10" priority="10" operator="equal">
      <formula>"No"</formula>
    </cfRule>
  </conditionalFormatting>
  <conditionalFormatting sqref="C2:C4">
    <cfRule type="containsText" dxfId="9" priority="8" operator="containsText" text="No: Required ">
      <formula>NOT(ISERROR(SEARCH("No: Required ",C2)))</formula>
    </cfRule>
  </conditionalFormatting>
  <conditionalFormatting sqref="C3:C4">
    <cfRule type="containsText" dxfId="8" priority="7" operator="containsText" text="No:  Required ">
      <formula>NOT(ISERROR(SEARCH("No:  Required ",C3)))</formula>
    </cfRule>
  </conditionalFormatting>
  <conditionalFormatting sqref="C4">
    <cfRule type="containsText" dxfId="7" priority="6" operator="containsText" text="No:">
      <formula>NOT(ISERROR(SEARCH("No:",C4)))</formula>
    </cfRule>
  </conditionalFormatting>
  <conditionalFormatting sqref="C2:C6">
    <cfRule type="cellIs" dxfId="6" priority="3" operator="equal">
      <formula>"Yes"</formula>
    </cfRule>
  </conditionalFormatting>
  <conditionalFormatting sqref="B5:B6">
    <cfRule type="cellIs" dxfId="5" priority="2" operator="equal">
      <formula>"Yes"</formula>
    </cfRule>
  </conditionalFormatting>
  <conditionalFormatting sqref="B2:C6">
    <cfRule type="containsText" dxfId="4" priority="1" operator="containsText" text="Required">
      <formula>NOT(ISERROR(SEARCH("Required",B2)))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4658-AC29-4B53-B5B1-54B6D412C541}">
  <sheetPr codeName="Sheet4"/>
  <dimension ref="A1:F51"/>
  <sheetViews>
    <sheetView topLeftCell="A11" workbookViewId="0">
      <selection activeCell="F4" sqref="F4"/>
    </sheetView>
  </sheetViews>
  <sheetFormatPr defaultRowHeight="15" x14ac:dyDescent="0.25"/>
  <cols>
    <col min="1" max="1" width="54.85546875" bestFit="1" customWidth="1"/>
    <col min="2" max="2" width="25.5703125" bestFit="1" customWidth="1"/>
    <col min="3" max="3" width="34.5703125" bestFit="1" customWidth="1"/>
    <col min="4" max="4" width="27" bestFit="1" customWidth="1"/>
    <col min="6" max="6" width="9.42578125" bestFit="1" customWidth="1"/>
  </cols>
  <sheetData>
    <row r="1" spans="1:6" x14ac:dyDescent="0.25">
      <c r="A1" t="s">
        <v>2</v>
      </c>
      <c r="B1" t="s">
        <v>4</v>
      </c>
      <c r="C1" t="s">
        <v>51</v>
      </c>
      <c r="D1" t="s">
        <v>57</v>
      </c>
      <c r="E1" t="s">
        <v>127</v>
      </c>
      <c r="F1" t="s">
        <v>177</v>
      </c>
    </row>
    <row r="2" spans="1:6" x14ac:dyDescent="0.25">
      <c r="A2">
        <v>16</v>
      </c>
      <c r="B2">
        <v>4</v>
      </c>
      <c r="C2">
        <v>1</v>
      </c>
      <c r="D2" s="45">
        <v>0.25</v>
      </c>
      <c r="E2" s="45">
        <v>0.4</v>
      </c>
      <c r="F2" t="s">
        <v>178</v>
      </c>
    </row>
    <row r="3" spans="1:6" x14ac:dyDescent="0.25">
      <c r="A3">
        <v>32</v>
      </c>
      <c r="B3">
        <v>8</v>
      </c>
      <c r="C3">
        <v>2</v>
      </c>
      <c r="D3" s="45">
        <v>0.33</v>
      </c>
      <c r="E3" s="45">
        <v>0.5</v>
      </c>
      <c r="F3" t="s">
        <v>179</v>
      </c>
    </row>
    <row r="4" spans="1:6" x14ac:dyDescent="0.25">
      <c r="A4">
        <v>64</v>
      </c>
      <c r="B4">
        <v>15</v>
      </c>
      <c r="C4">
        <v>5</v>
      </c>
      <c r="D4" s="45">
        <v>0.5</v>
      </c>
      <c r="E4" s="45">
        <v>0.6</v>
      </c>
    </row>
    <row r="5" spans="1:6" x14ac:dyDescent="0.25">
      <c r="B5">
        <v>20</v>
      </c>
      <c r="C5">
        <v>10</v>
      </c>
      <c r="D5" s="45">
        <v>0.66</v>
      </c>
      <c r="E5" s="45"/>
    </row>
    <row r="6" spans="1:6" x14ac:dyDescent="0.25">
      <c r="B6">
        <v>25</v>
      </c>
      <c r="C6">
        <v>15</v>
      </c>
      <c r="D6" s="45">
        <v>0.75</v>
      </c>
      <c r="E6" s="45"/>
    </row>
    <row r="7" spans="1:6" x14ac:dyDescent="0.25">
      <c r="B7">
        <v>60</v>
      </c>
      <c r="C7">
        <v>20</v>
      </c>
      <c r="D7" s="45">
        <v>1</v>
      </c>
      <c r="E7" s="45"/>
    </row>
    <row r="8" spans="1:6" x14ac:dyDescent="0.25">
      <c r="B8">
        <v>120</v>
      </c>
      <c r="C8">
        <v>25</v>
      </c>
      <c r="D8" s="45"/>
      <c r="E8" s="45"/>
    </row>
    <row r="9" spans="1:6" x14ac:dyDescent="0.25">
      <c r="C9">
        <v>30</v>
      </c>
      <c r="D9" s="45"/>
      <c r="E9" s="45"/>
    </row>
    <row r="10" spans="1:6" x14ac:dyDescent="0.25">
      <c r="C10">
        <v>35</v>
      </c>
      <c r="D10" s="45"/>
      <c r="E10" s="45"/>
    </row>
    <row r="11" spans="1:6" x14ac:dyDescent="0.25">
      <c r="C11">
        <v>40</v>
      </c>
      <c r="D11" s="45"/>
      <c r="E11" s="45"/>
    </row>
    <row r="12" spans="1:6" x14ac:dyDescent="0.25">
      <c r="C12">
        <v>45</v>
      </c>
      <c r="D12" s="45"/>
    </row>
    <row r="13" spans="1:6" x14ac:dyDescent="0.25">
      <c r="C13">
        <v>50</v>
      </c>
      <c r="D13" s="45"/>
    </row>
    <row r="14" spans="1:6" x14ac:dyDescent="0.25">
      <c r="D14" s="45"/>
    </row>
    <row r="15" spans="1:6" x14ac:dyDescent="0.25">
      <c r="D15" s="45"/>
    </row>
    <row r="16" spans="1:6" x14ac:dyDescent="0.25">
      <c r="D16" s="45"/>
    </row>
    <row r="17" spans="1:4" x14ac:dyDescent="0.25">
      <c r="D17" s="45"/>
    </row>
    <row r="18" spans="1:4" x14ac:dyDescent="0.25">
      <c r="D18" s="45"/>
    </row>
    <row r="19" spans="1:4" x14ac:dyDescent="0.25">
      <c r="D19" s="45"/>
    </row>
    <row r="20" spans="1:4" x14ac:dyDescent="0.25">
      <c r="D20" s="45"/>
    </row>
    <row r="21" spans="1:4" x14ac:dyDescent="0.25">
      <c r="D21" s="45"/>
    </row>
    <row r="22" spans="1:4" x14ac:dyDescent="0.25">
      <c r="A22" t="s">
        <v>22</v>
      </c>
      <c r="B22" t="s">
        <v>23</v>
      </c>
      <c r="D22" s="45"/>
    </row>
    <row r="23" spans="1:4" x14ac:dyDescent="0.25">
      <c r="A23" s="20" t="s">
        <v>155</v>
      </c>
      <c r="B23" s="2"/>
      <c r="D23" s="45"/>
    </row>
    <row r="24" spans="1:4" x14ac:dyDescent="0.25">
      <c r="A24" s="20" t="s">
        <v>62</v>
      </c>
      <c r="B24" s="14">
        <v>102400</v>
      </c>
      <c r="D24" s="45"/>
    </row>
    <row r="25" spans="1:4" x14ac:dyDescent="0.25">
      <c r="A25" s="20" t="s">
        <v>24</v>
      </c>
      <c r="B25" s="23">
        <v>0.4</v>
      </c>
      <c r="D25" s="45"/>
    </row>
    <row r="26" spans="1:4" x14ac:dyDescent="0.25">
      <c r="A26" s="20" t="s">
        <v>25</v>
      </c>
      <c r="B26" s="14">
        <v>128</v>
      </c>
      <c r="D26" s="45"/>
    </row>
    <row r="27" spans="1:4" x14ac:dyDescent="0.25">
      <c r="A27" s="20" t="s">
        <v>26</v>
      </c>
      <c r="B27" s="23">
        <v>0.3</v>
      </c>
      <c r="D27" s="45"/>
    </row>
    <row r="28" spans="1:4" x14ac:dyDescent="0.25">
      <c r="A28" s="20" t="s">
        <v>27</v>
      </c>
      <c r="B28" s="14">
        <v>64</v>
      </c>
      <c r="D28" s="45"/>
    </row>
    <row r="29" spans="1:4" x14ac:dyDescent="0.25">
      <c r="A29" s="20" t="s">
        <v>28</v>
      </c>
      <c r="B29" s="23">
        <v>0.15</v>
      </c>
      <c r="D29" s="45"/>
    </row>
    <row r="30" spans="1:4" x14ac:dyDescent="0.25">
      <c r="A30" s="20" t="s">
        <v>29</v>
      </c>
      <c r="B30" s="14">
        <v>16</v>
      </c>
      <c r="D30" s="45"/>
    </row>
    <row r="31" spans="1:4" x14ac:dyDescent="0.25">
      <c r="A31" s="20" t="s">
        <v>34</v>
      </c>
      <c r="B31" s="14">
        <v>4096</v>
      </c>
      <c r="D31" s="45"/>
    </row>
    <row r="32" spans="1:4" x14ac:dyDescent="0.25">
      <c r="A32" s="20" t="s">
        <v>0</v>
      </c>
      <c r="B32" s="14">
        <v>3600</v>
      </c>
      <c r="D32" s="45"/>
    </row>
    <row r="33" spans="1:4" x14ac:dyDescent="0.25">
      <c r="A33" s="20" t="s">
        <v>8</v>
      </c>
      <c r="B33" s="14">
        <v>12</v>
      </c>
      <c r="D33" s="45"/>
    </row>
    <row r="34" spans="1:4" x14ac:dyDescent="0.25">
      <c r="A34" s="20" t="s">
        <v>1</v>
      </c>
      <c r="B34" s="14">
        <v>52</v>
      </c>
    </row>
    <row r="35" spans="1:4" x14ac:dyDescent="0.25">
      <c r="A35" s="20" t="s">
        <v>159</v>
      </c>
      <c r="B35" s="14">
        <f>7*24</f>
        <v>168</v>
      </c>
    </row>
    <row r="36" spans="1:4" x14ac:dyDescent="0.25">
      <c r="A36" s="20" t="s">
        <v>160</v>
      </c>
      <c r="B36" s="14">
        <f>B35-'FSLogix Calculator'!B9</f>
        <v>128</v>
      </c>
    </row>
    <row r="37" spans="1:4" x14ac:dyDescent="0.25">
      <c r="A37" s="20" t="s">
        <v>161</v>
      </c>
      <c r="B37" s="75">
        <f>'FSLogix Calculator'!B9/B35</f>
        <v>0.23809523809523808</v>
      </c>
    </row>
    <row r="38" spans="1:4" x14ac:dyDescent="0.25">
      <c r="A38" s="20" t="s">
        <v>162</v>
      </c>
      <c r="B38" s="75">
        <f>B36/B35</f>
        <v>0.76190476190476186</v>
      </c>
    </row>
    <row r="39" spans="1:4" x14ac:dyDescent="0.25">
      <c r="A39" s="20" t="s">
        <v>9</v>
      </c>
      <c r="B39" s="23">
        <v>0.06</v>
      </c>
      <c r="C39" s="13"/>
    </row>
    <row r="40" spans="1:4" x14ac:dyDescent="0.25">
      <c r="A40" s="20" t="s">
        <v>11</v>
      </c>
      <c r="B40" s="24">
        <f>0.0015/10000</f>
        <v>1.4999999999999999E-7</v>
      </c>
    </row>
    <row r="41" spans="1:4" x14ac:dyDescent="0.25">
      <c r="A41" s="20" t="s">
        <v>10</v>
      </c>
      <c r="B41" s="23">
        <v>0.16</v>
      </c>
    </row>
    <row r="42" spans="1:4" x14ac:dyDescent="0.25">
      <c r="A42" s="20" t="s">
        <v>12</v>
      </c>
      <c r="B42" s="14">
        <v>10000</v>
      </c>
    </row>
    <row r="43" spans="1:4" x14ac:dyDescent="0.25">
      <c r="A43" s="20" t="s">
        <v>13</v>
      </c>
      <c r="B43" s="14">
        <v>300</v>
      </c>
    </row>
    <row r="44" spans="1:4" x14ac:dyDescent="0.25">
      <c r="A44" s="20" t="s">
        <v>14</v>
      </c>
      <c r="B44" s="14">
        <v>100000</v>
      </c>
    </row>
    <row r="45" spans="1:4" x14ac:dyDescent="0.25">
      <c r="A45" s="20" t="s">
        <v>94</v>
      </c>
      <c r="B45" s="14">
        <v>102400</v>
      </c>
    </row>
    <row r="46" spans="1:4" x14ac:dyDescent="0.25">
      <c r="A46" s="20" t="s">
        <v>95</v>
      </c>
      <c r="B46" s="14">
        <v>102400</v>
      </c>
    </row>
    <row r="47" spans="1:4" x14ac:dyDescent="0.25">
      <c r="A47" s="20" t="s">
        <v>142</v>
      </c>
      <c r="B47" s="14">
        <v>60</v>
      </c>
    </row>
    <row r="48" spans="1:4" x14ac:dyDescent="0.25">
      <c r="A48" s="20" t="s">
        <v>143</v>
      </c>
      <c r="B48" s="68">
        <v>0.06</v>
      </c>
    </row>
    <row r="49" spans="1:2" x14ac:dyDescent="0.25">
      <c r="A49" s="20" t="s">
        <v>144</v>
      </c>
      <c r="B49" s="14">
        <v>40</v>
      </c>
    </row>
    <row r="50" spans="1:2" x14ac:dyDescent="0.25">
      <c r="A50" s="20" t="s">
        <v>145</v>
      </c>
      <c r="B50" s="68">
        <v>0.04</v>
      </c>
    </row>
    <row r="51" spans="1:2" x14ac:dyDescent="0.25">
      <c r="A51" s="20" t="s">
        <v>99</v>
      </c>
      <c r="B51" s="25">
        <v>0.4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9B902-59E6-4153-97E0-22C91333C597}">
  <sheetPr codeName="Sheet5"/>
  <dimension ref="A1:AI12"/>
  <sheetViews>
    <sheetView topLeftCell="J1" workbookViewId="0">
      <selection activeCell="B50" sqref="B50"/>
    </sheetView>
  </sheetViews>
  <sheetFormatPr defaultRowHeight="15" x14ac:dyDescent="0.25"/>
  <cols>
    <col min="1" max="1" width="11.28515625" bestFit="1" customWidth="1"/>
    <col min="3" max="3" width="10.7109375" bestFit="1" customWidth="1"/>
    <col min="7" max="7" width="12.140625" bestFit="1" customWidth="1"/>
    <col min="14" max="14" width="18.28515625" bestFit="1" customWidth="1"/>
    <col min="18" max="18" width="12.140625" bestFit="1" customWidth="1"/>
    <col min="25" max="25" width="19.5703125" bestFit="1" customWidth="1"/>
  </cols>
  <sheetData>
    <row r="1" spans="1:35" x14ac:dyDescent="0.25">
      <c r="A1" t="s">
        <v>114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  <c r="M1" t="s">
        <v>126</v>
      </c>
      <c r="N1" t="s">
        <v>116</v>
      </c>
      <c r="O1" t="s">
        <v>117</v>
      </c>
      <c r="P1" t="s">
        <v>118</v>
      </c>
      <c r="Q1" t="s">
        <v>119</v>
      </c>
      <c r="R1" t="s">
        <v>120</v>
      </c>
      <c r="S1" t="s">
        <v>121</v>
      </c>
      <c r="T1" t="s">
        <v>122</v>
      </c>
      <c r="U1" t="s">
        <v>123</v>
      </c>
      <c r="V1" t="s">
        <v>124</v>
      </c>
      <c r="W1" t="s">
        <v>125</v>
      </c>
      <c r="X1" t="s">
        <v>126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</row>
    <row r="2" spans="1:35" x14ac:dyDescent="0.25">
      <c r="A2" t="s">
        <v>100</v>
      </c>
      <c r="B2" t="s">
        <v>101</v>
      </c>
      <c r="C2" t="s">
        <v>102</v>
      </c>
      <c r="D2">
        <v>9027</v>
      </c>
      <c r="E2">
        <v>564</v>
      </c>
      <c r="F2">
        <v>65536</v>
      </c>
      <c r="G2" s="45">
        <v>1</v>
      </c>
      <c r="H2">
        <v>13.820666666699999</v>
      </c>
      <c r="I2">
        <v>13.820666666699999</v>
      </c>
      <c r="J2">
        <v>0</v>
      </c>
      <c r="K2">
        <v>1653</v>
      </c>
      <c r="L2">
        <v>27</v>
      </c>
      <c r="M2">
        <v>124</v>
      </c>
      <c r="N2" t="s">
        <v>73</v>
      </c>
      <c r="O2">
        <v>60267</v>
      </c>
      <c r="P2">
        <v>3766</v>
      </c>
      <c r="Q2">
        <v>65536</v>
      </c>
      <c r="R2" t="s">
        <v>103</v>
      </c>
      <c r="S2">
        <v>2.1063333333299998</v>
      </c>
      <c r="T2">
        <v>2.1063333333299998</v>
      </c>
      <c r="U2">
        <v>0</v>
      </c>
      <c r="V2">
        <v>350</v>
      </c>
      <c r="W2">
        <v>4</v>
      </c>
      <c r="X2">
        <v>126</v>
      </c>
      <c r="Y2" t="s">
        <v>74</v>
      </c>
      <c r="Z2">
        <v>17027</v>
      </c>
      <c r="AA2">
        <v>1064</v>
      </c>
      <c r="AB2">
        <v>65536</v>
      </c>
      <c r="AC2" t="s">
        <v>103</v>
      </c>
      <c r="AD2">
        <v>7.4829999999999997</v>
      </c>
      <c r="AE2">
        <v>7.4829999999999997</v>
      </c>
      <c r="AF2">
        <v>0</v>
      </c>
      <c r="AG2">
        <v>149</v>
      </c>
      <c r="AH2">
        <v>2</v>
      </c>
      <c r="AI2">
        <v>127</v>
      </c>
    </row>
    <row r="3" spans="1:35" x14ac:dyDescent="0.25">
      <c r="A3" t="s">
        <v>100</v>
      </c>
      <c r="B3" t="s">
        <v>101</v>
      </c>
      <c r="C3" t="s">
        <v>102</v>
      </c>
      <c r="D3">
        <v>8997</v>
      </c>
      <c r="E3">
        <v>562</v>
      </c>
      <c r="F3">
        <v>65536</v>
      </c>
      <c r="G3" s="45">
        <v>0.9</v>
      </c>
      <c r="H3">
        <v>13.823</v>
      </c>
      <c r="I3">
        <v>14.4533333333</v>
      </c>
      <c r="J3">
        <v>8.1669999999999998</v>
      </c>
      <c r="K3">
        <v>5302</v>
      </c>
      <c r="L3">
        <v>61</v>
      </c>
      <c r="M3">
        <v>125</v>
      </c>
      <c r="N3" t="s">
        <v>73</v>
      </c>
      <c r="O3">
        <v>57317</v>
      </c>
      <c r="P3">
        <v>3582</v>
      </c>
      <c r="Q3">
        <v>65536</v>
      </c>
      <c r="R3" t="s">
        <v>104</v>
      </c>
      <c r="S3">
        <v>2.2126666666700001</v>
      </c>
      <c r="T3">
        <v>2.1746666666699999</v>
      </c>
      <c r="U3">
        <v>2.5529999999999999</v>
      </c>
      <c r="V3">
        <v>1394</v>
      </c>
      <c r="W3">
        <v>3</v>
      </c>
      <c r="X3">
        <v>126</v>
      </c>
      <c r="Y3" t="s">
        <v>74</v>
      </c>
      <c r="Z3">
        <v>18481</v>
      </c>
      <c r="AA3">
        <v>1155</v>
      </c>
      <c r="AB3">
        <v>65536</v>
      </c>
      <c r="AC3" t="s">
        <v>104</v>
      </c>
      <c r="AD3">
        <v>6.8860000000000001</v>
      </c>
      <c r="AE3">
        <v>7.0279999999999996</v>
      </c>
      <c r="AF3">
        <v>5.6070000000000002</v>
      </c>
      <c r="AG3">
        <v>61</v>
      </c>
      <c r="AH3">
        <v>1</v>
      </c>
      <c r="AI3">
        <v>127</v>
      </c>
    </row>
    <row r="4" spans="1:35" x14ac:dyDescent="0.25">
      <c r="A4" t="s">
        <v>100</v>
      </c>
      <c r="B4" t="s">
        <v>101</v>
      </c>
      <c r="C4" t="s">
        <v>102</v>
      </c>
      <c r="D4">
        <v>8570</v>
      </c>
      <c r="E4">
        <v>535</v>
      </c>
      <c r="F4">
        <v>65536</v>
      </c>
      <c r="G4" s="45">
        <v>0.8</v>
      </c>
      <c r="H4">
        <v>14.6566666667</v>
      </c>
      <c r="I4">
        <v>15.990333333300001</v>
      </c>
      <c r="J4">
        <v>9.3230000000000004</v>
      </c>
      <c r="K4">
        <v>5188</v>
      </c>
      <c r="L4">
        <v>42</v>
      </c>
      <c r="M4">
        <v>125</v>
      </c>
      <c r="N4" t="s">
        <v>73</v>
      </c>
      <c r="O4">
        <v>52732</v>
      </c>
      <c r="P4">
        <v>3295</v>
      </c>
      <c r="Q4">
        <v>65536</v>
      </c>
      <c r="R4" t="s">
        <v>105</v>
      </c>
      <c r="S4">
        <v>2.4056666666700002</v>
      </c>
      <c r="T4">
        <v>2.2806666666700002</v>
      </c>
      <c r="U4">
        <v>2.9056666666700002</v>
      </c>
      <c r="V4">
        <v>989</v>
      </c>
      <c r="W4">
        <v>4</v>
      </c>
      <c r="X4">
        <v>126</v>
      </c>
      <c r="Y4" t="s">
        <v>74</v>
      </c>
      <c r="Z4">
        <v>19153</v>
      </c>
      <c r="AA4">
        <v>1197</v>
      </c>
      <c r="AB4">
        <v>65536</v>
      </c>
      <c r="AC4" t="s">
        <v>105</v>
      </c>
      <c r="AD4">
        <v>6.6449999999999996</v>
      </c>
      <c r="AE4">
        <v>6.8520000000000003</v>
      </c>
      <c r="AF4">
        <v>5.8150000000000004</v>
      </c>
      <c r="AG4">
        <v>67</v>
      </c>
      <c r="AH4">
        <v>1</v>
      </c>
      <c r="AI4">
        <v>127</v>
      </c>
    </row>
    <row r="5" spans="1:35" x14ac:dyDescent="0.25">
      <c r="A5" t="s">
        <v>100</v>
      </c>
      <c r="B5" t="s">
        <v>101</v>
      </c>
      <c r="C5" t="s">
        <v>102</v>
      </c>
      <c r="D5">
        <v>7871</v>
      </c>
      <c r="E5">
        <v>491</v>
      </c>
      <c r="F5">
        <v>65536</v>
      </c>
      <c r="G5" s="45">
        <v>0.7</v>
      </c>
      <c r="H5">
        <v>15.9073333333</v>
      </c>
      <c r="I5">
        <v>19.006333333299999</v>
      </c>
      <c r="J5">
        <v>8.6850000000000005</v>
      </c>
      <c r="K5">
        <v>2980</v>
      </c>
      <c r="L5">
        <v>46</v>
      </c>
      <c r="M5">
        <v>125</v>
      </c>
      <c r="N5" t="s">
        <v>73</v>
      </c>
      <c r="O5">
        <v>51478</v>
      </c>
      <c r="P5">
        <v>3217</v>
      </c>
      <c r="Q5">
        <v>65536</v>
      </c>
      <c r="R5" t="s">
        <v>106</v>
      </c>
      <c r="S5">
        <v>2.4623333333300002</v>
      </c>
      <c r="T5">
        <v>2.33433333333</v>
      </c>
      <c r="U5">
        <v>2.7613333333300001</v>
      </c>
      <c r="V5">
        <v>765</v>
      </c>
      <c r="W5">
        <v>3</v>
      </c>
      <c r="X5">
        <v>126</v>
      </c>
      <c r="Y5" t="s">
        <v>74</v>
      </c>
      <c r="Z5">
        <v>19764</v>
      </c>
      <c r="AA5">
        <v>1235</v>
      </c>
      <c r="AB5">
        <v>65536</v>
      </c>
      <c r="AC5" t="s">
        <v>106</v>
      </c>
      <c r="AD5">
        <v>6.4393333333299996</v>
      </c>
      <c r="AE5">
        <v>6.6256666666699999</v>
      </c>
      <c r="AF5">
        <v>6.0049999999999999</v>
      </c>
      <c r="AG5">
        <v>58</v>
      </c>
      <c r="AH5">
        <v>1</v>
      </c>
      <c r="AI5">
        <v>127</v>
      </c>
    </row>
    <row r="6" spans="1:35" x14ac:dyDescent="0.25">
      <c r="A6" t="s">
        <v>100</v>
      </c>
      <c r="B6" t="s">
        <v>101</v>
      </c>
      <c r="C6" t="s">
        <v>102</v>
      </c>
      <c r="D6">
        <v>6853</v>
      </c>
      <c r="E6">
        <v>428</v>
      </c>
      <c r="F6">
        <v>65536</v>
      </c>
      <c r="G6" s="45">
        <v>0.6</v>
      </c>
      <c r="H6">
        <v>18.195666666699999</v>
      </c>
      <c r="I6">
        <v>24.0566666667</v>
      </c>
      <c r="J6">
        <v>9.41933333333</v>
      </c>
      <c r="K6">
        <v>2698</v>
      </c>
      <c r="L6">
        <v>38</v>
      </c>
      <c r="M6">
        <v>124</v>
      </c>
      <c r="N6" t="s">
        <v>73</v>
      </c>
      <c r="O6">
        <v>48993</v>
      </c>
      <c r="P6">
        <v>3062</v>
      </c>
      <c r="Q6">
        <v>65536</v>
      </c>
      <c r="R6" t="s">
        <v>107</v>
      </c>
      <c r="S6">
        <v>2.5903333333299998</v>
      </c>
      <c r="T6">
        <v>2.38333333333</v>
      </c>
      <c r="U6">
        <v>2.9009999999999998</v>
      </c>
      <c r="V6">
        <v>708</v>
      </c>
      <c r="W6">
        <v>4</v>
      </c>
      <c r="X6">
        <v>126</v>
      </c>
      <c r="Y6" t="s">
        <v>74</v>
      </c>
      <c r="Z6">
        <v>19712</v>
      </c>
      <c r="AA6">
        <v>1232</v>
      </c>
      <c r="AB6">
        <v>65536</v>
      </c>
      <c r="AC6" t="s">
        <v>107</v>
      </c>
      <c r="AD6">
        <v>6.4546666666699997</v>
      </c>
      <c r="AE6">
        <v>6.5516666666700001</v>
      </c>
      <c r="AF6">
        <v>6.3090000000000002</v>
      </c>
      <c r="AG6">
        <v>147</v>
      </c>
      <c r="AH6">
        <v>1</v>
      </c>
      <c r="AI6">
        <v>127</v>
      </c>
    </row>
    <row r="7" spans="1:35" x14ac:dyDescent="0.25">
      <c r="A7" t="s">
        <v>100</v>
      </c>
      <c r="B7" t="s">
        <v>101</v>
      </c>
      <c r="C7" t="s">
        <v>102</v>
      </c>
      <c r="D7">
        <v>9303</v>
      </c>
      <c r="E7">
        <v>581</v>
      </c>
      <c r="F7">
        <v>65536</v>
      </c>
      <c r="G7" s="45">
        <v>0.5</v>
      </c>
      <c r="H7">
        <v>13.262666666699999</v>
      </c>
      <c r="I7">
        <v>18.146333333299999</v>
      </c>
      <c r="J7">
        <v>8.3849999999999998</v>
      </c>
      <c r="K7">
        <v>4418</v>
      </c>
      <c r="L7">
        <v>51</v>
      </c>
      <c r="M7">
        <v>123</v>
      </c>
      <c r="N7" t="s">
        <v>73</v>
      </c>
      <c r="O7">
        <v>47054</v>
      </c>
      <c r="P7">
        <v>2940</v>
      </c>
      <c r="Q7">
        <v>65536</v>
      </c>
      <c r="R7" t="s">
        <v>108</v>
      </c>
      <c r="S7">
        <v>2.6956666666700002</v>
      </c>
      <c r="T7">
        <v>2.375</v>
      </c>
      <c r="U7">
        <v>3.0166666666699999</v>
      </c>
      <c r="V7">
        <v>616</v>
      </c>
      <c r="W7">
        <v>8</v>
      </c>
      <c r="X7">
        <v>126</v>
      </c>
      <c r="Y7" t="s">
        <v>74</v>
      </c>
      <c r="Z7">
        <v>19788</v>
      </c>
      <c r="AA7">
        <v>1236</v>
      </c>
      <c r="AB7">
        <v>65536</v>
      </c>
      <c r="AC7" t="s">
        <v>108</v>
      </c>
      <c r="AD7">
        <v>6.4283333333300003</v>
      </c>
      <c r="AE7">
        <v>6.3940000000000001</v>
      </c>
      <c r="AF7">
        <v>6.4633333333299996</v>
      </c>
      <c r="AG7">
        <v>84</v>
      </c>
      <c r="AH7">
        <v>1</v>
      </c>
      <c r="AI7">
        <v>127</v>
      </c>
    </row>
    <row r="8" spans="1:35" x14ac:dyDescent="0.25">
      <c r="A8" t="s">
        <v>100</v>
      </c>
      <c r="B8" t="s">
        <v>101</v>
      </c>
      <c r="C8" t="s">
        <v>102</v>
      </c>
      <c r="D8">
        <v>7216</v>
      </c>
      <c r="E8">
        <v>451</v>
      </c>
      <c r="F8">
        <v>65536</v>
      </c>
      <c r="G8" s="45">
        <v>0.4</v>
      </c>
      <c r="H8">
        <v>17.063666666700001</v>
      </c>
      <c r="I8">
        <v>29.507999999999999</v>
      </c>
      <c r="J8">
        <v>8.7690000000000001</v>
      </c>
      <c r="K8">
        <v>5179</v>
      </c>
      <c r="L8">
        <v>59</v>
      </c>
      <c r="M8">
        <v>125</v>
      </c>
      <c r="N8" t="s">
        <v>73</v>
      </c>
      <c r="O8">
        <v>42934</v>
      </c>
      <c r="P8">
        <v>2683</v>
      </c>
      <c r="Q8">
        <v>65536</v>
      </c>
      <c r="R8" t="s">
        <v>109</v>
      </c>
      <c r="S8">
        <v>2.9540000000000002</v>
      </c>
      <c r="T8">
        <v>2.4329999999999998</v>
      </c>
      <c r="U8">
        <v>3.3013333333300001</v>
      </c>
      <c r="V8">
        <v>757</v>
      </c>
      <c r="W8">
        <v>9</v>
      </c>
      <c r="X8">
        <v>126</v>
      </c>
      <c r="Y8" t="s">
        <v>74</v>
      </c>
      <c r="Z8">
        <v>18790</v>
      </c>
      <c r="AA8">
        <v>1174</v>
      </c>
      <c r="AB8">
        <v>65536</v>
      </c>
      <c r="AC8" t="s">
        <v>109</v>
      </c>
      <c r="AD8">
        <v>6.7686666666699997</v>
      </c>
      <c r="AE8">
        <v>6.5753333333299997</v>
      </c>
      <c r="AF8">
        <v>6.8973333333299998</v>
      </c>
      <c r="AG8">
        <v>68</v>
      </c>
      <c r="AH8">
        <v>1</v>
      </c>
      <c r="AI8">
        <v>127</v>
      </c>
    </row>
    <row r="9" spans="1:35" x14ac:dyDescent="0.25">
      <c r="A9" t="s">
        <v>100</v>
      </c>
      <c r="B9" t="s">
        <v>101</v>
      </c>
      <c r="C9" t="s">
        <v>102</v>
      </c>
      <c r="D9">
        <v>8643</v>
      </c>
      <c r="E9">
        <v>540</v>
      </c>
      <c r="F9">
        <v>65536</v>
      </c>
      <c r="G9" s="45">
        <v>0.3</v>
      </c>
      <c r="H9">
        <v>14.683999999999999</v>
      </c>
      <c r="I9">
        <v>25.979666666699998</v>
      </c>
      <c r="J9">
        <v>9.8463333333299996</v>
      </c>
      <c r="K9">
        <v>12790</v>
      </c>
      <c r="L9">
        <v>139</v>
      </c>
      <c r="M9">
        <v>125</v>
      </c>
      <c r="N9" t="s">
        <v>73</v>
      </c>
      <c r="O9">
        <v>38865</v>
      </c>
      <c r="P9">
        <v>2429</v>
      </c>
      <c r="Q9">
        <v>65536</v>
      </c>
      <c r="R9" t="s">
        <v>110</v>
      </c>
      <c r="S9">
        <v>3.26633333333</v>
      </c>
      <c r="T9">
        <v>2.5893333333299999</v>
      </c>
      <c r="U9">
        <v>3.55666666667</v>
      </c>
      <c r="V9">
        <v>876</v>
      </c>
      <c r="W9">
        <v>10</v>
      </c>
      <c r="X9">
        <v>126</v>
      </c>
      <c r="Y9" t="s">
        <v>74</v>
      </c>
      <c r="Z9">
        <v>17559</v>
      </c>
      <c r="AA9">
        <v>1097</v>
      </c>
      <c r="AB9">
        <v>65536</v>
      </c>
      <c r="AC9" t="s">
        <v>110</v>
      </c>
      <c r="AD9">
        <v>7.2423333333300004</v>
      </c>
      <c r="AE9">
        <v>6.9853333333299998</v>
      </c>
      <c r="AF9">
        <v>7.3523333333299998</v>
      </c>
      <c r="AG9">
        <v>75</v>
      </c>
      <c r="AH9">
        <v>1</v>
      </c>
      <c r="AI9">
        <v>127</v>
      </c>
    </row>
    <row r="10" spans="1:35" x14ac:dyDescent="0.25">
      <c r="A10" t="s">
        <v>100</v>
      </c>
      <c r="B10" t="s">
        <v>101</v>
      </c>
      <c r="C10" t="s">
        <v>102</v>
      </c>
      <c r="D10">
        <v>8431</v>
      </c>
      <c r="E10">
        <v>526</v>
      </c>
      <c r="F10">
        <v>65536</v>
      </c>
      <c r="G10" s="45">
        <v>0.2</v>
      </c>
      <c r="H10">
        <v>15.0756666667</v>
      </c>
      <c r="I10">
        <v>29.792000000000002</v>
      </c>
      <c r="J10">
        <v>11.391999999999999</v>
      </c>
      <c r="K10">
        <v>6047</v>
      </c>
      <c r="L10">
        <v>91</v>
      </c>
      <c r="M10">
        <v>126</v>
      </c>
      <c r="N10" t="s">
        <v>73</v>
      </c>
      <c r="O10">
        <v>35170</v>
      </c>
      <c r="P10">
        <v>2198</v>
      </c>
      <c r="Q10">
        <v>65536</v>
      </c>
      <c r="R10" t="s">
        <v>111</v>
      </c>
      <c r="S10">
        <v>3.6153333333300002</v>
      </c>
      <c r="T10">
        <v>2.9486666666699999</v>
      </c>
      <c r="U10">
        <v>3.78233333333</v>
      </c>
      <c r="V10">
        <v>1104</v>
      </c>
      <c r="W10">
        <v>13</v>
      </c>
      <c r="X10">
        <v>126</v>
      </c>
      <c r="Y10" t="s">
        <v>74</v>
      </c>
      <c r="Z10">
        <v>16162</v>
      </c>
      <c r="AA10">
        <v>1010</v>
      </c>
      <c r="AB10">
        <v>65536</v>
      </c>
      <c r="AC10" t="s">
        <v>111</v>
      </c>
      <c r="AD10">
        <v>7.8673333333300004</v>
      </c>
      <c r="AE10">
        <v>7.569</v>
      </c>
      <c r="AF10">
        <v>7.9416666666699998</v>
      </c>
      <c r="AG10">
        <v>70</v>
      </c>
      <c r="AH10">
        <v>1</v>
      </c>
      <c r="AI10">
        <v>127</v>
      </c>
    </row>
    <row r="11" spans="1:35" x14ac:dyDescent="0.25">
      <c r="A11" t="s">
        <v>100</v>
      </c>
      <c r="B11" t="s">
        <v>101</v>
      </c>
      <c r="C11" t="s">
        <v>102</v>
      </c>
      <c r="D11">
        <v>10134</v>
      </c>
      <c r="E11">
        <v>633</v>
      </c>
      <c r="F11">
        <v>65536</v>
      </c>
      <c r="G11" s="45">
        <v>0.1</v>
      </c>
      <c r="H11">
        <v>12.279666666700001</v>
      </c>
      <c r="I11">
        <v>25.6233333333</v>
      </c>
      <c r="J11">
        <v>10.798999999999999</v>
      </c>
      <c r="K11">
        <v>6023</v>
      </c>
      <c r="L11">
        <v>53</v>
      </c>
      <c r="M11">
        <v>125</v>
      </c>
      <c r="N11" t="s">
        <v>73</v>
      </c>
      <c r="O11">
        <v>31849</v>
      </c>
      <c r="P11">
        <v>1990</v>
      </c>
      <c r="Q11">
        <v>65536</v>
      </c>
      <c r="R11" t="s">
        <v>112</v>
      </c>
      <c r="S11">
        <v>3.99633333333</v>
      </c>
      <c r="T11">
        <v>3.31866666667</v>
      </c>
      <c r="U11">
        <v>4.0720000000000001</v>
      </c>
      <c r="V11">
        <v>986</v>
      </c>
      <c r="W11">
        <v>14</v>
      </c>
      <c r="X11">
        <v>126</v>
      </c>
      <c r="Y11" t="s">
        <v>74</v>
      </c>
      <c r="Z11">
        <v>15215</v>
      </c>
      <c r="AA11">
        <v>950</v>
      </c>
      <c r="AB11">
        <v>65536</v>
      </c>
      <c r="AC11" t="s">
        <v>112</v>
      </c>
      <c r="AD11">
        <v>8.3573333333300006</v>
      </c>
      <c r="AE11">
        <v>8.1163333333299992</v>
      </c>
      <c r="AF11">
        <v>8.3840000000000003</v>
      </c>
      <c r="AG11">
        <v>120</v>
      </c>
      <c r="AH11">
        <v>0</v>
      </c>
      <c r="AI11">
        <v>127</v>
      </c>
    </row>
    <row r="12" spans="1:35" x14ac:dyDescent="0.25">
      <c r="A12" t="s">
        <v>100</v>
      </c>
      <c r="B12" t="s">
        <v>101</v>
      </c>
      <c r="C12" t="s">
        <v>102</v>
      </c>
      <c r="D12">
        <v>9700</v>
      </c>
      <c r="E12">
        <v>606</v>
      </c>
      <c r="F12">
        <v>65536</v>
      </c>
      <c r="G12" s="45">
        <v>0</v>
      </c>
      <c r="H12">
        <v>13.119666666700001</v>
      </c>
      <c r="I12">
        <v>0</v>
      </c>
      <c r="J12">
        <v>13.119666666700001</v>
      </c>
      <c r="K12">
        <v>5390</v>
      </c>
      <c r="L12">
        <v>55</v>
      </c>
      <c r="M12">
        <v>127</v>
      </c>
      <c r="N12" t="s">
        <v>73</v>
      </c>
      <c r="O12">
        <v>29482</v>
      </c>
      <c r="P12">
        <v>1842</v>
      </c>
      <c r="Q12">
        <v>65536</v>
      </c>
      <c r="R12" t="s">
        <v>113</v>
      </c>
      <c r="S12">
        <v>4.3016666666700001</v>
      </c>
      <c r="T12">
        <v>0</v>
      </c>
      <c r="U12">
        <v>4.3016666666700001</v>
      </c>
      <c r="V12">
        <v>693</v>
      </c>
      <c r="W12">
        <v>13</v>
      </c>
      <c r="X12">
        <v>126</v>
      </c>
      <c r="Y12" t="s">
        <v>74</v>
      </c>
      <c r="Z12">
        <v>14265</v>
      </c>
      <c r="AA12">
        <v>891</v>
      </c>
      <c r="AB12">
        <v>65536</v>
      </c>
      <c r="AC12" t="s">
        <v>113</v>
      </c>
      <c r="AD12">
        <v>8.9133333333299998</v>
      </c>
      <c r="AE12">
        <v>0</v>
      </c>
      <c r="AF12">
        <v>8.9133333333299998</v>
      </c>
      <c r="AG12">
        <v>50</v>
      </c>
      <c r="AH12">
        <v>0</v>
      </c>
      <c r="AI12">
        <v>127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0FBA8A9F0AFB4BB2D0148D6A234C38" ma:contentTypeVersion="13" ma:contentTypeDescription="Create a new document." ma:contentTypeScope="" ma:versionID="74183e733b66e5e9a3cd5553bd4bd9ac">
  <xsd:schema xmlns:xsd="http://www.w3.org/2001/XMLSchema" xmlns:xs="http://www.w3.org/2001/XMLSchema" xmlns:p="http://schemas.microsoft.com/office/2006/metadata/properties" xmlns:ns3="4a052287-e6d5-446a-afc6-58987b850d5f" xmlns:ns4="943a090e-7b96-4eb7-abc0-264fa36c6c5d" targetNamespace="http://schemas.microsoft.com/office/2006/metadata/properties" ma:root="true" ma:fieldsID="6b903754823e47922d1d3c75b6236d24" ns3:_="" ns4:_="">
    <xsd:import namespace="4a052287-e6d5-446a-afc6-58987b850d5f"/>
    <xsd:import namespace="943a090e-7b96-4eb7-abc0-264fa36c6c5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052287-e6d5-446a-afc6-58987b850d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3a090e-7b96-4eb7-abc0-264fa36c6c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EC18BF-42E1-4B07-B0F9-328B1505E1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69B51B-49EA-4054-A0C2-A13FF67FB754}">
  <ds:schemaRefs>
    <ds:schemaRef ds:uri="http://purl.org/dc/terms/"/>
    <ds:schemaRef ds:uri="4a052287-e6d5-446a-afc6-58987b850d5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943a090e-7b96-4eb7-abc0-264fa36c6c5d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97D0541-97F4-46BE-8711-51CFA8DE59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052287-e6d5-446a-afc6-58987b850d5f"/>
    <ds:schemaRef ds:uri="943a090e-7b96-4eb7-abc0-264fa36c6c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FSLogix Calculator</vt:lpstr>
      <vt:lpstr>Azure NetApp Files Calcuations</vt:lpstr>
      <vt:lpstr>Azure Files Calculations</vt:lpstr>
      <vt:lpstr>definitions</vt:lpstr>
      <vt:lpstr>Throughput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Morgenstern, Chad</dc:creator>
  <cp:lastModifiedBy>Greg Dodge</cp:lastModifiedBy>
  <dcterms:created xsi:type="dcterms:W3CDTF">2020-04-29T16:37:33Z</dcterms:created>
  <dcterms:modified xsi:type="dcterms:W3CDTF">2022-01-25T15:08:08Z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0x010100050FBA8A9F0AFB4BB2D0148D6A234C38</vt:lpwstr>
  </property>
</Properties>
</file>