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"/>
    </mc:Choice>
  </mc:AlternateContent>
  <xr:revisionPtr revIDLastSave="313" documentId="8_{8B793CA2-87F6-4A18-B711-311CB868FD5A}" xr6:coauthVersionLast="45" xr6:coauthVersionMax="45" xr10:uidLastSave="{DF428786-FDD2-4BDD-98C1-61F54F8C3C43}"/>
  <bookViews>
    <workbookView xWindow="-120" yWindow="-120" windowWidth="24240" windowHeight="13140" xr2:uid="{CB3913B2-BB8F-4CB3-9459-2FD527F7F31B}"/>
  </bookViews>
  <sheets>
    <sheet name="FSLogix Calcuator" sheetId="1" r:id="rId1"/>
    <sheet name="Azure NetApp Files Calcuations" sheetId="3" r:id="rId2"/>
    <sheet name="Azure Files Calculations" sheetId="4" r:id="rId3"/>
    <sheet name="definitions" sheetId="2" r:id="rId4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C5" i="4"/>
  <c r="D39" i="1" s="1"/>
  <c r="B6" i="4" l="1"/>
  <c r="F33" i="1" s="1"/>
  <c r="C6" i="4"/>
  <c r="E36" i="1"/>
  <c r="F23" i="1"/>
  <c r="B3" i="3"/>
  <c r="E34" i="1" l="1"/>
  <c r="E35" i="1" s="1"/>
  <c r="E33" i="1"/>
  <c r="E37" i="1"/>
  <c r="B33" i="1" l="1"/>
  <c r="B34" i="1" s="1"/>
  <c r="B12" i="1"/>
  <c r="B11" i="1"/>
  <c r="B15" i="1"/>
  <c r="B14" i="1"/>
  <c r="B2" i="4" s="1"/>
  <c r="B13" i="1"/>
  <c r="B11" i="3" l="1"/>
  <c r="B10" i="3"/>
  <c r="B9" i="3"/>
  <c r="B13" i="3" s="1"/>
  <c r="C4" i="4"/>
  <c r="G33" i="1"/>
  <c r="G26" i="1"/>
  <c r="B3" i="4"/>
  <c r="B5" i="3"/>
  <c r="C3" i="4"/>
  <c r="B2" i="3"/>
  <c r="C2" i="4"/>
  <c r="B4" i="4"/>
  <c r="B36" i="2"/>
  <c r="E26" i="1" l="1"/>
  <c r="B28" i="1" s="1"/>
  <c r="E29" i="1"/>
  <c r="E30" i="1"/>
  <c r="F26" i="1"/>
  <c r="H26" i="1"/>
  <c r="B21" i="3"/>
  <c r="B29" i="3" s="1"/>
  <c r="B35" i="3" s="1"/>
  <c r="B17" i="3"/>
  <c r="E27" i="1" l="1"/>
  <c r="E28" i="1" s="1"/>
  <c r="B29" i="1"/>
  <c r="B25" i="3"/>
  <c r="B39" i="3"/>
  <c r="B7" i="3"/>
  <c r="B6" i="3"/>
  <c r="B15" i="3"/>
  <c r="B14" i="3"/>
  <c r="B47" i="3" l="1"/>
  <c r="B26" i="1"/>
  <c r="B27" i="1" s="1"/>
  <c r="B18" i="3"/>
  <c r="B19" i="3"/>
  <c r="B22" i="3"/>
  <c r="B30" i="3" s="1"/>
  <c r="B36" i="3" s="1"/>
  <c r="B23" i="3"/>
  <c r="B43" i="3" l="1"/>
  <c r="B26" i="3"/>
  <c r="B31" i="3"/>
  <c r="B27" i="3"/>
  <c r="B33" i="3" l="1"/>
  <c r="F18" i="1" s="1"/>
  <c r="B37" i="3"/>
  <c r="B44" i="3"/>
  <c r="B48" i="3"/>
  <c r="B41" i="3"/>
  <c r="B40" i="3"/>
  <c r="E18" i="1" l="1"/>
  <c r="E20" i="1"/>
  <c r="E19" i="1" s="1"/>
  <c r="B49" i="3"/>
  <c r="B45" i="3"/>
  <c r="B20" i="1" l="1"/>
  <c r="B21" i="1"/>
  <c r="B18" i="1"/>
  <c r="E21" i="1"/>
  <c r="E23" i="1" s="1"/>
  <c r="E22" i="1"/>
  <c r="D23" i="1" l="1"/>
  <c r="B19" i="1"/>
</calcChain>
</file>

<file path=xl/sharedStrings.xml><?xml version="1.0" encoding="utf-8"?>
<sst xmlns="http://schemas.openxmlformats.org/spreadsheetml/2006/main" count="166" uniqueCount="119">
  <si>
    <t>seconds in an hour</t>
  </si>
  <si>
    <t>weeks in a year</t>
  </si>
  <si>
    <t>IO Size</t>
  </si>
  <si>
    <t>Modify: User Count</t>
  </si>
  <si>
    <t>IOPS Per User</t>
  </si>
  <si>
    <t>Drop Down: 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</si>
  <si>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</si>
  <si>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</si>
  <si>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</si>
  <si>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</si>
  <si>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</si>
  <si>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</si>
  <si>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</si>
  <si>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</si>
  <si>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</si>
  <si>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</si>
  <si>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</si>
  <si>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</si>
  <si>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</si>
  <si>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</si>
  <si>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</si>
  <si>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</si>
  <si>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</si>
  <si>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</si>
  <si>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</si>
  <si>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</si>
  <si>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</si>
  <si>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</si>
  <si>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</si>
  <si>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</si>
  <si>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</si>
  <si>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</si>
  <si>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</si>
  <si>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</si>
  <si>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</si>
  <si>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</si>
  <si>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</si>
  <si>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</si>
  <si>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</si>
  <si>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</si>
  <si>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</si>
  <si>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</si>
  <si>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</si>
  <si>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</si>
  <si>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</si>
  <si>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</si>
  <si>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</si>
  <si>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</si>
  <si>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</si>
  <si>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</si>
  <si>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</si>
  <si>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</si>
  <si>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</si>
  <si>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</si>
  <si>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</si>
  <si>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</si>
  <si>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</si>
  <si>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</si>
  <si>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</si>
  <si>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</si>
  <si>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</si>
  <si>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</si>
  <si>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</si>
  <si>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</si>
  <si>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Avg I/O Size To Storage</t>
  </si>
  <si>
    <t>Drop Down: Storage Profile Size in GiB</t>
  </si>
  <si>
    <t>Modify: Working Hours Per Week</t>
  </si>
  <si>
    <t>ANF: Max Volume Size GiB</t>
  </si>
  <si>
    <t>Required Capacity Exceeds documented 100TiB Upper Limit</t>
  </si>
  <si>
    <t>Capacity Defined By</t>
  </si>
  <si>
    <t>Capacity Per User (GiB)</t>
  </si>
  <si>
    <t>Cost Compared To Azure Files</t>
  </si>
  <si>
    <t>Cost Compared To Azure Premium Files</t>
  </si>
  <si>
    <t>Supports User Count?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</si>
  <si>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</si>
  <si>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</si>
  <si>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</si>
  <si>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</si>
  <si>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</si>
  <si>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</si>
  <si>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</si>
  <si>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</si>
  <si>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</si>
  <si>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Capacity defined By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</si>
  <si>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</si>
  <si>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</si>
  <si>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</si>
  <si>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</si>
  <si>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</si>
  <si>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</si>
  <si>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</si>
  <si>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</si>
  <si>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</si>
  <si>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</si>
  <si>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</si>
  <si>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</si>
  <si>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</si>
  <si>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</si>
  <si>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</si>
  <si>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</si>
  <si>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</si>
  <si>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</si>
  <si>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</si>
  <si>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</si>
  <si>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</si>
  <si>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</si>
  <si>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</si>
  <si>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</si>
  <si>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</si>
  <si>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Does calculated capacity Fit Within Maximum Volume Size? (English)</t>
  </si>
  <si>
    <t>Calculated: Required Bandwidth Per Vol (MiB/s)</t>
  </si>
  <si>
    <t>Max Total Supported User Count (Based on Concurrent  I/O Rate)</t>
  </si>
  <si>
    <t>Max Total Supported User Count (Based on Concurrent MiB/s)</t>
  </si>
  <si>
    <t>Max Total Supported User Count (Based on Concurrenct I/O Rate)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</si>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</sst>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0" fontId="5" fillId="0" borderId="4" xfId="0" applyFont="1" applyBorder="1" applyAlignment="1">
      <alignment wrapText="1"/>
    </xf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5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 val="0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8" totalsRowShown="0" headerRowDxfId="59" dataDxfId="58" tableBorderDxfId="57">
  <autoFilter ref="A2:B8" xr:uid="{91E6A135-C0E7-4D0B-8EB4-141892DA45C5}"/>
  <tableColumns count="2">
    <tableColumn id="1" xr3:uid="{2F564818-5A0F-4075-8D5E-BCEC57D8FC3C}" name="Fields" dataDxfId="56"/>
    <tableColumn id="2" xr3:uid="{D42113E7-14D7-4A36-BB89-433CD657FB9D}" name="Input " dataDxfId="5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2" totalsRowShown="0" dataDxfId="2">
  <autoFilter ref="A22:B42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5:B29" totalsRowShown="0" headerRowDxfId="54" dataDxfId="53" tableBorderDxfId="52">
  <autoFilter ref="A25:B29" xr:uid="{4897B486-AB3B-4450-B296-0E35971B3AE2}"/>
  <tableColumns count="2">
    <tableColumn id="1" xr3:uid="{3A7044B6-6E00-4BEF-9FE6-A7DEE00EE3F3}" name="Azure Files Price Break Down" dataDxfId="51"/>
    <tableColumn id="2" xr3:uid="{6BB28A88-2884-4CC5-80B3-4CA3051CCAC3}" name="Calculated Output" dataDxfId="5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0:B15" totalsRowShown="0" headerRowDxfId="49" tableBorderDxfId="48">
  <autoFilter ref="A10:B15" xr:uid="{FDD62D26-CF49-4DB8-BB86-E5640AFB3072}"/>
  <tableColumns count="2">
    <tableColumn id="1" xr3:uid="{98F6AE4C-A8FE-46A2-B695-4F7EC29B79C1}" name="High Level Environmental Needs" dataDxfId="47"/>
    <tableColumn id="2" xr3:uid="{923448D6-8587-46CF-AC83-4786C0E6E31A}" name="Calculated Output" dataDxfId="4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2:B34" totalsRowShown="0" dataDxfId="45" tableBorderDxfId="44">
  <autoFilter ref="A32:B34" xr:uid="{F64951B7-0541-475C-8E4E-15CB609631E0}"/>
  <tableColumns count="2">
    <tableColumn id="1" xr3:uid="{EEA382B5-FB82-4F1D-9327-A87385C52897}" name="Azure Premium Files Price Break Down" dataDxfId="43"/>
    <tableColumn id="2" xr3:uid="{E770553C-A0C0-45E6-BC23-3E0DD3249B14}" name="Calculated Output" dataDxfId="4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7:B21" totalsRowShown="0" dataDxfId="41" tableBorderDxfId="40">
  <autoFilter ref="A17:B21" xr:uid="{1849FF8B-C5DF-48B3-BD49-7E1B6D720287}"/>
  <tableColumns count="2">
    <tableColumn id="1" xr3:uid="{3F78E685-9C28-44F6-9A2A-3F9135F54C28}" name="Azure NetApp Files Price Break Down" dataDxfId="39" totalsRowDxfId="38"/>
    <tableColumn id="2" xr3:uid="{AA370671-CA18-4101-A4C3-7BC422CCC1F1}" name="Calculated Output" dataDxfId="3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7:F23" totalsRowShown="0" dataDxfId="36" tableBorderDxfId="35">
  <autoFilter ref="D17:F23" xr:uid="{F75E429C-8018-41C4-B4C3-C0AD783F2D38}"/>
  <tableColumns count="3">
    <tableColumn id="1" xr3:uid="{25D43E32-76CE-4E57-9637-4A7FD2463E37}" name="Azure NetApp Files Additional Information" dataDxfId="34" totalsRowDxfId="33"/>
    <tableColumn id="2" xr3:uid="{3C9CF5B6-EAB8-4222-9C96-5A10EE28F85F}" name=" Output" dataDxfId="32"/>
    <tableColumn id="3" xr3:uid="{F8FAE1CB-5733-4CC5-9F68-AD29EB511AF6}" name="Etc(1)" dataDxfId="31">
      <calculatedColumnFormula>IF(E19&gt;definitions!B24,definitions!$A$23,"Yes")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5:H30" totalsRowShown="0" headerRowDxfId="30" tableBorderDxfId="29">
  <autoFilter ref="D25:H30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28"/>
    <tableColumn id="3" xr3:uid="{9881ABB1-4E08-4030-AEC9-CCA810605C29}" name="Etc(1)" dataDxfId="27">
      <calculatedColumnFormula>'Azure Files Calculations'!$B$4</calculatedColumnFormula>
    </tableColumn>
    <tableColumn id="4" xr3:uid="{5BC3DEF6-CDB9-4DE9-B8FF-9749CBA220CD}" name="Etc(2)" dataDxfId="26">
      <calculatedColumnFormula>'Azure Files Calculations'!$B$2</calculatedColumnFormula>
    </tableColumn>
    <tableColumn id="5" xr3:uid="{3F802064-6239-4D79-9EEF-E6B1422584F4}" name="Etc(3)" dataDxfId="2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2:G37" totalsRowShown="0" headerRowDxfId="24" tableBorderDxfId="23">
  <autoFilter ref="D32:G37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22"/>
    <tableColumn id="3" xr3:uid="{383E5A06-7313-4E3D-A474-C65E865DB16D}" name="Etc(1)" dataDxfId="21">
      <calculatedColumnFormula>'Azure Files Calculations'!$B$6</calculatedColumnFormula>
    </tableColumn>
    <tableColumn id="4" xr3:uid="{22B7B0DB-CD46-43E2-A4B8-192176C63B53}" name="Etc(2)" dataDxfId="20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D21" totalsRowShown="0">
  <autoFilter ref="A1:D21" xr:uid="{81B2E200-FC2F-4069-86C2-6671D699FE86}"/>
  <tableColumns count="4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>
    <pageSetUpPr fitToPage="1"/>
  </sheetPr>
  <dimension ref="A1:H107"/>
  <sheetViews>
    <sheetView tabSelected="1" zoomScale="80" zoomScaleNormal="80" workbookViewId="0">
      <selection activeCell="D3" sqref="D3"/>
    </sheetView>
  </sheetViews>
  <sheetFormatPr defaultRowHeight="15" x14ac:dyDescent="0.25"/>
  <cols>
    <col min="1" max="1" width="49.5703125" bestFit="1" customWidth="1"/>
    <col min="2" max="2" width="65.42578125" style="8" bestFit="1" customWidth="1"/>
    <col min="3" max="3" width="2" customWidth="1"/>
    <col min="4" max="4" width="85.42578125" bestFit="1" customWidth="1"/>
    <col min="5" max="5" width="28.85546875" bestFit="1" customWidth="1"/>
    <col min="6" max="6" width="11.85546875" customWidth="1"/>
    <col min="7" max="7" width="12.5703125" customWidth="1"/>
    <col min="8" max="8" width="11.85546875" customWidth="1"/>
  </cols>
  <sheetData>
    <row r="1" spans="1:8" ht="27.75" customHeight="1" x14ac:dyDescent="0.25">
      <c r="A1" s="69" t="s">
        <v>92</v>
      </c>
      <c r="B1" s="70"/>
    </row>
    <row r="2" spans="1:8" x14ac:dyDescent="0.25">
      <c r="A2" s="19" t="s">
        <v>6</v>
      </c>
      <c r="B2" s="18" t="s">
        <v>7</v>
      </c>
    </row>
    <row r="3" spans="1:8" x14ac:dyDescent="0.25">
      <c r="A3" s="19" t="s">
        <v>3</v>
      </c>
      <c r="B3" s="32">
        <v>200</v>
      </c>
      <c r="D3" s="63"/>
    </row>
    <row r="4" spans="1:8" x14ac:dyDescent="0.25">
      <c r="A4" s="19" t="s">
        <v>5</v>
      </c>
      <c r="B4" s="32">
        <v>15</v>
      </c>
    </row>
    <row r="5" spans="1:8" ht="14.25" customHeight="1" x14ac:dyDescent="0.25">
      <c r="A5" s="19" t="s">
        <v>64</v>
      </c>
      <c r="B5" s="32">
        <v>32</v>
      </c>
    </row>
    <row r="6" spans="1:8" x14ac:dyDescent="0.25">
      <c r="A6" s="19" t="s">
        <v>65</v>
      </c>
      <c r="B6" s="32">
        <v>30</v>
      </c>
    </row>
    <row r="7" spans="1:8" x14ac:dyDescent="0.25">
      <c r="A7" s="2" t="s">
        <v>117</v>
      </c>
      <c r="B7" s="48">
        <v>1</v>
      </c>
      <c r="D7" s="47"/>
    </row>
    <row r="8" spans="1:8" x14ac:dyDescent="0.25">
      <c r="A8" s="19" t="s">
        <v>66</v>
      </c>
      <c r="B8" s="32">
        <v>40</v>
      </c>
    </row>
    <row r="9" spans="1:8" x14ac:dyDescent="0.25">
      <c r="A9" s="15"/>
      <c r="B9" s="17"/>
    </row>
    <row r="10" spans="1:8" x14ac:dyDescent="0.25">
      <c r="A10" s="19" t="s">
        <v>18</v>
      </c>
      <c r="B10" s="18" t="s">
        <v>8</v>
      </c>
    </row>
    <row r="11" spans="1:8" x14ac:dyDescent="0.25">
      <c r="A11" s="59" t="s">
        <v>62</v>
      </c>
      <c r="B11" s="18">
        <f>B$3*B$7</f>
        <v>200</v>
      </c>
    </row>
    <row r="12" spans="1:8" x14ac:dyDescent="0.25">
      <c r="A12" s="60" t="s">
        <v>110</v>
      </c>
      <c r="B12" s="18">
        <f>(B$4*B$5*B$3*B$7)/1024</f>
        <v>93.75</v>
      </c>
    </row>
    <row r="13" spans="1:8" x14ac:dyDescent="0.25">
      <c r="A13" s="60" t="s">
        <v>16</v>
      </c>
      <c r="B13" s="18">
        <f>(B$4*B$5)</f>
        <v>480</v>
      </c>
    </row>
    <row r="14" spans="1:8" x14ac:dyDescent="0.25">
      <c r="A14" s="61" t="s">
        <v>17</v>
      </c>
      <c r="B14" s="18">
        <f>B$4*B$3*B7</f>
        <v>3000</v>
      </c>
    </row>
    <row r="15" spans="1:8" x14ac:dyDescent="0.25">
      <c r="A15" s="61" t="s">
        <v>19</v>
      </c>
      <c r="B15" s="18">
        <f>B6*B3</f>
        <v>6000</v>
      </c>
    </row>
    <row r="16" spans="1:8" ht="18.75" x14ac:dyDescent="0.3">
      <c r="A16" s="71" t="s">
        <v>89</v>
      </c>
      <c r="B16" s="72"/>
      <c r="C16" s="72"/>
      <c r="D16" s="72"/>
      <c r="E16" s="72"/>
      <c r="F16" s="72"/>
      <c r="G16" s="70"/>
      <c r="H16" s="70"/>
    </row>
    <row r="17" spans="1:8" x14ac:dyDescent="0.25">
      <c r="A17" s="20" t="s">
        <v>79</v>
      </c>
      <c r="B17" s="18" t="s">
        <v>8</v>
      </c>
      <c r="D17" s="20" t="s">
        <v>78</v>
      </c>
      <c r="E17" s="18" t="s">
        <v>86</v>
      </c>
      <c r="F17" t="s">
        <v>58</v>
      </c>
    </row>
    <row r="18" spans="1:8" s="53" customFormat="1" ht="99.75" customHeight="1" x14ac:dyDescent="0.25">
      <c r="A18" s="62" t="s">
        <v>77</v>
      </c>
      <c r="B18" s="56">
        <f>IF(E18="Yes",_xlfn.XLOOKUP(E20,'Azure NetApp Files Calcuations'!C$35:C$37,'Azure NetApp Files Calcuations'!B$35:B$37,definitions!A$23),"N/A: User Count Excceds Capability Of Azure NetApp Files")</f>
        <v>900</v>
      </c>
      <c r="D18" s="35" t="s">
        <v>73</v>
      </c>
      <c r="E18" s="49" t="str">
        <f>IF('Azure NetApp Files Calcuations'!B33="No","No","Yes")</f>
        <v>Yes</v>
      </c>
      <c r="F18" s="67" t="str">
        <f>IF('Azure NetApp Files Calcuations'!B33="Yes","Yes",definitions!$A$23)</f>
        <v>Yes</v>
      </c>
    </row>
    <row r="19" spans="1:8" s="53" customFormat="1" x14ac:dyDescent="0.25">
      <c r="A19" s="62" t="s">
        <v>76</v>
      </c>
      <c r="B19" s="51">
        <f>IF(E18="Yes",IF($E$20=definitions!A$23,B$18,B$18/B$3),"N/A: User Count Excceds Capability Of Azure NetApp Files")</f>
        <v>4.5</v>
      </c>
      <c r="D19" s="35" t="s">
        <v>82</v>
      </c>
      <c r="E19" s="54">
        <f>IF('Azure NetApp Files Calcuations'!B33="Yes",_xlfn.XLOOKUP(E20,'Azure NetApp Files Calcuations'!$C$29:$C$31,'Azure NetApp Files Calcuations'!$B$29:$B$31),"No")</f>
        <v>6000</v>
      </c>
      <c r="F19" s="55"/>
    </row>
    <row r="20" spans="1:8" s="53" customFormat="1" x14ac:dyDescent="0.25">
      <c r="A20" s="62" t="s">
        <v>71</v>
      </c>
      <c r="B20" s="52">
        <f>IF(E26="Yes",_xlfn.XLOOKUP(E20,'Azure NetApp Files Calcuations'!C$43:C$45,'Azure NetApp Files Calcuations'!B$43:B$45),"N/A: User Count Exceeds Capability Of Azure Files")</f>
        <v>1.404494382022472</v>
      </c>
      <c r="D20" s="35" t="s">
        <v>118</v>
      </c>
      <c r="E20" s="54" t="str">
        <f>IF('Azure NetApp Files Calcuations'!B33="Yes",(_xlfn.XLOOKUP(MIN('Azure NetApp Files Calcuations'!$B$35:$B$37),'Azure NetApp Files Calcuations'!$B$35:$B$37,'Azure NetApp Files Calcuations'!$C$35:$C$37)),"No")</f>
        <v>Standard</v>
      </c>
      <c r="F20" s="55"/>
    </row>
    <row r="21" spans="1:8" s="53" customFormat="1" x14ac:dyDescent="0.25">
      <c r="A21" s="62" t="s">
        <v>72</v>
      </c>
      <c r="B21" s="52">
        <f>IF(E33="Yes",_xlfn.XLOOKUP(E20,'Azure NetApp Files Calcuations'!C$47:C$49,'Azure NetApp Files Calcuations'!B$47:B$49),"N/A: User Count Exceeds Capability Of Azure Premium Files")</f>
        <v>0.6</v>
      </c>
      <c r="D21" s="35" t="s">
        <v>69</v>
      </c>
      <c r="E21" s="54" t="str">
        <f>IF(E18="No","No",(_xlfn.XLOOKUP(E20,'Azure NetApp Files Calcuations'!$C$25:$C$27,'Azure NetApp Files Calcuations'!$B$25:$B$27)))</f>
        <v>Bandwidth</v>
      </c>
      <c r="F21" s="55"/>
    </row>
    <row r="22" spans="1:8" s="53" customFormat="1" x14ac:dyDescent="0.25">
      <c r="A22" s="35"/>
      <c r="B22" s="51"/>
      <c r="D22" s="35" t="s">
        <v>70</v>
      </c>
      <c r="E22" s="54">
        <f>IF(E18="Yes",(_xlfn.XLOOKUP(E20,'Azure NetApp Files Calcuations'!$C$39:$C$41,'Azure NetApp Files Calcuations'!$B$39:$B$41,definitions!A$23)),"No")</f>
        <v>30</v>
      </c>
      <c r="F22" s="55"/>
    </row>
    <row r="23" spans="1:8" s="53" customFormat="1" x14ac:dyDescent="0.25">
      <c r="A23" s="35"/>
      <c r="B23" s="51"/>
      <c r="D23" s="57" t="str">
        <f>IF(E21="Capacity Pool Minimum Size","# Of Users At Min Capacity Pool Size ","Temporarily Empty Field")</f>
        <v>Temporarily Empty Field</v>
      </c>
      <c r="E23" s="58" t="str">
        <f>IF(E21="Capacity Pool Minimum Size",_xlfn.XLOOKUP(E20,'Azure NetApp Files Calcuations'!$C$13:$C$15,'Azure NetApp Files Calcuations'!$B$13:$B$15),"Temporarily Empty Field")</f>
        <v>Temporarily Empty Field</v>
      </c>
      <c r="F23" s="55" t="str">
        <f>IF(E24&gt;definitions!B29,definitions!$A$23,"Yes")</f>
        <v>Yes</v>
      </c>
    </row>
    <row r="24" spans="1:8" s="3" customFormat="1" ht="18.75" x14ac:dyDescent="0.3">
      <c r="A24" s="71" t="s">
        <v>90</v>
      </c>
      <c r="B24" s="72"/>
      <c r="C24" s="72"/>
      <c r="D24" s="72"/>
      <c r="E24" s="72"/>
      <c r="F24" s="72"/>
      <c r="G24" s="72"/>
      <c r="H24" s="72"/>
    </row>
    <row r="25" spans="1:8" x14ac:dyDescent="0.25">
      <c r="A25" s="20" t="s">
        <v>80</v>
      </c>
      <c r="B25" s="18" t="s">
        <v>8</v>
      </c>
      <c r="D25" s="19" t="s">
        <v>85</v>
      </c>
      <c r="E25" s="18" t="s">
        <v>87</v>
      </c>
      <c r="F25" s="64" t="s">
        <v>58</v>
      </c>
      <c r="G25" s="64" t="s">
        <v>59</v>
      </c>
      <c r="H25" s="64" t="s">
        <v>60</v>
      </c>
    </row>
    <row r="26" spans="1:8" ht="87" customHeight="1" x14ac:dyDescent="0.25">
      <c r="A26" s="35" t="s">
        <v>77</v>
      </c>
      <c r="B26" s="51">
        <f>IF(E26="Yes",B$29+B$28,"N/A: User Count Exceeds Capability Of Azure Files")</f>
        <v>640.79999999999995</v>
      </c>
      <c r="D26" s="34" t="s">
        <v>73</v>
      </c>
      <c r="E26" s="35" t="str">
        <f>_xlfn.XLOOKUP("No",'Azure Files Calculations'!$C$2:$C$4,'Azure Files Calculations'!$C$2:$C$4,"Yes")</f>
        <v>Yes</v>
      </c>
      <c r="F26" s="66" t="str">
        <f>'Azure Files Calculations'!$B$4</f>
        <v>Yes</v>
      </c>
      <c r="G26" s="65" t="str">
        <f>'Azure Files Calculations'!$B$2</f>
        <v>Yes</v>
      </c>
      <c r="H26" s="65" t="str">
        <f>'Azure Files Calculations'!$B$3</f>
        <v>Yes</v>
      </c>
    </row>
    <row r="27" spans="1:8" x14ac:dyDescent="0.25">
      <c r="A27" s="62" t="s">
        <v>76</v>
      </c>
      <c r="B27" s="51">
        <f>IF(E26="Yes",B$26/B$3,"N/A: User Count Exceeds Capability Of Azure Files")</f>
        <v>3.2039999999999997</v>
      </c>
      <c r="D27" s="27" t="s">
        <v>82</v>
      </c>
      <c r="E27" s="18">
        <f>IF(E26="Yes",$B$6*$B$3,"No")</f>
        <v>6000</v>
      </c>
      <c r="F27" s="40"/>
      <c r="G27" s="39"/>
      <c r="H27" s="40"/>
    </row>
    <row r="28" spans="1:8" x14ac:dyDescent="0.25">
      <c r="A28" s="62" t="s">
        <v>74</v>
      </c>
      <c r="B28" s="51">
        <f>IF(E26="Yes",((B4*B3*B7*definitions!B$32*B$8*definitions!B$34)/definitions!B33)*definitions!B$36,"N/A: User Count Exceeds Capability Of Azure Files")</f>
        <v>280.8</v>
      </c>
      <c r="D28" s="27" t="s">
        <v>70</v>
      </c>
      <c r="E28" s="18">
        <f>IF(E26="Yes",E27/$B$3,"No")</f>
        <v>30</v>
      </c>
      <c r="F28" s="40"/>
      <c r="G28" s="43"/>
      <c r="H28" s="44"/>
    </row>
    <row r="29" spans="1:8" x14ac:dyDescent="0.25">
      <c r="A29" s="62" t="s">
        <v>75</v>
      </c>
      <c r="B29" s="51">
        <f>IF(E26="Yes",B$6*B$3*B7*definitions!B$35,"N/A: User Count Exceeds Capability Of Azure Files")</f>
        <v>360</v>
      </c>
      <c r="D29" s="27" t="s">
        <v>111</v>
      </c>
      <c r="E29" s="18">
        <f>IF('Azure Files Calculations'!C4="Yes",FLOOR(   (definitions!$B$38/$B$4)*(1/$B$7),1),"No")</f>
        <v>666</v>
      </c>
      <c r="F29" s="40"/>
      <c r="G29" s="40"/>
      <c r="H29" s="40"/>
    </row>
    <row r="30" spans="1:8" x14ac:dyDescent="0.25">
      <c r="D30" s="27" t="s">
        <v>112</v>
      </c>
      <c r="E30" s="18">
        <f>IF('Azure Files Calculations'!C4="Yes",FLOOR((   (1024*definitions!$B$39)   /   ('FSLogix Calcuator'!$B$4*'FSLogix Calcuator'!$B$5)  ) * (1/$B$7   ),1),"No")</f>
        <v>640</v>
      </c>
      <c r="F30" s="40"/>
      <c r="G30" s="39"/>
      <c r="H30" s="40"/>
    </row>
    <row r="31" spans="1:8" ht="18.75" x14ac:dyDescent="0.3">
      <c r="A31" s="71" t="s">
        <v>91</v>
      </c>
      <c r="B31" s="70"/>
      <c r="C31" s="70"/>
      <c r="D31" s="70"/>
      <c r="E31" s="70"/>
      <c r="F31" s="70"/>
      <c r="G31" s="70"/>
    </row>
    <row r="32" spans="1:8" x14ac:dyDescent="0.25">
      <c r="A32" s="50" t="s">
        <v>81</v>
      </c>
      <c r="B32" s="34" t="s">
        <v>8</v>
      </c>
      <c r="D32" t="s">
        <v>84</v>
      </c>
      <c r="E32" s="8" t="s">
        <v>88</v>
      </c>
      <c r="F32" t="s">
        <v>58</v>
      </c>
      <c r="G32" t="s">
        <v>59</v>
      </c>
    </row>
    <row r="33" spans="1:7" ht="90.75" customHeight="1" x14ac:dyDescent="0.25">
      <c r="A33" s="35" t="s">
        <v>77</v>
      </c>
      <c r="B33" s="51">
        <f>IF(E33="Yes",IF(E36="I/O Need",definitions!B37*'FSLogix Calcuator'!B3*'FSLogix Calcuator'!B4,definitions!B37*'FSLogix Calcuator'!B6*'FSLogix Calcuator'!B3),"N/A: User Count Exceeds Capability Of Azure Premium Files")</f>
        <v>1500</v>
      </c>
      <c r="D33" s="34" t="s">
        <v>73</v>
      </c>
      <c r="E33" s="35" t="str">
        <f>_xlfn.XLOOKUP("No",'Azure Files Calculations'!$C$5:$C$7,'Azure Files Calculations'!$C$2:$C$4,"Yes")</f>
        <v>Yes</v>
      </c>
      <c r="F33" s="68" t="str">
        <f>'Azure Files Calculations'!$B$6</f>
        <v>Yes</v>
      </c>
      <c r="G33" s="46" t="str">
        <f>'Azure Files Calculations'!$B$5</f>
        <v>Yes</v>
      </c>
    </row>
    <row r="34" spans="1:7" x14ac:dyDescent="0.25">
      <c r="A34" s="60" t="s">
        <v>76</v>
      </c>
      <c r="B34" s="23">
        <f>IF(E33="Yes",B$33/B$3,"N/A: User Count Exceeds Capability Of Azure Premium Files")</f>
        <v>7.5</v>
      </c>
      <c r="D34" s="27" t="s">
        <v>82</v>
      </c>
      <c r="E34" s="18">
        <f>IF('Azure Files Calculations'!C6="Yes",IF(($B$4*$B$3*$B$7)&gt;($B$6*$B$3),$B$4*$B$3*$B$7,$B$6*$B$3),"No")</f>
        <v>6000</v>
      </c>
      <c r="F34" s="42"/>
      <c r="G34" s="42"/>
    </row>
    <row r="35" spans="1:7" x14ac:dyDescent="0.25">
      <c r="D35" s="8" t="s">
        <v>70</v>
      </c>
      <c r="E35" s="17">
        <f>IF('Azure Files Calculations'!$C$6="Yes",E$34/$B$3,"No")</f>
        <v>30</v>
      </c>
      <c r="F35" s="33"/>
      <c r="G35" s="41"/>
    </row>
    <row r="36" spans="1:7" x14ac:dyDescent="0.25">
      <c r="A36" s="15"/>
      <c r="B36" s="17"/>
      <c r="C36" s="8"/>
      <c r="D36" s="27" t="s">
        <v>83</v>
      </c>
      <c r="E36" s="22" t="str">
        <f>IF(($B$4*$B$3*$B$7)&gt;($B$6*$B$3),"I/O Need","VHD Size")</f>
        <v>VHD Size</v>
      </c>
      <c r="F36" s="40"/>
      <c r="G36" s="39"/>
    </row>
    <row r="37" spans="1:7" x14ac:dyDescent="0.25">
      <c r="C37" s="8"/>
      <c r="D37" s="27" t="s">
        <v>113</v>
      </c>
      <c r="E37" s="18">
        <f>FLOOR(( definitions!$B$40/$B$4) * (1/$B$7),1)</f>
        <v>6666</v>
      </c>
      <c r="F37" s="40"/>
      <c r="G37" s="45"/>
    </row>
    <row r="39" spans="1:7" x14ac:dyDescent="0.25">
      <c r="D39" t="str">
        <f>'Azure Files Calculations'!C5</f>
        <v>Yes</v>
      </c>
    </row>
    <row r="65" spans="1:5" x14ac:dyDescent="0.25">
      <c r="A65" s="3"/>
      <c r="B65" s="28"/>
      <c r="C65" s="3"/>
      <c r="D65" s="3"/>
    </row>
    <row r="66" spans="1:5" x14ac:dyDescent="0.25">
      <c r="A66" s="3"/>
      <c r="B66" s="7"/>
      <c r="C66" s="3"/>
      <c r="D66" s="3"/>
    </row>
    <row r="67" spans="1:5" x14ac:dyDescent="0.25">
      <c r="A67" s="3"/>
      <c r="B67" s="7"/>
      <c r="C67" s="3"/>
      <c r="D67" s="3"/>
    </row>
    <row r="68" spans="1:5" ht="18.75" x14ac:dyDescent="0.3">
      <c r="A68" s="5"/>
      <c r="B68" s="6"/>
      <c r="C68" s="3"/>
      <c r="D68" s="3"/>
    </row>
    <row r="69" spans="1:5" x14ac:dyDescent="0.25">
      <c r="A69" s="3"/>
      <c r="B69" s="7"/>
    </row>
    <row r="70" spans="1:5" x14ac:dyDescent="0.25">
      <c r="A70" s="3"/>
      <c r="B70" s="7"/>
    </row>
    <row r="71" spans="1:5" x14ac:dyDescent="0.25">
      <c r="A71" s="3"/>
      <c r="B71" s="7"/>
    </row>
    <row r="72" spans="1:5" x14ac:dyDescent="0.25">
      <c r="A72" s="3"/>
      <c r="B72" s="7"/>
    </row>
    <row r="73" spans="1:5" x14ac:dyDescent="0.25">
      <c r="A73" s="3"/>
      <c r="D73" s="3"/>
      <c r="E73" s="3"/>
    </row>
    <row r="74" spans="1:5" x14ac:dyDescent="0.25">
      <c r="A74" s="3"/>
      <c r="B74" s="7"/>
      <c r="C74" s="3"/>
      <c r="D74" s="3"/>
      <c r="E74" s="3"/>
    </row>
    <row r="75" spans="1:5" ht="18.75" x14ac:dyDescent="0.3">
      <c r="A75" s="5"/>
      <c r="B75" s="5"/>
      <c r="C75" s="5"/>
      <c r="D75" s="5"/>
      <c r="E75" s="5"/>
    </row>
    <row r="76" spans="1:5" x14ac:dyDescent="0.25">
      <c r="A76" s="3"/>
      <c r="B76" s="11"/>
      <c r="C76" s="3"/>
      <c r="D76" s="3"/>
      <c r="E76" s="3"/>
    </row>
    <row r="77" spans="1:5" s="3" customFormat="1" x14ac:dyDescent="0.25">
      <c r="B77" s="29"/>
    </row>
    <row r="78" spans="1:5" s="9" customFormat="1" ht="18.75" x14ac:dyDescent="0.3">
      <c r="A78" s="3"/>
      <c r="B78" s="7"/>
      <c r="C78" s="1"/>
      <c r="D78" s="3"/>
      <c r="E78" s="3"/>
    </row>
    <row r="79" spans="1:5" ht="18.75" x14ac:dyDescent="0.3">
      <c r="A79" s="5"/>
      <c r="B79" s="6"/>
      <c r="C79" s="5"/>
      <c r="D79" s="5"/>
      <c r="E79" s="5"/>
    </row>
    <row r="80" spans="1:5" ht="18.75" x14ac:dyDescent="0.3">
      <c r="A80" s="5"/>
      <c r="B80" s="10"/>
      <c r="C80" s="5"/>
      <c r="D80" s="5"/>
      <c r="E80" s="5"/>
    </row>
    <row r="81" spans="1:5" x14ac:dyDescent="0.25">
      <c r="A81" s="3"/>
      <c r="B81" s="11"/>
      <c r="C81" s="3"/>
      <c r="D81" s="3"/>
      <c r="E81" s="3"/>
    </row>
    <row r="82" spans="1:5" s="9" customFormat="1" ht="18.75" x14ac:dyDescent="0.3">
      <c r="A82" s="3"/>
      <c r="B82" s="8"/>
      <c r="C82"/>
      <c r="D82" s="3"/>
      <c r="E82" s="3"/>
    </row>
    <row r="83" spans="1:5" s="9" customFormat="1" ht="18.75" x14ac:dyDescent="0.3">
      <c r="A83" s="3"/>
      <c r="B83" s="7"/>
      <c r="C83" s="3"/>
      <c r="D83" s="3"/>
      <c r="E83" s="3"/>
    </row>
    <row r="84" spans="1:5" ht="18.75" x14ac:dyDescent="0.3">
      <c r="A84" s="11"/>
      <c r="B84" s="5"/>
      <c r="C84" s="11"/>
      <c r="D84" s="3"/>
      <c r="E84" s="3"/>
    </row>
    <row r="85" spans="1:5" x14ac:dyDescent="0.25">
      <c r="A85" s="3"/>
      <c r="B85" s="11"/>
      <c r="C85" s="3"/>
      <c r="D85" s="3"/>
      <c r="E85" s="3"/>
    </row>
    <row r="86" spans="1:5" s="3" customFormat="1" x14ac:dyDescent="0.25">
      <c r="B86" s="29"/>
    </row>
    <row r="87" spans="1:5" x14ac:dyDescent="0.25">
      <c r="A87" s="3"/>
      <c r="B87" s="7"/>
      <c r="C87" s="12"/>
      <c r="D87" s="3"/>
      <c r="E87" s="3"/>
    </row>
    <row r="88" spans="1:5" ht="18.75" x14ac:dyDescent="0.3">
      <c r="A88" s="5"/>
      <c r="B88" s="6"/>
      <c r="C88" s="5"/>
      <c r="D88" s="5"/>
      <c r="E88" s="5"/>
    </row>
    <row r="89" spans="1:5" ht="18.75" x14ac:dyDescent="0.3">
      <c r="A89" s="5"/>
      <c r="B89" s="10"/>
      <c r="C89" s="5"/>
      <c r="D89" s="5"/>
      <c r="E89" s="5"/>
    </row>
    <row r="90" spans="1:5" x14ac:dyDescent="0.25">
      <c r="A90" s="3"/>
      <c r="B90" s="11"/>
      <c r="C90" s="3"/>
      <c r="D90" s="3"/>
      <c r="E90" s="3"/>
    </row>
    <row r="91" spans="1:5" s="9" customFormat="1" ht="18.75" x14ac:dyDescent="0.3">
      <c r="A91" s="11"/>
      <c r="B91" s="8"/>
      <c r="C91"/>
      <c r="D91" s="3"/>
      <c r="E91" s="3"/>
    </row>
    <row r="92" spans="1:5" s="9" customFormat="1" ht="18.75" x14ac:dyDescent="0.3">
      <c r="A92" s="3"/>
      <c r="B92" s="7"/>
      <c r="C92" s="3"/>
      <c r="D92" s="3"/>
      <c r="E92" s="3"/>
    </row>
    <row r="93" spans="1:5" ht="18.75" x14ac:dyDescent="0.3">
      <c r="A93" s="5"/>
      <c r="B93" s="5"/>
      <c r="C93" s="11"/>
      <c r="D93" s="5"/>
      <c r="E93" s="5"/>
    </row>
    <row r="94" spans="1:5" x14ac:dyDescent="0.25">
      <c r="A94" s="3"/>
      <c r="B94" s="11"/>
      <c r="C94" s="3"/>
    </row>
    <row r="95" spans="1:5" s="3" customFormat="1" x14ac:dyDescent="0.25">
      <c r="B95" s="29"/>
      <c r="D95"/>
      <c r="E95"/>
    </row>
    <row r="96" spans="1:5" s="9" customFormat="1" ht="18.75" x14ac:dyDescent="0.3">
      <c r="A96" s="3"/>
      <c r="B96" s="7"/>
      <c r="C96" s="12"/>
      <c r="D96" s="3"/>
      <c r="E96" s="3"/>
    </row>
    <row r="97" spans="1:5" ht="18.75" x14ac:dyDescent="0.3">
      <c r="A97" s="5"/>
      <c r="B97" s="6"/>
      <c r="C97" s="13"/>
      <c r="D97" s="3"/>
      <c r="E97" s="3"/>
    </row>
    <row r="98" spans="1:5" ht="18.75" x14ac:dyDescent="0.3">
      <c r="A98" s="5"/>
      <c r="B98" s="10"/>
      <c r="C98" s="5"/>
      <c r="D98" s="5"/>
      <c r="E98" s="5"/>
    </row>
    <row r="101" spans="1:5" s="9" customFormat="1" ht="18.75" x14ac:dyDescent="0.3">
      <c r="A101" s="3"/>
      <c r="B101" s="7"/>
      <c r="C101" s="3"/>
      <c r="D101" s="3"/>
      <c r="E101" s="3"/>
    </row>
    <row r="102" spans="1:5" x14ac:dyDescent="0.25">
      <c r="A102" s="3"/>
      <c r="B102" s="11"/>
      <c r="C102" s="3"/>
      <c r="D102" s="3"/>
      <c r="E102" s="3"/>
    </row>
    <row r="103" spans="1:5" x14ac:dyDescent="0.25">
      <c r="A103" s="3"/>
      <c r="B103" s="11"/>
      <c r="C103" s="3"/>
      <c r="D103" s="3"/>
      <c r="E103" s="3"/>
    </row>
    <row r="104" spans="1:5" s="3" customFormat="1" x14ac:dyDescent="0.25">
      <c r="B104" s="30"/>
    </row>
    <row r="107" spans="1:5" x14ac:dyDescent="0.25">
      <c r="A107" s="3"/>
      <c r="B107" s="31"/>
      <c r="C107" s="3"/>
      <c r="D107" s="3"/>
      <c r="E107" s="3"/>
    </row>
  </sheetData>
  <sheetProtection algorithmName="SHA-512" hashValue="cSrUbPjI0p+LBUjceeghFfZdmZEd1Ge9HnoO5zAdnlwzHZUer+Sw5LL9gpaKtsSElp67VcWBOqu6owcCHvPIdw==" saltValue="2zT+6GYSdQsZp1eHcvM3sQ==" spinCount="100000" sheet="1" objects="1" scenarios="1"/>
  <mergeCells count="4">
    <mergeCell ref="A1:B1"/>
    <mergeCell ref="A24:H24"/>
    <mergeCell ref="A31:G31"/>
    <mergeCell ref="A16:H16"/>
  </mergeCells>
  <phoneticPr fontId="4" type="noConversion"/>
  <conditionalFormatting sqref="A32:B35 A25:B30">
    <cfRule type="cellIs" dxfId="94" priority="91" operator="equal">
      <formula>"Temporarily Empty Field"</formula>
    </cfRule>
  </conditionalFormatting>
  <conditionalFormatting sqref="F26:H28">
    <cfRule type="containsText" dxfId="93" priority="21" operator="containsText" text="Yes">
      <formula>NOT(ISERROR(SEARCH("Yes",F26)))</formula>
    </cfRule>
    <cfRule type="containsText" dxfId="92" priority="22" operator="containsText" text="Required">
      <formula>NOT(ISERROR(SEARCH("Required",F26)))</formula>
    </cfRule>
  </conditionalFormatting>
  <conditionalFormatting sqref="E21:E22">
    <cfRule type="cellIs" dxfId="91" priority="39" operator="equal">
      <formula>"Capacity Pool Minimum Size"</formula>
    </cfRule>
  </conditionalFormatting>
  <conditionalFormatting sqref="D23">
    <cfRule type="cellIs" dxfId="90" priority="38" operator="equal">
      <formula>"Temporarily Empty Field"</formula>
    </cfRule>
  </conditionalFormatting>
  <conditionalFormatting sqref="E23">
    <cfRule type="cellIs" dxfId="89" priority="37" operator="equal">
      <formula>"Temporarily Empty Field"</formula>
    </cfRule>
  </conditionalFormatting>
  <conditionalFormatting sqref="E18">
    <cfRule type="cellIs" dxfId="88" priority="29" operator="equal">
      <formula>"Yes"</formula>
    </cfRule>
    <cfRule type="cellIs" dxfId="87" priority="30" operator="equal">
      <formula>"""Yes"""</formula>
    </cfRule>
    <cfRule type="cellIs" dxfId="86" priority="36" operator="equal">
      <formula>"No"</formula>
    </cfRule>
  </conditionalFormatting>
  <conditionalFormatting sqref="F18">
    <cfRule type="cellIs" dxfId="85" priority="31" operator="equal">
      <formula>"Required Capacity Exceeds documented 100TiB Upper Limit"</formula>
    </cfRule>
    <cfRule type="cellIs" dxfId="84" priority="32" operator="equal">
      <formula>"""Required Capacity Exceeds documented 100TiB Upper Limit"""</formula>
    </cfRule>
    <cfRule type="containsText" dxfId="83" priority="33" operator="containsText" text="&quot;Required&quot;">
      <formula>NOT(ISERROR(SEARCH("""Required""",F18)))</formula>
    </cfRule>
    <cfRule type="containsText" dxfId="82" priority="34" operator="containsText" text="&quot;Required&quot;">
      <formula>NOT(ISERROR(SEARCH("""Required""",F18)))</formula>
    </cfRule>
    <cfRule type="cellIs" dxfId="81" priority="35" operator="equal">
      <formula>"Yes"</formula>
    </cfRule>
  </conditionalFormatting>
  <conditionalFormatting sqref="E26">
    <cfRule type="cellIs" dxfId="80" priority="27" operator="equal">
      <formula>"Yes"</formula>
    </cfRule>
    <cfRule type="cellIs" dxfId="79" priority="28" operator="equal">
      <formula>"No: 300MiB/s is Maximum Supported Load"</formula>
    </cfRule>
  </conditionalFormatting>
  <conditionalFormatting sqref="E26">
    <cfRule type="cellIs" dxfId="78" priority="26" operator="equal">
      <formula>"Yes"</formula>
    </cfRule>
  </conditionalFormatting>
  <conditionalFormatting sqref="E26">
    <cfRule type="cellIs" dxfId="77" priority="25" operator="equal">
      <formula>"""No: 102,400GiB is Maximum Supported Capacity"""</formula>
    </cfRule>
  </conditionalFormatting>
  <conditionalFormatting sqref="E26">
    <cfRule type="cellIs" dxfId="76" priority="23" operator="equal">
      <formula>"No"</formula>
    </cfRule>
    <cfRule type="cellIs" dxfId="75" priority="24" operator="equal">
      <formula>"No: 102,400GiB is Maximum Supported Capacity"</formula>
    </cfRule>
  </conditionalFormatting>
  <conditionalFormatting sqref="E33 E36">
    <cfRule type="cellIs" dxfId="74" priority="19" operator="equal">
      <formula>"Yes"</formula>
    </cfRule>
    <cfRule type="cellIs" dxfId="73" priority="20" operator="equal">
      <formula>"No: 100,000 IOPS is Maximum Supported Load"</formula>
    </cfRule>
  </conditionalFormatting>
  <conditionalFormatting sqref="F33:G34 F36:G36">
    <cfRule type="containsText" dxfId="72" priority="16" operator="containsText" text="Required">
      <formula>NOT(ISERROR(SEARCH("Required",F33)))</formula>
    </cfRule>
    <cfRule type="containsText" dxfId="71" priority="18" operator="containsText" text="Yes">
      <formula>NOT(ISERROR(SEARCH("Yes",F33)))</formula>
    </cfRule>
  </conditionalFormatting>
  <conditionalFormatting sqref="E33 E36">
    <cfRule type="cellIs" dxfId="70" priority="17" operator="equal">
      <formula>"No"</formula>
    </cfRule>
  </conditionalFormatting>
  <conditionalFormatting sqref="E19:E22 E28:E30">
    <cfRule type="cellIs" dxfId="69" priority="15" operator="equal">
      <formula>"No"</formula>
    </cfRule>
  </conditionalFormatting>
  <conditionalFormatting sqref="E27">
    <cfRule type="cellIs" dxfId="68" priority="11" operator="equal">
      <formula>"No"</formula>
    </cfRule>
  </conditionalFormatting>
  <conditionalFormatting sqref="E34">
    <cfRule type="cellIs" dxfId="67" priority="9" operator="equal">
      <formula>"No"</formula>
    </cfRule>
  </conditionalFormatting>
  <conditionalFormatting sqref="E35">
    <cfRule type="cellIs" dxfId="66" priority="7" operator="equal">
      <formula>"No"</formula>
    </cfRule>
  </conditionalFormatting>
  <conditionalFormatting sqref="B34">
    <cfRule type="containsText" dxfId="65" priority="6" operator="containsText" text="N/A">
      <formula>NOT(ISERROR(SEARCH("N/A",B34)))</formula>
    </cfRule>
  </conditionalFormatting>
  <conditionalFormatting sqref="B33">
    <cfRule type="containsText" dxfId="64" priority="5" operator="containsText" text="N/A">
      <formula>NOT(ISERROR(SEARCH("N/A",B33)))</formula>
    </cfRule>
  </conditionalFormatting>
  <conditionalFormatting sqref="B18">
    <cfRule type="containsText" dxfId="63" priority="4" operator="containsText" text="N/A">
      <formula>NOT(ISERROR(SEARCH("N/A",B18)))</formula>
    </cfRule>
  </conditionalFormatting>
  <conditionalFormatting sqref="B26">
    <cfRule type="containsText" dxfId="62" priority="3" operator="containsText" text="N/A">
      <formula>NOT(ISERROR(SEARCH("N/A",B26)))</formula>
    </cfRule>
  </conditionalFormatting>
  <conditionalFormatting sqref="B19">
    <cfRule type="containsText" dxfId="61" priority="2" operator="containsText" text="N/A">
      <formula>NOT(ISERROR(SEARCH("N/A",B19)))</formula>
    </cfRule>
  </conditionalFormatting>
  <conditionalFormatting sqref="B27">
    <cfRule type="containsText" dxfId="60" priority="1" operator="containsText" text="N/A">
      <formula>NOT(ISERROR(SEARCH("N/A",B27)))</formula>
    </cfRule>
  </conditionalFormatting>
  <dataValidations count="5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9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8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8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8" xr:uid="{A1CCD0B8-6B2D-42A1-89B6-7ABA9C370E18}"/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ignoredErrors>
    <ignoredError sqref="F18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B5</xm:sqref>
        </x14:dataValidation>
        <x14:dataValidation type="list" allowBlank="1" showInputMessage="1" showErrorMessage="1" promptTitle="Storage IOPS Per User" prompt="The average IOPS per user is environment dependant. " xr:uid="{E2E3AE84-252F-4455-AC8B-A92442F4F96A}">
          <x14:formula1>
            <xm:f>definitions!$B$2:$B$8</xm:f>
          </x14:formula1>
          <xm:sqref>B4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B4:B5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definitions!$C$2:$C$13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dimension ref="A1:E49"/>
  <sheetViews>
    <sheetView topLeftCell="A17" workbookViewId="0">
      <selection activeCell="B38" sqref="B38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31</v>
      </c>
      <c r="B1" s="15"/>
    </row>
    <row r="2" spans="1:3" ht="13.5" customHeight="1" x14ac:dyDescent="0.25">
      <c r="A2" s="2" t="s">
        <v>63</v>
      </c>
      <c r="B2" s="15">
        <f>'FSLogix Calcuator'!B$15</f>
        <v>6000</v>
      </c>
      <c r="C2" s="3"/>
    </row>
    <row r="3" spans="1:3" ht="13.5" customHeight="1" x14ac:dyDescent="0.25">
      <c r="A3" s="2" t="s">
        <v>108</v>
      </c>
      <c r="B3" s="15">
        <f>'FSLogix Calcuator'!B$6</f>
        <v>30</v>
      </c>
      <c r="C3" s="3"/>
    </row>
    <row r="4" spans="1:3" ht="13.5" customHeight="1" x14ac:dyDescent="0.25">
      <c r="A4" s="2"/>
      <c r="B4" s="15"/>
      <c r="C4" s="3"/>
    </row>
    <row r="5" spans="1:3" x14ac:dyDescent="0.25">
      <c r="A5" s="2" t="s">
        <v>32</v>
      </c>
      <c r="B5" s="15">
        <f>('FSLogix Calcuator'!B$12*1024)/definitions!B30</f>
        <v>6000</v>
      </c>
      <c r="C5" s="3" t="s">
        <v>47</v>
      </c>
    </row>
    <row r="6" spans="1:3" x14ac:dyDescent="0.25">
      <c r="A6" s="2" t="s">
        <v>33</v>
      </c>
      <c r="B6" s="15">
        <f>('FSLogix Calcuator'!B$12*1024)/definitions!B28</f>
        <v>1500</v>
      </c>
      <c r="C6" s="3" t="s">
        <v>48</v>
      </c>
    </row>
    <row r="7" spans="1:3" x14ac:dyDescent="0.25">
      <c r="A7" s="2" t="s">
        <v>34</v>
      </c>
      <c r="B7" s="15">
        <f>('FSLogix Calcuator'!B$12*1024)/definitions!B26</f>
        <v>750</v>
      </c>
      <c r="C7" s="3" t="s">
        <v>40</v>
      </c>
    </row>
    <row r="9" spans="1:3" x14ac:dyDescent="0.25">
      <c r="A9" s="2" t="s">
        <v>105</v>
      </c>
      <c r="B9" s="2">
        <f>('FSLogix Calcuator'!B$13*'FSLogix Calcuator'!B$7)/definitions!B$30</f>
        <v>30</v>
      </c>
      <c r="C9" s="3" t="s">
        <v>47</v>
      </c>
    </row>
    <row r="10" spans="1:3" x14ac:dyDescent="0.25">
      <c r="A10" s="2" t="s">
        <v>106</v>
      </c>
      <c r="B10" s="2">
        <f>('FSLogix Calcuator'!B$13*'FSLogix Calcuator'!B$7)/definitions!B28</f>
        <v>7.5</v>
      </c>
      <c r="C10" s="3" t="s">
        <v>48</v>
      </c>
    </row>
    <row r="11" spans="1:3" x14ac:dyDescent="0.25">
      <c r="A11" s="2" t="s">
        <v>107</v>
      </c>
      <c r="B11" s="2">
        <f>('FSLogix Calcuator'!B$13*'FSLogix Calcuator'!B$7)/definitions!B26</f>
        <v>3.75</v>
      </c>
      <c r="C11" s="3" t="s">
        <v>40</v>
      </c>
    </row>
    <row r="12" spans="1:3" x14ac:dyDescent="0.25">
      <c r="A12" s="2"/>
      <c r="B12" s="2"/>
      <c r="C12" s="3"/>
    </row>
    <row r="13" spans="1:3" x14ac:dyDescent="0.25">
      <c r="A13" s="2" t="s">
        <v>36</v>
      </c>
      <c r="B13" s="2">
        <f>CEILING(IF(B9&gt;B$3,definitions!B$31/B9,definitions!B$31/B$3),1)</f>
        <v>137</v>
      </c>
      <c r="C13" s="3" t="s">
        <v>47</v>
      </c>
    </row>
    <row r="14" spans="1:3" x14ac:dyDescent="0.25">
      <c r="A14" s="2" t="s">
        <v>37</v>
      </c>
      <c r="B14" s="2">
        <f>CEILING(IF(B10&gt;B$3,definitions!B$31/B10,definitions!B$31/B$3),1)</f>
        <v>137</v>
      </c>
      <c r="C14" s="3" t="s">
        <v>48</v>
      </c>
    </row>
    <row r="15" spans="1:3" ht="16.5" customHeight="1" x14ac:dyDescent="0.25">
      <c r="A15" s="2" t="s">
        <v>38</v>
      </c>
      <c r="B15" s="2">
        <f>CEILING(IF(B11&gt;B$3,definitions!B$31/B11,definitions!B$31/B$3),1)</f>
        <v>137</v>
      </c>
      <c r="C15" s="3" t="s">
        <v>40</v>
      </c>
    </row>
    <row r="16" spans="1:3" ht="13.5" customHeight="1" x14ac:dyDescent="0.25">
      <c r="A16" s="2"/>
      <c r="B16" s="2"/>
      <c r="C16" s="3"/>
    </row>
    <row r="17" spans="1:3" ht="13.5" customHeight="1" x14ac:dyDescent="0.25">
      <c r="A17" s="2" t="s">
        <v>99</v>
      </c>
      <c r="B17" s="15" t="str">
        <f>IF(B$2&gt;B5,"Capacity","Bandwidth")</f>
        <v>Bandwidth</v>
      </c>
      <c r="C17" s="3" t="s">
        <v>47</v>
      </c>
    </row>
    <row r="18" spans="1:3" ht="13.5" customHeight="1" x14ac:dyDescent="0.25">
      <c r="A18" s="2" t="s">
        <v>100</v>
      </c>
      <c r="B18" s="15" t="str">
        <f>IF(B$2&gt;B6,"Capacity","Bandwidth")</f>
        <v>Capacity</v>
      </c>
      <c r="C18" s="3" t="s">
        <v>48</v>
      </c>
    </row>
    <row r="19" spans="1:3" ht="13.5" customHeight="1" x14ac:dyDescent="0.25">
      <c r="A19" s="2" t="s">
        <v>101</v>
      </c>
      <c r="B19" s="15" t="str">
        <f>IF(B$2&gt;B7,"Capacity","Bandwidth")</f>
        <v>Capacity</v>
      </c>
      <c r="C19" s="3" t="s">
        <v>40</v>
      </c>
    </row>
    <row r="20" spans="1:3" ht="13.5" customHeight="1" x14ac:dyDescent="0.25">
      <c r="A20" s="2"/>
      <c r="B20" s="2"/>
      <c r="C20" s="3"/>
    </row>
    <row r="21" spans="1:3" ht="13.5" customHeight="1" x14ac:dyDescent="0.25">
      <c r="A21" s="2" t="s">
        <v>102</v>
      </c>
      <c r="B21" s="15">
        <f>IF(B$2&gt;B5,B$2,B5)</f>
        <v>6000</v>
      </c>
      <c r="C21" s="3" t="s">
        <v>47</v>
      </c>
    </row>
    <row r="22" spans="1:3" ht="13.5" customHeight="1" x14ac:dyDescent="0.25">
      <c r="A22" s="2" t="s">
        <v>103</v>
      </c>
      <c r="B22" s="15">
        <f>IF(B$2&gt;B6,B$2,B6)</f>
        <v>6000</v>
      </c>
      <c r="C22" s="3" t="s">
        <v>48</v>
      </c>
    </row>
    <row r="23" spans="1:3" ht="13.5" customHeight="1" x14ac:dyDescent="0.25">
      <c r="A23" s="2" t="s">
        <v>104</v>
      </c>
      <c r="B23" s="15">
        <f>IF(B$2&gt;B7,B$2,B7)</f>
        <v>6000</v>
      </c>
      <c r="C23" s="3" t="s">
        <v>40</v>
      </c>
    </row>
    <row r="24" spans="1:3" ht="13.5" customHeight="1" x14ac:dyDescent="0.25">
      <c r="A24" s="2"/>
      <c r="B24" s="2"/>
      <c r="C24" s="3"/>
    </row>
    <row r="25" spans="1:3" ht="13.5" customHeight="1" x14ac:dyDescent="0.25">
      <c r="A25" s="2" t="s">
        <v>93</v>
      </c>
      <c r="B25" s="15" t="str">
        <f>IF(B21&gt;definitions!B$31,B17,"Capacity Pool Minimum Size")</f>
        <v>Bandwidth</v>
      </c>
      <c r="C25" s="3" t="s">
        <v>47</v>
      </c>
    </row>
    <row r="26" spans="1:3" ht="13.5" customHeight="1" x14ac:dyDescent="0.25">
      <c r="A26" s="2" t="s">
        <v>94</v>
      </c>
      <c r="B26" s="15" t="str">
        <f>IF(B22&gt;definitions!B$31,B18,"Capacity Pool Minimum Size")</f>
        <v>Capacity</v>
      </c>
      <c r="C26" s="3" t="s">
        <v>48</v>
      </c>
    </row>
    <row r="27" spans="1:3" ht="13.5" customHeight="1" x14ac:dyDescent="0.25">
      <c r="A27" s="2" t="s">
        <v>95</v>
      </c>
      <c r="B27" s="15" t="str">
        <f>IF(B23&gt;definitions!B$31,B19,"Capacity Pool Minimum Size")</f>
        <v>Capacity</v>
      </c>
      <c r="C27" s="3" t="s">
        <v>40</v>
      </c>
    </row>
    <row r="28" spans="1:3" ht="13.5" customHeight="1" x14ac:dyDescent="0.25">
      <c r="A28" s="2"/>
      <c r="B28" s="2"/>
      <c r="C28" s="3"/>
    </row>
    <row r="29" spans="1:3" ht="13.5" customHeight="1" x14ac:dyDescent="0.25">
      <c r="A29" s="2" t="s">
        <v>96</v>
      </c>
      <c r="B29" s="15">
        <f>IF(B21&gt;definitions!B$31,B21,definitions!B$31)</f>
        <v>6000</v>
      </c>
      <c r="C29" s="3" t="s">
        <v>47</v>
      </c>
    </row>
    <row r="30" spans="1:3" ht="13.5" customHeight="1" x14ac:dyDescent="0.25">
      <c r="A30" s="2" t="s">
        <v>97</v>
      </c>
      <c r="B30" s="15">
        <f>IF(B22&gt;definitions!B$31,B22,definitions!B$31)</f>
        <v>6000</v>
      </c>
      <c r="C30" s="3" t="s">
        <v>48</v>
      </c>
    </row>
    <row r="31" spans="1:3" ht="13.5" customHeight="1" x14ac:dyDescent="0.25">
      <c r="A31" s="2" t="s">
        <v>98</v>
      </c>
      <c r="B31" s="15">
        <f>IF(B23&gt;definitions!B$31,B23,definitions!B$31)</f>
        <v>6000</v>
      </c>
      <c r="C31" s="3" t="s">
        <v>40</v>
      </c>
    </row>
    <row r="32" spans="1:3" ht="13.5" customHeight="1" x14ac:dyDescent="0.25">
      <c r="A32" s="2"/>
      <c r="B32" s="15"/>
      <c r="C32" s="3"/>
    </row>
    <row r="33" spans="1:5" ht="13.5" customHeight="1" x14ac:dyDescent="0.25">
      <c r="A33" s="2" t="s">
        <v>109</v>
      </c>
      <c r="B33" s="15" t="str">
        <f>IF(MIN(B29:B31)&gt;definitions!B24,"No","Yes")</f>
        <v>Yes</v>
      </c>
      <c r="C33" s="3" t="s">
        <v>47</v>
      </c>
    </row>
    <row r="34" spans="1:5" ht="13.5" customHeight="1" x14ac:dyDescent="0.25">
      <c r="A34" s="2"/>
      <c r="B34" s="2"/>
      <c r="C34" s="3"/>
      <c r="D34" s="3"/>
      <c r="E34" s="3"/>
    </row>
    <row r="35" spans="1:5" ht="13.5" customHeight="1" x14ac:dyDescent="0.25">
      <c r="A35" s="2" t="s">
        <v>41</v>
      </c>
      <c r="B35" s="24">
        <f>IF((B29&gt;definitions!B24),99999,B29*definitions!B$29)</f>
        <v>900</v>
      </c>
      <c r="C35" s="3" t="s">
        <v>47</v>
      </c>
      <c r="D35" s="3"/>
      <c r="E35" s="3"/>
    </row>
    <row r="36" spans="1:5" ht="13.5" customHeight="1" x14ac:dyDescent="0.25">
      <c r="A36" s="2" t="s">
        <v>42</v>
      </c>
      <c r="B36" s="16">
        <f>IF((B30&gt;definitions!B24),99999,B30*definitions!B$27)</f>
        <v>1800</v>
      </c>
      <c r="C36" s="3" t="s">
        <v>48</v>
      </c>
      <c r="D36" s="3"/>
      <c r="E36" s="3"/>
    </row>
    <row r="37" spans="1:5" ht="13.5" customHeight="1" x14ac:dyDescent="0.25">
      <c r="A37" s="2" t="s">
        <v>43</v>
      </c>
      <c r="B37" s="16">
        <f>IF((B31&gt;definitions!B24),99999,(B31*definitions!B$25))</f>
        <v>2400</v>
      </c>
      <c r="C37" s="3" t="s">
        <v>40</v>
      </c>
      <c r="D37" s="3"/>
      <c r="E37" s="3"/>
    </row>
    <row r="38" spans="1:5" ht="13.5" customHeight="1" x14ac:dyDescent="0.25">
      <c r="A38" s="2"/>
      <c r="B38" s="16"/>
      <c r="C38" s="3"/>
      <c r="D38" s="3"/>
      <c r="E38" s="3"/>
    </row>
    <row r="39" spans="1:5" ht="13.5" customHeight="1" x14ac:dyDescent="0.25">
      <c r="A39" s="2" t="s">
        <v>52</v>
      </c>
      <c r="B39" s="15">
        <f>B29/'FSLogix Calcuator'!B$3</f>
        <v>30</v>
      </c>
      <c r="C39" s="3" t="s">
        <v>47</v>
      </c>
      <c r="D39" s="3"/>
      <c r="E39" s="3"/>
    </row>
    <row r="40" spans="1:5" ht="13.5" customHeight="1" x14ac:dyDescent="0.25">
      <c r="A40" s="2" t="s">
        <v>53</v>
      </c>
      <c r="B40" s="15">
        <f>B30/'FSLogix Calcuator'!B$3</f>
        <v>30</v>
      </c>
      <c r="C40" s="3" t="s">
        <v>48</v>
      </c>
      <c r="D40" s="3"/>
      <c r="E40" s="3"/>
    </row>
    <row r="41" spans="1:5" ht="13.5" customHeight="1" x14ac:dyDescent="0.25">
      <c r="A41" s="2" t="s">
        <v>54</v>
      </c>
      <c r="B41" s="15">
        <f>B31/'FSLogix Calcuator'!B$3</f>
        <v>30</v>
      </c>
      <c r="C41" s="3" t="s">
        <v>40</v>
      </c>
      <c r="D41" s="3"/>
      <c r="E41" s="3"/>
    </row>
    <row r="42" spans="1:5" ht="25.5" customHeight="1" x14ac:dyDescent="0.25">
      <c r="A42" s="2"/>
      <c r="B42" s="15"/>
      <c r="C42" s="3"/>
      <c r="D42" s="3"/>
      <c r="E42" s="3"/>
    </row>
    <row r="43" spans="1:5" ht="13.5" customHeight="1" x14ac:dyDescent="0.25">
      <c r="A43" s="2" t="s">
        <v>44</v>
      </c>
      <c r="B43" s="26">
        <f>IF(B35=definitions!A$23,B35, B35/'FSLogix Calcuator'!B$26)</f>
        <v>1.404494382022472</v>
      </c>
      <c r="C43" s="3" t="s">
        <v>47</v>
      </c>
      <c r="D43" s="3"/>
      <c r="E43" s="3"/>
    </row>
    <row r="44" spans="1:5" ht="13.5" customHeight="1" x14ac:dyDescent="0.25">
      <c r="A44" s="2" t="s">
        <v>45</v>
      </c>
      <c r="B44" s="26">
        <f>IF(B36=definitions!A$23,B36, B36/'FSLogix Calcuator'!B$26)</f>
        <v>2.808988764044944</v>
      </c>
      <c r="C44" s="3" t="s">
        <v>48</v>
      </c>
      <c r="D44" s="3"/>
      <c r="E44" s="3"/>
    </row>
    <row r="45" spans="1:5" x14ac:dyDescent="0.25">
      <c r="A45" s="2" t="s">
        <v>46</v>
      </c>
      <c r="B45" s="26">
        <f>IF(B37=definitions!A$23,B37, B37/'FSLogix Calcuator'!B$26)</f>
        <v>3.7453183520599254</v>
      </c>
      <c r="C45" s="3" t="s">
        <v>40</v>
      </c>
      <c r="D45" s="3"/>
      <c r="E45" s="4"/>
    </row>
    <row r="46" spans="1:5" x14ac:dyDescent="0.25">
      <c r="A46" s="3"/>
      <c r="B46" s="15"/>
      <c r="C46" s="3"/>
      <c r="D46" s="3"/>
    </row>
    <row r="47" spans="1:5" x14ac:dyDescent="0.25">
      <c r="A47" s="2" t="s">
        <v>49</v>
      </c>
      <c r="B47" s="26">
        <f>IF(B35=definitions!A23,B35,B35/'FSLogix Calcuator'!B$33)</f>
        <v>0.6</v>
      </c>
      <c r="C47" s="3" t="s">
        <v>47</v>
      </c>
      <c r="D47" s="3"/>
    </row>
    <row r="48" spans="1:5" x14ac:dyDescent="0.25">
      <c r="A48" s="2" t="s">
        <v>50</v>
      </c>
      <c r="B48" s="26">
        <f>IF(B36=definitions!A23,B36,B36/'FSLogix Calcuator'!B$33)</f>
        <v>1.2</v>
      </c>
      <c r="C48" s="3" t="s">
        <v>48</v>
      </c>
      <c r="D48" s="3"/>
    </row>
    <row r="49" spans="1:4" x14ac:dyDescent="0.25">
      <c r="A49" s="2" t="s">
        <v>51</v>
      </c>
      <c r="B49" s="26">
        <f>IF(B37=definitions!A23,B37,B37/'FSLogix Calcuator'!B$33)</f>
        <v>1.6</v>
      </c>
      <c r="C49" s="3" t="s">
        <v>40</v>
      </c>
      <c r="D49" s="3"/>
    </row>
  </sheetData>
  <sheetProtection algorithmName="SHA-512" hashValue="7YICRouNavjLxxbclE8SY8a8qu+4etaGwETbBEcsJKTc3hkIaeMpFlx1l5+tW74etaI7zpgXxE91s0LLlqzNug==" saltValue="3DEjIcs2sAXrsFDw2iJb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dimension ref="A1:C7"/>
  <sheetViews>
    <sheetView workbookViewId="0">
      <selection activeCell="B4" sqref="B4"/>
    </sheetView>
  </sheetViews>
  <sheetFormatPr defaultRowHeight="15" x14ac:dyDescent="0.25"/>
  <cols>
    <col min="1" max="1" width="76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57</v>
      </c>
      <c r="C1" t="s">
        <v>56</v>
      </c>
    </row>
    <row r="2" spans="1:3" x14ac:dyDescent="0.25">
      <c r="A2" t="s">
        <v>21</v>
      </c>
      <c r="B2" s="36" t="str">
        <f>IF('FSLogix Calcuator'!B14&gt;definitions!B$38,"Required I/O Rate Exceeds documented 10,000 IOP Upper Limit","Yes")</f>
        <v>Yes</v>
      </c>
      <c r="C2" s="37" t="str">
        <f>IF('FSLogix Calcuator'!B$14&gt;definitions!B$38,"No","Yes")</f>
        <v>Yes</v>
      </c>
    </row>
    <row r="3" spans="1:3" x14ac:dyDescent="0.25">
      <c r="A3" t="s">
        <v>22</v>
      </c>
      <c r="B3" s="38" t="str">
        <f>IF(('FSLogix Calcuator'!B12)&gt;definitions!B$39,"Required Bandwidth Exceeds documented 300MiB/s  Upper Limit","Yes")</f>
        <v>Yes</v>
      </c>
      <c r="C3" s="37" t="str">
        <f>IF(('FSLogix Calcuator'!B12)&gt;definitions!B$39,"No","Yes")</f>
        <v>Yes</v>
      </c>
    </row>
    <row r="4" spans="1:3" x14ac:dyDescent="0.25">
      <c r="A4" t="s">
        <v>39</v>
      </c>
      <c r="B4" s="36" t="str">
        <f>IF('FSLogix Calcuator'!B15&gt;102400,"Required Capacity Exceeds documented 100TiB Upper Limit","Yes")</f>
        <v>Yes</v>
      </c>
      <c r="C4" s="37" t="str">
        <f>IF('FSLogix Calcuator'!B15&gt;102400,"No","Yes")</f>
        <v>Yes</v>
      </c>
    </row>
    <row r="5" spans="1:3" x14ac:dyDescent="0.25">
      <c r="A5" t="s">
        <v>20</v>
      </c>
      <c r="B5" s="37" t="str">
        <f>IF(('FSLogix Calcuator'!B$4*'FSLogix Calcuator'!B$3*'FSLogix Calcuator'!B$7)&gt;definitions!B$40,"Required I/O Rate Exceeds documented 100,000 IOP Upper Limit","Yes")</f>
        <v>Yes</v>
      </c>
      <c r="C5" s="37" t="str">
        <f>IF(('FSLogix Calcuator'!B$4*'FSLogix Calcuator'!B$3*'FSLogix Calcuator'!B$7)&gt;definitions!B$40,"No","Yes")</f>
        <v>Yes</v>
      </c>
    </row>
    <row r="6" spans="1:3" x14ac:dyDescent="0.25">
      <c r="A6" t="s">
        <v>116</v>
      </c>
      <c r="B6" s="37" t="str">
        <f>IF(IF(('FSLogix Calcuator'!$B$4*'FSLogix Calcuator'!$B$3*'FSLogix Calcuator'!$B$7)&gt;('FSLogix Calcuator'!$B$6*'FSLogix Calcuator'!$B$3),'FSLogix Calcuator'!$B$4*'FSLogix Calcuator'!$B$3*'FSLogix Calcuator'!$B$7,'FSLogix Calcuator'!$B$6*'FSLogix Calcuator'!$B$3)&gt;definitions!B42,"Required Capacity Exceeds documented 100TiB Upper Limit","Yes")</f>
        <v>Yes</v>
      </c>
      <c r="C6" s="37" t="str">
        <f>IF(IF(('FSLogix Calcuator'!$B$4*'FSLogix Calcuator'!$B$3*'FSLogix Calcuator'!$B$7)&gt;('FSLogix Calcuator'!$B$6*'FSLogix Calcuator'!$B$3),'FSLogix Calcuator'!$B$4*'FSLogix Calcuator'!$B$3*'FSLogix Calcuator'!$B$7,'FSLogix Calcuator'!$B$6*'FSLogix Calcuator'!$B$3)&gt;definitions!B42,"No","Yes")</f>
        <v>Yes</v>
      </c>
    </row>
    <row r="7" spans="1:3" ht="13.5" customHeight="1" x14ac:dyDescent="0.25">
      <c r="A7" s="2"/>
      <c r="B7" s="15"/>
      <c r="C7" s="3"/>
    </row>
  </sheetData>
  <sheetProtection algorithmName="SHA-512" hashValue="DcUIiypqNaYpqHrgxBpOEL2s+OEfJc6N65n2I9KNa9IzINrg4PAAAF+2FzgsMGVwJq66amUixHr6FehNfW+1sQ==" saltValue="i3UzaEs/uGYeDUvOhF8zOw==" spinCount="100000" sheet="1" objects="1" scenarios="1"/>
  <conditionalFormatting sqref="B3:B4">
    <cfRule type="cellIs" dxfId="19" priority="15" operator="equal">
      <formula>"Yes"</formula>
    </cfRule>
    <cfRule type="cellIs" dxfId="18" priority="16" operator="equal">
      <formula>"No: 300MiB/s is Maximum Supported Load"</formula>
    </cfRule>
  </conditionalFormatting>
  <conditionalFormatting sqref="B2">
    <cfRule type="containsText" dxfId="17" priority="14" operator="containsText" text="No">
      <formula>NOT(ISERROR(SEARCH("No",B2)))</formula>
    </cfRule>
  </conditionalFormatting>
  <conditionalFormatting sqref="B2:B4">
    <cfRule type="containsText" dxfId="16" priority="4" operator="containsText" text="Yes">
      <formula>NOT(ISERROR(SEARCH("Yes",B2)))</formula>
    </cfRule>
    <cfRule type="containsText" dxfId="15" priority="5" operator="containsText" text="Required">
      <formula>NOT(ISERROR(SEARCH("Required",B2)))</formula>
    </cfRule>
    <cfRule type="cellIs" dxfId="14" priority="13" operator="equal">
      <formula>"Yes"</formula>
    </cfRule>
  </conditionalFormatting>
  <conditionalFormatting sqref="B4">
    <cfRule type="cellIs" dxfId="13" priority="12" operator="equal">
      <formula>"""No: 102,400GiB is Maximum Supported Capacity"""</formula>
    </cfRule>
  </conditionalFormatting>
  <conditionalFormatting sqref="B4">
    <cfRule type="cellIs" dxfId="12" priority="9" operator="equal">
      <formula>"No"</formula>
    </cfRule>
    <cfRule type="cellIs" dxfId="11" priority="11" operator="equal">
      <formula>"No: 102,400GiB is Maximum Supported Capacity"</formula>
    </cfRule>
  </conditionalFormatting>
  <conditionalFormatting sqref="B3">
    <cfRule type="cellIs" dxfId="10" priority="10" operator="equal">
      <formula>"No"</formula>
    </cfRule>
  </conditionalFormatting>
  <conditionalFormatting sqref="C2:C4">
    <cfRule type="containsText" dxfId="9" priority="8" operator="containsText" text="No: Required ">
      <formula>NOT(ISERROR(SEARCH("No: Required ",C2)))</formula>
    </cfRule>
  </conditionalFormatting>
  <conditionalFormatting sqref="C3:C4">
    <cfRule type="containsText" dxfId="8" priority="7" operator="containsText" text="No:  Required ">
      <formula>NOT(ISERROR(SEARCH("No:  Required ",C3)))</formula>
    </cfRule>
  </conditionalFormatting>
  <conditionalFormatting sqref="C4">
    <cfRule type="containsText" dxfId="7" priority="6" operator="containsText" text="No:">
      <formula>NOT(ISERROR(SEARCH("No:",C4)))</formula>
    </cfRule>
  </conditionalFormatting>
  <conditionalFormatting sqref="C2:C6">
    <cfRule type="cellIs" dxfId="6" priority="3" operator="equal">
      <formula>"Yes"</formula>
    </cfRule>
  </conditionalFormatting>
  <conditionalFormatting sqref="B5:B6">
    <cfRule type="cellIs" dxfId="5" priority="2" operator="equal">
      <formula>"Yes"</formula>
    </cfRule>
  </conditionalFormatting>
  <conditionalFormatting sqref="B2:C6">
    <cfRule type="containsText" dxfId="4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dimension ref="A1:D42"/>
  <sheetViews>
    <sheetView workbookViewId="0">
      <selection activeCell="A4" sqref="A4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4" x14ac:dyDescent="0.25">
      <c r="A1" t="s">
        <v>2</v>
      </c>
      <c r="B1" t="s">
        <v>4</v>
      </c>
      <c r="C1" t="s">
        <v>55</v>
      </c>
      <c r="D1" t="s">
        <v>61</v>
      </c>
    </row>
    <row r="2" spans="1:4" x14ac:dyDescent="0.25">
      <c r="A2">
        <v>16</v>
      </c>
      <c r="B2">
        <v>4</v>
      </c>
      <c r="C2">
        <v>1</v>
      </c>
      <c r="D2" s="47">
        <v>0.25</v>
      </c>
    </row>
    <row r="3" spans="1:4" x14ac:dyDescent="0.25">
      <c r="A3">
        <v>32</v>
      </c>
      <c r="B3">
        <v>8</v>
      </c>
      <c r="C3">
        <v>2</v>
      </c>
      <c r="D3" s="47">
        <v>0.33</v>
      </c>
    </row>
    <row r="4" spans="1:4" x14ac:dyDescent="0.25">
      <c r="A4">
        <v>64</v>
      </c>
      <c r="B4">
        <v>15</v>
      </c>
      <c r="C4">
        <v>5</v>
      </c>
      <c r="D4" s="47">
        <v>0.5</v>
      </c>
    </row>
    <row r="5" spans="1:4" x14ac:dyDescent="0.25">
      <c r="B5">
        <v>20</v>
      </c>
      <c r="C5">
        <v>10</v>
      </c>
      <c r="D5" s="47">
        <v>0.66</v>
      </c>
    </row>
    <row r="6" spans="1:4" x14ac:dyDescent="0.25">
      <c r="B6">
        <v>25</v>
      </c>
      <c r="C6">
        <v>15</v>
      </c>
      <c r="D6" s="47">
        <v>0.75</v>
      </c>
    </row>
    <row r="7" spans="1:4" x14ac:dyDescent="0.25">
      <c r="B7">
        <v>60</v>
      </c>
      <c r="C7">
        <v>20</v>
      </c>
      <c r="D7" s="47">
        <v>1</v>
      </c>
    </row>
    <row r="8" spans="1:4" x14ac:dyDescent="0.25">
      <c r="B8">
        <v>120</v>
      </c>
      <c r="C8">
        <v>25</v>
      </c>
      <c r="D8" s="47"/>
    </row>
    <row r="9" spans="1:4" x14ac:dyDescent="0.25">
      <c r="C9">
        <v>30</v>
      </c>
      <c r="D9" s="47"/>
    </row>
    <row r="10" spans="1:4" x14ac:dyDescent="0.25">
      <c r="C10">
        <v>35</v>
      </c>
      <c r="D10" s="47"/>
    </row>
    <row r="11" spans="1:4" x14ac:dyDescent="0.25">
      <c r="C11">
        <v>40</v>
      </c>
      <c r="D11" s="47"/>
    </row>
    <row r="12" spans="1:4" x14ac:dyDescent="0.25">
      <c r="C12">
        <v>45</v>
      </c>
      <c r="D12" s="47"/>
    </row>
    <row r="13" spans="1:4" x14ac:dyDescent="0.25">
      <c r="C13">
        <v>50</v>
      </c>
      <c r="D13" s="47"/>
    </row>
    <row r="14" spans="1:4" x14ac:dyDescent="0.25">
      <c r="D14" s="47"/>
    </row>
    <row r="15" spans="1:4" x14ac:dyDescent="0.25">
      <c r="D15" s="47"/>
    </row>
    <row r="16" spans="1:4" x14ac:dyDescent="0.25">
      <c r="D16" s="47"/>
    </row>
    <row r="17" spans="1:4" x14ac:dyDescent="0.25">
      <c r="D17" s="47"/>
    </row>
    <row r="18" spans="1:4" x14ac:dyDescent="0.25">
      <c r="D18" s="47"/>
    </row>
    <row r="19" spans="1:4" x14ac:dyDescent="0.25">
      <c r="D19" s="47"/>
    </row>
    <row r="20" spans="1:4" x14ac:dyDescent="0.25">
      <c r="D20" s="47"/>
    </row>
    <row r="21" spans="1:4" x14ac:dyDescent="0.25">
      <c r="D21" s="47"/>
    </row>
    <row r="22" spans="1:4" x14ac:dyDescent="0.25">
      <c r="A22" t="s">
        <v>23</v>
      </c>
      <c r="B22" t="s">
        <v>24</v>
      </c>
      <c r="D22" s="47"/>
    </row>
    <row r="23" spans="1:4" x14ac:dyDescent="0.25">
      <c r="A23" s="21" t="s">
        <v>68</v>
      </c>
      <c r="B23" s="2"/>
      <c r="D23" s="47"/>
    </row>
    <row r="24" spans="1:4" x14ac:dyDescent="0.25">
      <c r="A24" s="21" t="s">
        <v>67</v>
      </c>
      <c r="B24" s="2">
        <v>102400</v>
      </c>
      <c r="D24" s="47"/>
    </row>
    <row r="25" spans="1:4" x14ac:dyDescent="0.25">
      <c r="A25" s="21" t="s">
        <v>25</v>
      </c>
      <c r="B25" s="24">
        <v>0.4</v>
      </c>
      <c r="D25" s="47"/>
    </row>
    <row r="26" spans="1:4" x14ac:dyDescent="0.25">
      <c r="A26" s="21" t="s">
        <v>26</v>
      </c>
      <c r="B26" s="15">
        <v>128</v>
      </c>
      <c r="D26" s="47"/>
    </row>
    <row r="27" spans="1:4" x14ac:dyDescent="0.25">
      <c r="A27" s="21" t="s">
        <v>27</v>
      </c>
      <c r="B27" s="24">
        <v>0.3</v>
      </c>
      <c r="D27" s="47"/>
    </row>
    <row r="28" spans="1:4" x14ac:dyDescent="0.25">
      <c r="A28" s="21" t="s">
        <v>28</v>
      </c>
      <c r="B28" s="15">
        <v>64</v>
      </c>
      <c r="D28" s="47"/>
    </row>
    <row r="29" spans="1:4" x14ac:dyDescent="0.25">
      <c r="A29" s="21" t="s">
        <v>29</v>
      </c>
      <c r="B29" s="24">
        <v>0.15</v>
      </c>
      <c r="D29" s="47"/>
    </row>
    <row r="30" spans="1:4" x14ac:dyDescent="0.25">
      <c r="A30" s="21" t="s">
        <v>30</v>
      </c>
      <c r="B30" s="15">
        <v>16</v>
      </c>
      <c r="D30" s="47"/>
    </row>
    <row r="31" spans="1:4" x14ac:dyDescent="0.25">
      <c r="A31" s="21" t="s">
        <v>35</v>
      </c>
      <c r="B31" s="15">
        <v>4096</v>
      </c>
      <c r="C31">
        <v>4906</v>
      </c>
      <c r="D31" s="47"/>
    </row>
    <row r="32" spans="1:4" x14ac:dyDescent="0.25">
      <c r="A32" s="21" t="s">
        <v>0</v>
      </c>
      <c r="B32" s="15">
        <v>3600</v>
      </c>
      <c r="D32" s="47"/>
    </row>
    <row r="33" spans="1:4" x14ac:dyDescent="0.25">
      <c r="A33" s="21" t="s">
        <v>9</v>
      </c>
      <c r="B33" s="15">
        <v>12</v>
      </c>
      <c r="D33" s="47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10</v>
      </c>
      <c r="B35" s="24">
        <v>0.06</v>
      </c>
      <c r="C35" s="14"/>
    </row>
    <row r="36" spans="1:4" x14ac:dyDescent="0.25">
      <c r="A36" s="21" t="s">
        <v>12</v>
      </c>
      <c r="B36" s="25">
        <f>0.0015/10000</f>
        <v>1.4999999999999999E-7</v>
      </c>
    </row>
    <row r="37" spans="1:4" x14ac:dyDescent="0.25">
      <c r="A37" s="21" t="s">
        <v>11</v>
      </c>
      <c r="B37" s="24">
        <v>0.25</v>
      </c>
    </row>
    <row r="38" spans="1:4" x14ac:dyDescent="0.25">
      <c r="A38" s="21" t="s">
        <v>13</v>
      </c>
      <c r="B38" s="15">
        <v>10000</v>
      </c>
    </row>
    <row r="39" spans="1:4" x14ac:dyDescent="0.25">
      <c r="A39" s="21" t="s">
        <v>14</v>
      </c>
      <c r="B39" s="15">
        <v>300</v>
      </c>
    </row>
    <row r="40" spans="1:4" x14ac:dyDescent="0.25">
      <c r="A40" s="21" t="s">
        <v>15</v>
      </c>
      <c r="B40" s="15">
        <v>100000</v>
      </c>
    </row>
    <row r="41" spans="1:4" x14ac:dyDescent="0.25">
      <c r="A41" s="21" t="s">
        <v>114</v>
      </c>
      <c r="B41" s="15">
        <v>102400</v>
      </c>
    </row>
    <row r="42" spans="1:4" x14ac:dyDescent="0.25">
      <c r="A42" s="21" t="s">
        <v>115</v>
      </c>
      <c r="B42" s="15">
        <v>102400</v>
      </c>
    </row>
  </sheetData>
  <sheetProtection algorithmName="SHA-512" hashValue="HW5JblHk3yTFhN46OJdIqHvhZwjcfCB/IV8vkTfAPgwazNLaoCd5n/3aX8UCI6U2hQNxZ5Oyj8srIeTfjtS0bQ==" saltValue="gPnlJIRo9hZjT1Q//WzWWQ==" spinCount="100000" sheet="1" objects="1" scenarios="1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4a052287-e6d5-446a-afc6-58987b850d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FSLogix Calcuator</vt:lpstr>
      <vt:lpstr>Azure NetApp Files Calcuations</vt:lpstr>
      <vt:lpstr>Azure Files Calculations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Chad</cp:lastModifiedBy>
  <dcterms:created xsi:type="dcterms:W3CDTF">2020-04-29T16:37:33Z</dcterms:created>
  <dcterms:modified xsi:type="dcterms:W3CDTF">2020-05-06T08:08:44Z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