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"/>
    </mc:Choice>
  </mc:AlternateContent>
  <xr:revisionPtr revIDLastSave="5" documentId="8_{0294103F-81B7-408B-BC58-3124AEB2A8FA}" xr6:coauthVersionLast="45" xr6:coauthVersionMax="45" xr10:uidLastSave="{8E404018-6F9C-4EF4-A10E-72F4772CCA02}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B5" i="4" l="1"/>
  <c r="B5" i="3" l="1"/>
  <c r="E25" i="1" s="1"/>
  <c r="G25" i="1"/>
  <c r="H25" i="1"/>
  <c r="E41" i="1"/>
  <c r="E42" i="1"/>
  <c r="E34" i="1"/>
  <c r="E33" i="1"/>
  <c r="E32" i="1"/>
  <c r="B6" i="4"/>
  <c r="B4" i="3"/>
  <c r="B13" i="1"/>
  <c r="C3" i="4" s="1"/>
  <c r="B3" i="4" l="1"/>
  <c r="B8" i="4"/>
  <c r="B10" i="4" s="1"/>
  <c r="B9" i="4"/>
  <c r="B11" i="4" l="1"/>
  <c r="C12" i="4" s="1"/>
  <c r="B13" i="4"/>
  <c r="C13" i="4"/>
  <c r="B12" i="4" l="1"/>
  <c r="F37" i="1" l="1"/>
  <c r="C6" i="4"/>
  <c r="B3" i="3"/>
  <c r="B12" i="1" l="1"/>
  <c r="B16" i="1"/>
  <c r="B15" i="1"/>
  <c r="C2" i="4" s="1"/>
  <c r="B14" i="1"/>
  <c r="B4" i="4" l="1"/>
  <c r="C4" i="4"/>
  <c r="E29" i="1" s="1"/>
  <c r="E24" i="1"/>
  <c r="H19" i="1" s="1"/>
  <c r="B2" i="4"/>
  <c r="G29" i="1" s="1"/>
  <c r="B54" i="3"/>
  <c r="B14" i="4"/>
  <c r="E40" i="1" s="1"/>
  <c r="C14" i="4"/>
  <c r="E38" i="1" s="1"/>
  <c r="E39" i="1" s="1"/>
  <c r="B13" i="3"/>
  <c r="B12" i="3"/>
  <c r="B11" i="3"/>
  <c r="B15" i="3" s="1"/>
  <c r="G37" i="1"/>
  <c r="B7" i="3"/>
  <c r="B2" i="3"/>
  <c r="B36" i="2"/>
  <c r="B32" i="1" l="1"/>
  <c r="B31" i="1"/>
  <c r="E37" i="1"/>
  <c r="F29" i="1"/>
  <c r="H29" i="1"/>
  <c r="B23" i="3"/>
  <c r="B31" i="3" s="1"/>
  <c r="B19" i="3"/>
  <c r="B29" i="1" l="1"/>
  <c r="B37" i="1"/>
  <c r="B38" i="3"/>
  <c r="B38" i="1"/>
  <c r="B36" i="3"/>
  <c r="E30" i="1"/>
  <c r="E31" i="1" s="1"/>
  <c r="B27" i="3"/>
  <c r="B42" i="3"/>
  <c r="B9" i="3"/>
  <c r="B8" i="3"/>
  <c r="B17" i="3"/>
  <c r="B16" i="3"/>
  <c r="B30" i="1" l="1"/>
  <c r="B50" i="3"/>
  <c r="B20" i="3"/>
  <c r="B21" i="3"/>
  <c r="B24" i="3"/>
  <c r="B32" i="3" s="1"/>
  <c r="B25" i="3"/>
  <c r="B39" i="3" l="1"/>
  <c r="B46" i="3"/>
  <c r="B28" i="3"/>
  <c r="B33" i="3"/>
  <c r="B35" i="3" s="1"/>
  <c r="B29" i="3"/>
  <c r="F19" i="1" l="1"/>
  <c r="E19" i="1"/>
  <c r="B40" i="3"/>
  <c r="B47" i="3"/>
  <c r="B51" i="3"/>
  <c r="B44" i="3"/>
  <c r="B43" i="3"/>
  <c r="E21" i="1" l="1"/>
  <c r="B52" i="3"/>
  <c r="B48" i="3"/>
  <c r="E22" i="1" l="1"/>
  <c r="B21" i="1"/>
  <c r="B22" i="1"/>
  <c r="B19" i="1"/>
  <c r="E20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<sst xmlns="http://schemas.openxmlformats.org/spreadsheetml/2006/main" count="305" uniqueCount="171">
  <si>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</si>
  <si>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</si>
  <si>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</si>
  <si>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</si>
  <si>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</si>
  <si>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</si>
  <si>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</si>
  <si>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</si>
  <si>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</si>
  <si>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</si>
  <si>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</si>
  <si>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</si>
  <si>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</si>
  <si>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</si>
  <si>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</si>
  <si>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</si>
  <si>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</si>
  <si>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</si>
  <si>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</si>
  <si>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</si>
  <si>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</si>
  <si>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</si>
  <si>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</si>
  <si>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</si>
  <si>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</si>
  <si>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</si>
  <si>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</si>
  <si>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</si>
  <si>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</si>
  <si>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</si>
  <si>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</si>
  <si>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</si>
  <si>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</si>
  <si>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</si>
  <si>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</si>
  <si>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</si>
  <si>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</si>
  <si>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</si>
  <si>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</si>
  <si>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</si>
  <si>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</si>
  <si>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</si>
  <si>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</si>
  <si>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</si>
  <si>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</si>
  <si>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</si>
  <si>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</si>
  <si>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</si>
  <si>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</si>
  <si>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</si>
  <si>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</si>
  <si>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</si>
  <si>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</si>
  <si>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</si>
  <si>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</si>
  <si>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</si>
  <si>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</si>
  <si>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</si>
  <si>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</si>
  <si>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</si>
  <si>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</si>
  <si>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</si>
  <si>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</si>
  <si>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</si>
  <si>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</si>
  <si>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</si>
  <si>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</si>
  <si>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Cost Compared To Azure Files</t>
  </si>
  <si>
    <t>Cost Compared To Azure Premium Files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</si>
  <si>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</si>
  <si>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</si>
  <si>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</si>
  <si>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</si>
  <si>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</si>
  <si>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</si>
  <si>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</si>
  <si>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</si>
  <si>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</si>
  <si>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</si>
  <si>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</si>
  <si>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</si>
  <si>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</si>
  <si>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</si>
  <si>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</si>
  <si>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</si>
  <si>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</si>
  <si>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</si>
  <si>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</si>
  <si>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</si>
  <si>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</si>
  <si>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</si>
  <si>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</si>
  <si>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</si>
  <si>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</si>
  <si>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</si>
  <si>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</si>
  <si>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</si>
  <si>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</si>
  <si>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</si>
  <si>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</si>
  <si>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</si>
  <si>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</si>
  <si>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</si>
  <si>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</si>
  <si>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</si>
  <si>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</si>
  <si>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</si>
  <si>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</si>
  <si>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</si>
  <si>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</si>
  <si>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</si>
  <si>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</si>
  <si>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</si>
  <si>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</si>
  <si>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</si>
  <si>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</si>
  <si>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</si>
  <si>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</si>
  <si>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</si>
  <si>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</si>
  <si>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</si>
  <si>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</si>
  <si>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</si>
  <si>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</si>
  <si>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</si>
  <si>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</si>
  <si>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</si>
  <si>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</si>
  <si>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</si>
  <si>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</si>
  <si>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</si>
  <si>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</si>
  <si>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</si>
  <si>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</si>
  <si>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</si>
  <si>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</si>
  <si>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</si>
  <si>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</si>
  <si>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</si>
  <si>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</si>
  <si>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</si>
  <si>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</si>
  <si>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</si>
  <si>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</si>
  <si>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</si>
  <si>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</si>
  <si>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</si>
  <si>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</si>
  <si>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</si>
  <si>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</si>
  <si>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</si>
  <si>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</si>
  <si>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</si>
  <si>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</si>
  <si>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</si>
  <si>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</si>
  <si>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</si>
  <si>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</si>
  <si>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</si>
  <si>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</si>
  <si>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</si>
  <si>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</si>
  <si>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</si>
  <si>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</si>
  <si>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</si>
  <si>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</si>
  <si>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</si>
  <si>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</si>
  <si>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</si>
  <si>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</si>
  <si>
    <t>Configure more than one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</si>
</sst>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99" dataDxfId="98" tableBorderDxfId="97">
  <autoFilter ref="A2:B9" xr:uid="{91E6A135-C0E7-4D0B-8EB4-141892DA45C5}"/>
  <tableColumns count="2">
    <tableColumn id="1" xr3:uid="{2F564818-5A0F-4075-8D5E-BCEC57D8FC3C}" name="Fields" dataDxfId="96"/>
    <tableColumn id="2" xr3:uid="{D42113E7-14D7-4A36-BB89-433CD657FB9D}" name="Input " dataDxfId="9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41">
  <autoFilter ref="A22:B47" xr:uid="{783E58C8-C7D9-4121-86C6-A6F7E49A97E3}"/>
  <tableColumns count="2">
    <tableColumn id="1" xr3:uid="{62872274-DD35-4869-BA93-32B33621B006}" name="Keys" dataDxfId="40"/>
    <tableColumn id="2" xr3:uid="{BCBEE816-C2FF-4BB7-8812-71E8D95CE734}" name="Value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94" dataDxfId="93" tableBorderDxfId="92">
  <autoFilter ref="A28:B32" xr:uid="{4897B486-AB3B-4450-B296-0E35971B3AE2}"/>
  <tableColumns count="2">
    <tableColumn id="1" xr3:uid="{3A7044B6-6E00-4BEF-9FE6-A7DEE00EE3F3}" name="Azure Files Price Break Down" dataDxfId="91"/>
    <tableColumn id="2" xr3:uid="{6BB28A88-2884-4CC5-80B3-4CA3051CCAC3}" name="Calculated Output" dataDxfId="9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89" tableBorderDxfId="88">
  <autoFilter ref="A11:B16" xr:uid="{FDD62D26-CF49-4DB8-BB86-E5640AFB3072}"/>
  <tableColumns count="2">
    <tableColumn id="1" xr3:uid="{98F6AE4C-A8FE-46A2-B695-4F7EC29B79C1}" name="High Level Environmental Needs" dataDxfId="87"/>
    <tableColumn id="2" xr3:uid="{923448D6-8587-46CF-AC83-4786C0E6E31A}" name="Calculated Output" dataDxfId="8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85" tableBorderDxfId="84">
  <autoFilter ref="A36:B38" xr:uid="{F64951B7-0541-475C-8E4E-15CB609631E0}"/>
  <tableColumns count="2">
    <tableColumn id="1" xr3:uid="{EEA382B5-FB82-4F1D-9327-A87385C52897}" name="Azure Premium Files Price Break Down" dataDxfId="83"/>
    <tableColumn id="2" xr3:uid="{E770553C-A0C0-45E6-BC23-3E0DD3249B14}" name="Calculated Output" dataDxfId="8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2" totalsRowShown="0" dataDxfId="81" tableBorderDxfId="80">
  <autoFilter ref="A18:B22" xr:uid="{1849FF8B-C5DF-48B3-BD49-7E1B6D720287}"/>
  <tableColumns count="2">
    <tableColumn id="1" xr3:uid="{3F78E685-9C28-44F6-9A2A-3F9135F54C28}" name="Azure NetApp Files Price Break Down" dataDxfId="79"/>
    <tableColumn id="2" xr3:uid="{AA370671-CA18-4101-A4C3-7BC422CCC1F1}" name="Calculated Output" dataDxfId="7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77" tableBorderDxfId="76">
  <autoFilter ref="D18:H26" xr:uid="{F75E429C-8018-41C4-B4C3-C0AD783F2D38}"/>
  <tableColumns count="5">
    <tableColumn id="1" xr3:uid="{25D43E32-76CE-4E57-9637-4A7FD2463E37}" name="Azure NetApp Files Additional Information" dataDxfId="75" totalsRowDxfId="74"/>
    <tableColumn id="2" xr3:uid="{3C9CF5B6-EAB8-4222-9C96-5A10EE28F85F}" name=" Output" dataDxfId="73"/>
    <tableColumn id="3" xr3:uid="{F8FAE1CB-5733-4CC5-9F68-AD29EB511AF6}" name="Etc(1)" dataDxfId="72">
      <calculatedColumnFormula>IF(E20&gt;definitions!B24,definitions!$A$23,"Yes")</calculatedColumnFormula>
    </tableColumn>
    <tableColumn id="4" xr3:uid="{2A8935D0-2756-4A0D-B01F-87C8DFAE1AD5}" name="Etc(2)" dataDxfId="71">
      <calculatedColumnFormula>IF(B3&gt;E24,"Required bandwidth exceeds tested upper limit at selected read percentage","Yes")</calculatedColumnFormula>
    </tableColumn>
    <tableColumn id="5" xr3:uid="{7CD54AC1-822B-4FE1-B7D3-C9A779DEF8FC}" name="Etc(3)" dataDxfId="70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69" tableBorderDxfId="68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67"/>
    <tableColumn id="3" xr3:uid="{9881ABB1-4E08-4030-AEC9-CCA810605C29}" name="Etc(1)" dataDxfId="66">
      <calculatedColumnFormula>'Azure Files Calculations'!$B$4</calculatedColumnFormula>
    </tableColumn>
    <tableColumn id="4" xr3:uid="{5BC3DEF6-CDB9-4DE9-B8FF-9749CBA220CD}" name="Etc(2)" dataDxfId="65">
      <calculatedColumnFormula>'Azure Files Calculations'!$B$2</calculatedColumnFormula>
    </tableColumn>
    <tableColumn id="5" xr3:uid="{3F802064-6239-4D79-9EEF-E6B1422584F4}" name="Etc(3)" dataDxfId="64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63" tableBorderDxfId="62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61"/>
    <tableColumn id="3" xr3:uid="{383E5A06-7313-4E3D-A474-C65E865DB16D}" name="Etc(1)" dataDxfId="60">
      <calculatedColumnFormula>'Azure Files Calculations'!$B$6</calculatedColumnFormula>
    </tableColumn>
    <tableColumn id="4" xr3:uid="{22B7B0DB-CD46-43E2-A4B8-192176C63B53}" name="Etc(2)" dataDxfId="59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42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H112"/>
  <sheetViews>
    <sheetView tabSelected="1" zoomScale="60" zoomScaleNormal="60" workbookViewId="0">
      <selection activeCell="E5" sqref="E5"/>
    </sheetView>
  </sheetViews>
  <sheetFormatPr defaultRowHeight="15" x14ac:dyDescent="0.25"/>
  <cols>
    <col min="1" max="1" width="63" style="8" bestFit="1" customWidth="1"/>
    <col min="2" max="2" width="108.28515625" style="8" bestFit="1" customWidth="1"/>
    <col min="3" max="3" width="2" customWidth="1"/>
    <col min="4" max="4" width="85.42578125" bestFit="1" customWidth="1"/>
    <col min="5" max="5" width="62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7" t="s">
        <v>86</v>
      </c>
      <c r="B1" s="78"/>
    </row>
    <row r="2" spans="1:5" x14ac:dyDescent="0.25">
      <c r="A2" s="18" t="s">
        <v>5</v>
      </c>
      <c r="B2" s="18" t="s">
        <v>6</v>
      </c>
    </row>
    <row r="3" spans="1:5" x14ac:dyDescent="0.25">
      <c r="A3" s="18" t="s">
        <v>3</v>
      </c>
      <c r="B3" s="32">
        <v>118</v>
      </c>
    </row>
    <row r="4" spans="1:5" x14ac:dyDescent="0.25">
      <c r="A4" s="18" t="s">
        <v>166</v>
      </c>
      <c r="B4" s="32">
        <v>6</v>
      </c>
      <c r="D4" s="57"/>
    </row>
    <row r="5" spans="1:5" x14ac:dyDescent="0.25">
      <c r="A5" s="18" t="s">
        <v>63</v>
      </c>
      <c r="B5" s="32">
        <v>35</v>
      </c>
    </row>
    <row r="6" spans="1:5" x14ac:dyDescent="0.25">
      <c r="A6" s="21" t="s">
        <v>109</v>
      </c>
      <c r="B6" s="47">
        <v>1</v>
      </c>
      <c r="D6" s="46"/>
    </row>
    <row r="7" spans="1:5" x14ac:dyDescent="0.25">
      <c r="A7" s="18" t="s">
        <v>64</v>
      </c>
      <c r="B7" s="32">
        <v>40</v>
      </c>
      <c r="D7" s="75"/>
    </row>
    <row r="8" spans="1:5" x14ac:dyDescent="0.25">
      <c r="A8" s="18" t="s">
        <v>141</v>
      </c>
      <c r="B8" s="32">
        <v>32</v>
      </c>
      <c r="D8" s="75"/>
      <c r="E8" s="75"/>
    </row>
    <row r="9" spans="1:5" x14ac:dyDescent="0.25">
      <c r="A9" s="18" t="s">
        <v>140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17</v>
      </c>
      <c r="B11" s="18" t="s">
        <v>7</v>
      </c>
    </row>
    <row r="12" spans="1:5" x14ac:dyDescent="0.25">
      <c r="A12" s="8" t="s">
        <v>61</v>
      </c>
      <c r="B12" s="18">
        <f>B$3*B$6</f>
        <v>118</v>
      </c>
    </row>
    <row r="13" spans="1:5" x14ac:dyDescent="0.25">
      <c r="A13" s="22" t="s">
        <v>103</v>
      </c>
      <c r="B13" s="18">
        <f>(B$4*B$8*B$3*B$6)/1024</f>
        <v>22.125</v>
      </c>
    </row>
    <row r="14" spans="1:5" x14ac:dyDescent="0.25">
      <c r="A14" s="22" t="s">
        <v>15</v>
      </c>
      <c r="B14" s="18">
        <f>(B$4*B$8)</f>
        <v>192</v>
      </c>
    </row>
    <row r="15" spans="1:5" x14ac:dyDescent="0.25">
      <c r="A15" s="18" t="s">
        <v>16</v>
      </c>
      <c r="B15" s="18">
        <f>B$4*B$3*B6</f>
        <v>708</v>
      </c>
    </row>
    <row r="16" spans="1:5" x14ac:dyDescent="0.25">
      <c r="A16" s="18" t="s">
        <v>18</v>
      </c>
      <c r="B16" s="18">
        <f>B5*B3</f>
        <v>4130</v>
      </c>
    </row>
    <row r="17" spans="1:8" ht="18.75" x14ac:dyDescent="0.3">
      <c r="A17" s="79" t="s">
        <v>83</v>
      </c>
      <c r="B17" s="79"/>
      <c r="C17" s="79"/>
      <c r="D17" s="79"/>
      <c r="E17" s="79"/>
      <c r="F17" s="79"/>
      <c r="G17" s="79"/>
      <c r="H17" s="79"/>
    </row>
    <row r="18" spans="1:8" x14ac:dyDescent="0.25">
      <c r="A18" s="22" t="s">
        <v>74</v>
      </c>
      <c r="B18" s="18" t="s">
        <v>7</v>
      </c>
      <c r="D18" s="20" t="s">
        <v>73</v>
      </c>
      <c r="E18" s="18" t="s">
        <v>80</v>
      </c>
      <c r="F18" t="s">
        <v>57</v>
      </c>
      <c r="G18" t="s">
        <v>58</v>
      </c>
      <c r="H18" t="s">
        <v>59</v>
      </c>
    </row>
    <row r="19" spans="1:8" s="51" customFormat="1" ht="138" customHeight="1" x14ac:dyDescent="0.25">
      <c r="A19" s="35" t="s">
        <v>72</v>
      </c>
      <c r="B19" s="54">
        <f>IF(E19="Yes",_xlfn.XLOOKUP(E21,'Azure NetApp Files Calcuations'!C$38:C$40,'Azure NetApp Files Calcuations'!B$38:B$40,definitions!A$23),"Recommend Adding Additional Volumes")</f>
        <v>619.5</v>
      </c>
      <c r="D19" s="35" t="s">
        <v>169</v>
      </c>
      <c r="E19" s="48" t="str">
        <f>_xlfn.XLOOKUP("No",'Azure NetApp Files Calcuations'!B35:B36,'Azure NetApp Files Calcuations'!C35:C36,"Yes")</f>
        <v>Yes</v>
      </c>
      <c r="F19" s="59" t="str">
        <f>IF('Azure NetApp Files Calcuations'!B35="Yes","Yes",definitions!$A$23)</f>
        <v>Yes</v>
      </c>
      <c r="G19" s="66"/>
      <c r="H19" s="65" t="str">
        <f>IF(B3&gt;E24,"Required bandwidth exceeds single ANF volume tested upper limit at selected read percentage","Yes")</f>
        <v>Yes</v>
      </c>
    </row>
    <row r="20" spans="1:8" s="51" customFormat="1" x14ac:dyDescent="0.25">
      <c r="A20" s="35" t="s">
        <v>71</v>
      </c>
      <c r="B20" s="49">
        <f>IF(E19="Yes",IF($E$21=definitions!A$23,B$19,B$19/B$3),"N/A: User Count Excceds Capability Of Azure NetApp Files")</f>
        <v>5.25</v>
      </c>
      <c r="D20" s="35" t="s">
        <v>146</v>
      </c>
      <c r="E20" s="52">
        <f>IF('Azure NetApp Files Calcuations'!B35="Yes",_xlfn.XLOOKUP(E21,'Azure NetApp Files Calcuations'!$C$31:$C$33,'Azure NetApp Files Calcuations'!$B$31:$B$33),"No")</f>
        <v>4130</v>
      </c>
      <c r="F20" s="53"/>
      <c r="G20" s="67"/>
      <c r="H20" s="67"/>
    </row>
    <row r="21" spans="1:8" s="51" customFormat="1" x14ac:dyDescent="0.25">
      <c r="A21" s="35" t="s">
        <v>67</v>
      </c>
      <c r="B21" s="50">
        <f>IF(E29="Yes",_xlfn.XLOOKUP(E21,'Azure NetApp Files Calcuations'!C$46:C$48,'Azure NetApp Files Calcuations'!B$46:B$48),"N/A: User Count Exceeds Capability Of A Single Azure Files Storage Account")</f>
        <v>1.972497745716862</v>
      </c>
      <c r="D21" s="35" t="s">
        <v>110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7"/>
      <c r="H21" s="67"/>
    </row>
    <row r="22" spans="1:8" s="51" customFormat="1" x14ac:dyDescent="0.25">
      <c r="A22" s="35" t="s">
        <v>68</v>
      </c>
      <c r="B22" s="50">
        <f>IF(E37="Yes",_xlfn.XLOOKUP(E21,'Azure NetApp Files Calcuations'!C$50:C$52,'Azure NetApp Files Calcuations'!B$50:B$52),"N/A: User Count Exceeds Capability Of A Single Azure Premium Files Storage Account")</f>
        <v>0.6</v>
      </c>
      <c r="D22" s="35" t="s">
        <v>153</v>
      </c>
      <c r="E22" s="52" t="str">
        <f>IF(E19="Configure more than one volume","No",(_xlfn.XLOOKUP(E21,'Azure NetApp Files Calcuations'!$C$27:$C$29,'Azure NetApp Files Calcuations'!$B$27:$B$29)))</f>
        <v>Capacity</v>
      </c>
      <c r="F22" s="53"/>
      <c r="G22" s="67"/>
      <c r="H22" s="67"/>
    </row>
    <row r="23" spans="1:8" s="51" customFormat="1" x14ac:dyDescent="0.25">
      <c r="A23" s="35"/>
      <c r="B23" s="50"/>
      <c r="D23" s="35" t="s">
        <v>151</v>
      </c>
      <c r="E23" s="52">
        <f>IF(E19="Yes",(_xlfn.XLOOKUP(E21,'Azure NetApp Files Calcuations'!$C$42:$C$44,'Azure NetApp Files Calcuations'!$B$42:$B$44,definitions!A$23)),"No")</f>
        <v>35</v>
      </c>
      <c r="F23" s="53"/>
      <c r="G23" s="67"/>
      <c r="H23" s="67"/>
    </row>
    <row r="24" spans="1:8" s="51" customFormat="1" x14ac:dyDescent="0.25">
      <c r="A24" s="35"/>
      <c r="B24" s="49"/>
      <c r="D24" s="64" t="s">
        <v>105</v>
      </c>
      <c r="E24" s="69">
        <f>FLOOR(('Azure NetApp Files Calcuations'!B4*1024/'FSLogix Calculator'!B14)*(1/'FSLogix Calculator'!B6),1)</f>
        <v>11722</v>
      </c>
      <c r="F24" s="68"/>
      <c r="G24" s="67"/>
      <c r="H24" s="67"/>
    </row>
    <row r="25" spans="1:8" s="51" customFormat="1" x14ac:dyDescent="0.25">
      <c r="A25" s="35"/>
      <c r="B25" s="49"/>
      <c r="D25" s="64" t="s">
        <v>150</v>
      </c>
      <c r="E25" s="69">
        <f>'Azure NetApp Files Calcuations'!B5</f>
        <v>2925</v>
      </c>
      <c r="F25" s="68" t="str">
        <f>IF(E26&gt;definitions!B30,definitions!$A$23,"Yes")</f>
        <v>Required capacity exceeds documented single ANF volume 100TiB upper limit</v>
      </c>
      <c r="G25" s="68" t="str">
        <f>IF(B9&gt;E28,"Required bandwidth exceeds tested upper limit at selected read percentage","Yes")</f>
        <v>Yes</v>
      </c>
      <c r="H25" s="68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3"/>
      <c r="G26" s="67"/>
      <c r="H26" s="67"/>
    </row>
    <row r="27" spans="1:8" s="3" customFormat="1" ht="18.75" x14ac:dyDescent="0.3">
      <c r="A27" s="79" t="s">
        <v>84</v>
      </c>
      <c r="B27" s="79"/>
      <c r="C27" s="79"/>
      <c r="D27" s="79"/>
      <c r="E27" s="79"/>
      <c r="F27" s="79"/>
      <c r="G27" s="79"/>
      <c r="H27" s="79"/>
    </row>
    <row r="28" spans="1:8" x14ac:dyDescent="0.25">
      <c r="A28" s="22" t="s">
        <v>75</v>
      </c>
      <c r="B28" s="18" t="s">
        <v>7</v>
      </c>
      <c r="D28" s="19" t="s">
        <v>79</v>
      </c>
      <c r="E28" s="18" t="s">
        <v>81</v>
      </c>
      <c r="F28" s="58" t="s">
        <v>57</v>
      </c>
      <c r="G28" s="58" t="s">
        <v>58</v>
      </c>
      <c r="H28" s="58" t="s">
        <v>59</v>
      </c>
    </row>
    <row r="29" spans="1:8" ht="122.25" customHeight="1" x14ac:dyDescent="0.25">
      <c r="A29" s="35" t="s">
        <v>72</v>
      </c>
      <c r="B29" s="54">
        <f>IF(E29="Yes",B$32+B$31,"Must Add Additional Storage Accounts")</f>
        <v>314.06880000000001</v>
      </c>
      <c r="D29" s="34" t="s">
        <v>168</v>
      </c>
      <c r="E29" s="35" t="str">
        <f>_xlfn.XLOOKUP("No, must configure additional storage accounts",'Azure Files Calculations'!$C$2:$C$4,'Azure Files Calculations'!$C$2:$C$4,"Yes")</f>
        <v>Yes</v>
      </c>
      <c r="F29" s="71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x14ac:dyDescent="0.25">
      <c r="A30" s="35" t="s">
        <v>71</v>
      </c>
      <c r="B30" s="49">
        <f>IF(E29="Yes",B$29/B$3,"N/A: User Count Exceeds Capability Of Azure Files")</f>
        <v>2.6616</v>
      </c>
      <c r="D30" s="27" t="s">
        <v>77</v>
      </c>
      <c r="E30" s="18">
        <f>IF(E29="Yes",$B$5*$B$3,"No")</f>
        <v>4130</v>
      </c>
      <c r="F30" s="40"/>
      <c r="G30" s="39"/>
      <c r="H30" s="40"/>
    </row>
    <row r="31" spans="1:8" x14ac:dyDescent="0.25">
      <c r="A31" s="35" t="s">
        <v>69</v>
      </c>
      <c r="B31" s="49">
        <f>IF(E29="Yes",((B4*B3*B6*definitions!B$32*B$7*definitions!B$34)/definitions!B33)*definitions!B$36,"N/A: User Count Exceeds Capability Of A Single Azure Files Storage Account")</f>
        <v>66.268799999999999</v>
      </c>
      <c r="D31" s="27" t="s">
        <v>66</v>
      </c>
      <c r="E31" s="18">
        <f>IF(E29="Yes",E30/$B$3,"No")</f>
        <v>35</v>
      </c>
      <c r="F31" s="40"/>
      <c r="G31" s="43"/>
      <c r="H31" s="44"/>
    </row>
    <row r="32" spans="1:8" x14ac:dyDescent="0.25">
      <c r="A32" s="35" t="s">
        <v>70</v>
      </c>
      <c r="B32" s="49">
        <f>IF(E29="Yes",B$5*B$3*B6*definitions!B$35,"N/A: User Count Exceeds Capability Of A Single Azure Files Storage Account")</f>
        <v>247.79999999999998</v>
      </c>
      <c r="D32" s="27" t="s">
        <v>104</v>
      </c>
      <c r="E32" s="18">
        <f>FLOOR(   (definitions!$B$38/$B$4)*(1/$B$6),1)</f>
        <v>1666</v>
      </c>
      <c r="F32" s="40"/>
      <c r="G32" s="40"/>
      <c r="H32" s="40"/>
    </row>
    <row r="33" spans="1:8" x14ac:dyDescent="0.25">
      <c r="A33" s="35"/>
      <c r="B33" s="49"/>
      <c r="D33" s="27" t="s">
        <v>105</v>
      </c>
      <c r="E33" s="18">
        <f>FLOOR((   (1024*definitions!$B$39)   /   ('FSLogix Calculator'!$B$4*'FSLogix Calculator'!$B$8)  ) * (1/$B$6   ),1)</f>
        <v>1600</v>
      </c>
      <c r="F33" s="40"/>
      <c r="G33" s="39"/>
      <c r="H33" s="40"/>
    </row>
    <row r="34" spans="1:8" x14ac:dyDescent="0.25">
      <c r="D34" s="64" t="s">
        <v>148</v>
      </c>
      <c r="E34" s="17">
        <f>definitions!B41/'FSLogix Calculator'!B5</f>
        <v>2925.7142857142858</v>
      </c>
      <c r="F34" s="70"/>
      <c r="G34" s="70"/>
      <c r="H34" s="70"/>
    </row>
    <row r="35" spans="1:8" ht="18.75" x14ac:dyDescent="0.3">
      <c r="A35" s="79" t="s">
        <v>85</v>
      </c>
      <c r="B35" s="79"/>
      <c r="C35" s="79"/>
      <c r="D35" s="79"/>
      <c r="E35" s="79"/>
      <c r="F35" s="79"/>
      <c r="G35" s="79"/>
    </row>
    <row r="36" spans="1:8" x14ac:dyDescent="0.25">
      <c r="A36" s="34" t="s">
        <v>76</v>
      </c>
      <c r="B36" s="34" t="s">
        <v>7</v>
      </c>
      <c r="D36" t="s">
        <v>78</v>
      </c>
      <c r="E36" s="8" t="s">
        <v>82</v>
      </c>
      <c r="F36" t="s">
        <v>57</v>
      </c>
      <c r="G36" t="s">
        <v>58</v>
      </c>
    </row>
    <row r="37" spans="1:8" ht="122.25" customHeight="1" x14ac:dyDescent="0.25">
      <c r="A37" s="35" t="s">
        <v>72</v>
      </c>
      <c r="B37" s="54">
        <f>IF(E37="Yes",IF(E40="I/O Need",definitions!B37*'FSLogix Calculator'!B3*'FSLogix Calculator'!B4,definitions!B37*'FSLogix Calculator'!B5*'FSLogix Calculator'!B3),"Must Add Additional Storage Accounts")</f>
        <v>1032.5</v>
      </c>
      <c r="D37" s="34" t="s">
        <v>168</v>
      </c>
      <c r="E37" s="35" t="str">
        <f>_xlfn.XLOOKUP("No",'Azure Files Calculations'!$C$5:$C$7,'Azure Files Calculations'!$C$2:$C$4,"Yes")</f>
        <v>Yes</v>
      </c>
      <c r="F37" s="72" t="str">
        <f>'Azure Files Calculations'!$B$6</f>
        <v>Yes</v>
      </c>
      <c r="G37" s="72" t="str">
        <f>'Azure Files Calculations'!$B$5</f>
        <v>Yes</v>
      </c>
    </row>
    <row r="38" spans="1:8" x14ac:dyDescent="0.25">
      <c r="A38" s="22" t="s">
        <v>71</v>
      </c>
      <c r="B38" s="23">
        <f>IF(E37="Yes",B$37/B$3,"N/A: User Count Exceeds Capability Of Azure Premium Files")</f>
        <v>8.75</v>
      </c>
      <c r="D38" s="27" t="s">
        <v>146</v>
      </c>
      <c r="E38" s="18">
        <f>'Azure Files Calculations'!C14</f>
        <v>4130</v>
      </c>
      <c r="F38" s="42"/>
      <c r="G38" s="42"/>
    </row>
    <row r="39" spans="1:8" x14ac:dyDescent="0.25">
      <c r="D39" s="8" t="s">
        <v>151</v>
      </c>
      <c r="E39" s="17">
        <f>IF('Azure Files Calculations'!$C$6="Yes",E$38/$B$3,"No")</f>
        <v>35</v>
      </c>
      <c r="F39" s="33"/>
      <c r="G39" s="41"/>
    </row>
    <row r="40" spans="1:8" x14ac:dyDescent="0.25">
      <c r="A40" s="17"/>
      <c r="B40" s="17"/>
      <c r="C40" s="8"/>
      <c r="D40" s="27" t="s">
        <v>152</v>
      </c>
      <c r="E40" s="22" t="str">
        <f>'Azure Files Calculations'!B14</f>
        <v>Profile Size</v>
      </c>
      <c r="F40" s="40"/>
      <c r="G40" s="39"/>
    </row>
    <row r="41" spans="1:8" x14ac:dyDescent="0.25">
      <c r="A41" s="17"/>
      <c r="B41" s="17"/>
      <c r="C41" s="8"/>
      <c r="D41" s="27" t="s">
        <v>165</v>
      </c>
      <c r="E41" s="18">
        <f>FLOOR(( definitions!$B$40/$B$4) * (1/$B$6),1)</f>
        <v>16666</v>
      </c>
      <c r="F41" s="40"/>
      <c r="G41" s="45"/>
    </row>
    <row r="42" spans="1:8" x14ac:dyDescent="0.25">
      <c r="C42" s="8"/>
      <c r="D42" s="64" t="s">
        <v>150</v>
      </c>
      <c r="E42" s="18">
        <f>definitions!B42/'FSLogix Calculator'!B5</f>
        <v>2925.7142857142858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JSX0sbDtHcu9/Ti7dEXk37Fy3DGvgFbBKt801jfBgQ3xTRoDLO5pJ94JLRuW5EConu2rWNBnCAam9qZ8+O4dUg==" saltValue="Xdm6gZ7szTajz+hnIhwHIg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28 A30:B34 A29">
    <cfRule type="cellIs" dxfId="38" priority="110" operator="equal">
      <formula>"Temporarily Empty Field"</formula>
    </cfRule>
  </conditionalFormatting>
  <conditionalFormatting sqref="F29:H31">
    <cfRule type="containsText" dxfId="37" priority="40" operator="containsText" text="Yes">
      <formula>NOT(ISERROR(SEARCH("Yes",F29)))</formula>
    </cfRule>
    <cfRule type="containsText" dxfId="36" priority="41" operator="containsText" text="Required">
      <formula>NOT(ISERROR(SEARCH("Required",F29)))</formula>
    </cfRule>
  </conditionalFormatting>
  <conditionalFormatting sqref="E22:E23">
    <cfRule type="cellIs" dxfId="35" priority="58" operator="equal">
      <formula>"Capacity Pool Minimum Size"</formula>
    </cfRule>
  </conditionalFormatting>
  <conditionalFormatting sqref="D26">
    <cfRule type="cellIs" dxfId="34" priority="57" operator="equal">
      <formula>"Temporarily Empty Field"</formula>
    </cfRule>
  </conditionalFormatting>
  <conditionalFormatting sqref="E26">
    <cfRule type="cellIs" dxfId="33" priority="56" operator="equal">
      <formula>"Temporarily Empty Field"</formula>
    </cfRule>
  </conditionalFormatting>
  <conditionalFormatting sqref="E29">
    <cfRule type="cellIs" dxfId="32" priority="46" operator="equal">
      <formula>"Yes"</formula>
    </cfRule>
    <cfRule type="cellIs" dxfId="31" priority="47" operator="equal">
      <formula>"No: 300MiB/s is Maximum Supported Load"</formula>
    </cfRule>
    <cfRule type="containsText" dxfId="30" priority="4" operator="containsText" text="No">
      <formula>NOT(ISERROR(SEARCH("No",E29)))</formula>
    </cfRule>
  </conditionalFormatting>
  <conditionalFormatting sqref="E29">
    <cfRule type="cellIs" dxfId="29" priority="45" operator="equal">
      <formula>"Yes"</formula>
    </cfRule>
  </conditionalFormatting>
  <conditionalFormatting sqref="E29">
    <cfRule type="cellIs" dxfId="28" priority="44" operator="equal">
      <formula>"""No: 102,400GiB is Maximum Supported Capacity"""</formula>
    </cfRule>
  </conditionalFormatting>
  <conditionalFormatting sqref="E29">
    <cfRule type="cellIs" dxfId="27" priority="42" operator="equal">
      <formula>"No"</formula>
    </cfRule>
    <cfRule type="cellIs" dxfId="26" priority="43" operator="equal">
      <formula>"No: 102,400GiB is Maximum Supported Capacity"</formula>
    </cfRule>
  </conditionalFormatting>
  <conditionalFormatting sqref="E37 E40">
    <cfRule type="cellIs" dxfId="25" priority="38" operator="equal">
      <formula>"Yes"</formula>
    </cfRule>
    <cfRule type="cellIs" dxfId="24" priority="39" operator="equal">
      <formula>"No: 100,000 IOPS is Maximum Supported Load"</formula>
    </cfRule>
  </conditionalFormatting>
  <conditionalFormatting sqref="F37:G38 F40:G40">
    <cfRule type="containsText" dxfId="23" priority="35" operator="containsText" text="Required">
      <formula>NOT(ISERROR(SEARCH("Required",F37)))</formula>
    </cfRule>
    <cfRule type="containsText" dxfId="22" priority="37" operator="containsText" text="Yes">
      <formula>NOT(ISERROR(SEARCH("Yes",F37)))</formula>
    </cfRule>
  </conditionalFormatting>
  <conditionalFormatting sqref="E37 E40">
    <cfRule type="cellIs" dxfId="21" priority="36" operator="equal">
      <formula>"No"</formula>
    </cfRule>
  </conditionalFormatting>
  <conditionalFormatting sqref="E31 E20:E23">
    <cfRule type="cellIs" dxfId="20" priority="34" operator="equal">
      <formula>"No"</formula>
    </cfRule>
  </conditionalFormatting>
  <conditionalFormatting sqref="E30">
    <cfRule type="cellIs" dxfId="19" priority="30" operator="equal">
      <formula>"No"</formula>
    </cfRule>
  </conditionalFormatting>
  <conditionalFormatting sqref="E38">
    <cfRule type="cellIs" dxfId="18" priority="28" operator="equal">
      <formula>"No"</formula>
    </cfRule>
  </conditionalFormatting>
  <conditionalFormatting sqref="E39">
    <cfRule type="cellIs" dxfId="17" priority="26" operator="equal">
      <formula>"No"</formula>
    </cfRule>
  </conditionalFormatting>
  <conditionalFormatting sqref="B38">
    <cfRule type="containsText" dxfId="16" priority="25" operator="containsText" text="N/A">
      <formula>NOT(ISERROR(SEARCH("N/A",B38)))</formula>
    </cfRule>
  </conditionalFormatting>
  <conditionalFormatting sqref="B37">
    <cfRule type="containsText" dxfId="15" priority="24" operator="containsText" text="N/A">
      <formula>NOT(ISERROR(SEARCH("N/A",B37)))</formula>
    </cfRule>
    <cfRule type="containsText" dxfId="14" priority="2" operator="containsText" text="Must">
      <formula>NOT(ISERROR(SEARCH("Must",B37)))</formula>
    </cfRule>
  </conditionalFormatting>
  <conditionalFormatting sqref="B20">
    <cfRule type="containsText" dxfId="13" priority="21" operator="containsText" text="N/A">
      <formula>NOT(ISERROR(SEARCH("N/A",B20)))</formula>
    </cfRule>
  </conditionalFormatting>
  <conditionalFormatting sqref="B30">
    <cfRule type="containsText" dxfId="12" priority="20" operator="containsText" text="N/A">
      <formula>NOT(ISERROR(SEARCH("N/A",B30)))</formula>
    </cfRule>
  </conditionalFormatting>
  <conditionalFormatting sqref="H19">
    <cfRule type="containsText" dxfId="11" priority="18" operator="containsText" text="Yes">
      <formula>NOT(ISERROR(SEARCH("Yes",H19)))</formula>
    </cfRule>
    <cfRule type="containsText" dxfId="10" priority="19" operator="containsText" text="Required">
      <formula>NOT(ISERROR(SEARCH("Required",H19)))</formula>
    </cfRule>
    <cfRule type="containsText" dxfId="9" priority="16" operator="containsText" text="Required">
      <formula>NOT(ISERROR(SEARCH("Required",H19)))</formula>
    </cfRule>
    <cfRule type="containsText" dxfId="8" priority="9" operator="containsText" text="Required">
      <formula>NOT(ISERROR(SEARCH("Required",H19)))</formula>
    </cfRule>
  </conditionalFormatting>
  <conditionalFormatting sqref="B19">
    <cfRule type="containsText" dxfId="7" priority="14" operator="containsText" text="Rec">
      <formula>NOT(ISERROR(SEARCH("Rec",B19)))</formula>
    </cfRule>
  </conditionalFormatting>
  <conditionalFormatting sqref="F19">
    <cfRule type="containsText" dxfId="6" priority="12" operator="containsText" text="Required">
      <formula>NOT(ISERROR(SEARCH("Required",F19)))</formula>
    </cfRule>
    <cfRule type="containsText" dxfId="5" priority="10" operator="containsText" text="Yes">
      <formula>NOT(ISERROR(SEARCH("Yes",F19)))</formula>
    </cfRule>
  </conditionalFormatting>
  <conditionalFormatting sqref="E19">
    <cfRule type="containsText" dxfId="4" priority="8" operator="containsText" text="Yes">
      <formula>NOT(ISERROR(SEARCH("Yes",E19)))</formula>
    </cfRule>
    <cfRule type="containsText" dxfId="3" priority="7" operator="containsText" text="More">
      <formula>NOT(ISERROR(SEARCH("More",E19)))</formula>
    </cfRule>
  </conditionalFormatting>
  <conditionalFormatting sqref="B29">
    <cfRule type="containsText" dxfId="2" priority="5" operator="containsText" text="Rec">
      <formula>NOT(ISERROR(SEARCH("Rec",B29)))</formula>
    </cfRule>
    <cfRule type="containsText" dxfId="1" priority="3" operator="containsText" text="Must">
      <formula>NOT(ISERROR(SEARCH("Must",B29)))</formula>
    </cfRule>
  </conditionalFormatting>
  <conditionalFormatting sqref="E37">
    <cfRule type="containsText" dxfId="0" priority="1" operator="containsText" text="No">
      <formula>NOT(ISERROR(SEARCH("No",E37)))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  <dataValidation type="whole" allowBlank="1" showInputMessage="1" errorTitle="IOPS: Incorrect Input" error="Please enter a whole number between 1 and 200." promptTitle="Storage IOPS: Env Dependant" prompt="Suggested values for user profile containers_x000a_Without Office365: 5_x000a_With Office365: 15_x000a_With Offline Cache and Office365 Cache: 60 - 120" sqref="B4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54"/>
  <sheetViews>
    <sheetView topLeftCell="A23" workbookViewId="0">
      <selection activeCell="C36" sqref="C36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5"/>
    </row>
    <row r="2" spans="1:3" ht="13.5" customHeight="1" x14ac:dyDescent="0.25">
      <c r="A2" s="2" t="s">
        <v>62</v>
      </c>
      <c r="B2" s="15">
        <f>'FSLogix Calculator'!B$16</f>
        <v>4130</v>
      </c>
      <c r="C2" s="3"/>
    </row>
    <row r="3" spans="1:3" ht="13.5" customHeight="1" x14ac:dyDescent="0.25">
      <c r="A3" s="2" t="s">
        <v>102</v>
      </c>
      <c r="B3" s="15">
        <f>'FSLogix Calculator'!B$5</f>
        <v>35</v>
      </c>
      <c r="C3" s="3"/>
    </row>
    <row r="4" spans="1:3" x14ac:dyDescent="0.25">
      <c r="A4" s="2" t="s">
        <v>144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149</v>
      </c>
      <c r="B5" s="2">
        <f>FLOOR(definitions!B24/'FSLogix Calculator'!B$5,1)</f>
        <v>2925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31</v>
      </c>
      <c r="B7" s="15">
        <f>('FSLogix Calculator'!B$13*1024)/definitions!B30</f>
        <v>1416</v>
      </c>
      <c r="C7" s="3" t="s">
        <v>46</v>
      </c>
    </row>
    <row r="8" spans="1:3" x14ac:dyDescent="0.25">
      <c r="A8" s="2" t="s">
        <v>32</v>
      </c>
      <c r="B8" s="15">
        <f>('FSLogix Calculator'!B$13*1024)/definitions!B28</f>
        <v>354</v>
      </c>
      <c r="C8" s="3" t="s">
        <v>47</v>
      </c>
    </row>
    <row r="9" spans="1:3" x14ac:dyDescent="0.25">
      <c r="A9" s="2" t="s">
        <v>33</v>
      </c>
      <c r="B9" s="15">
        <f>('FSLogix Calculator'!B$13*1024)/definitions!B26</f>
        <v>177</v>
      </c>
      <c r="C9" s="3" t="s">
        <v>39</v>
      </c>
    </row>
    <row r="11" spans="1:3" x14ac:dyDescent="0.25">
      <c r="A11" s="2" t="s">
        <v>99</v>
      </c>
      <c r="B11" s="2">
        <f>('FSLogix Calculator'!B$14*'FSLogix Calculator'!B$6)/definitions!B$30</f>
        <v>12</v>
      </c>
      <c r="C11" s="3" t="s">
        <v>46</v>
      </c>
    </row>
    <row r="12" spans="1:3" x14ac:dyDescent="0.25">
      <c r="A12" s="2" t="s">
        <v>100</v>
      </c>
      <c r="B12" s="2">
        <f>('FSLogix Calculator'!B$14*'FSLogix Calculator'!B$6)/definitions!B28</f>
        <v>3</v>
      </c>
      <c r="C12" s="3" t="s">
        <v>47</v>
      </c>
    </row>
    <row r="13" spans="1:3" x14ac:dyDescent="0.25">
      <c r="A13" s="2" t="s">
        <v>101</v>
      </c>
      <c r="B13" s="2">
        <f>('FSLogix Calculator'!B$14*'FSLogix Calculator'!B$6)/definitions!B26</f>
        <v>1.5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118</v>
      </c>
      <c r="C15" s="3" t="s">
        <v>46</v>
      </c>
    </row>
    <row r="16" spans="1:3" x14ac:dyDescent="0.25">
      <c r="A16" s="2" t="s">
        <v>36</v>
      </c>
      <c r="B16" s="2">
        <f>CEILING(IF(B12&gt;B$3,definitions!B$31/B12,definitions!B$31/B$3),1)</f>
        <v>118</v>
      </c>
      <c r="C16" s="3" t="s">
        <v>47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118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93</v>
      </c>
      <c r="B19" s="15" t="str">
        <f>IF(B$2&gt;B7,"Capacity","Bandwidth")</f>
        <v>Capacity</v>
      </c>
      <c r="C19" s="3" t="s">
        <v>46</v>
      </c>
    </row>
    <row r="20" spans="1:3" ht="13.5" customHeight="1" x14ac:dyDescent="0.25">
      <c r="A20" s="2" t="s">
        <v>94</v>
      </c>
      <c r="B20" s="15" t="str">
        <f>IF(B$2&gt;B8,"Capacity","Bandwidth")</f>
        <v>Capacity</v>
      </c>
      <c r="C20" s="3" t="s">
        <v>47</v>
      </c>
    </row>
    <row r="21" spans="1:3" ht="13.5" customHeight="1" x14ac:dyDescent="0.25">
      <c r="A21" s="2" t="s">
        <v>95</v>
      </c>
      <c r="B21" s="15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96</v>
      </c>
      <c r="B23" s="15">
        <f>IF(B$2&gt;B7,B$2,B7)</f>
        <v>4130</v>
      </c>
      <c r="C23" s="3" t="s">
        <v>46</v>
      </c>
    </row>
    <row r="24" spans="1:3" ht="13.5" customHeight="1" x14ac:dyDescent="0.25">
      <c r="A24" s="2" t="s">
        <v>97</v>
      </c>
      <c r="B24" s="15">
        <f>IF(B$2&gt;B8,B$2,B8)</f>
        <v>4130</v>
      </c>
      <c r="C24" s="3" t="s">
        <v>47</v>
      </c>
    </row>
    <row r="25" spans="1:3" ht="13.5" customHeight="1" x14ac:dyDescent="0.25">
      <c r="A25" s="2" t="s">
        <v>98</v>
      </c>
      <c r="B25" s="15">
        <f>IF(B$2&gt;B9,B$2,B9)</f>
        <v>4130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87</v>
      </c>
      <c r="B27" s="15" t="str">
        <f>IF(B23&gt;definitions!B$31,B19,"Capacity Pool Minimum Size")</f>
        <v>Capacity</v>
      </c>
      <c r="C27" s="3" t="s">
        <v>46</v>
      </c>
    </row>
    <row r="28" spans="1:3" ht="13.5" customHeight="1" x14ac:dyDescent="0.25">
      <c r="A28" s="2" t="s">
        <v>88</v>
      </c>
      <c r="B28" s="15" t="str">
        <f>IF(B24&gt;definitions!B$31,B20,"Capacity Pool Minimum Size")</f>
        <v>Capacity</v>
      </c>
      <c r="C28" s="3" t="s">
        <v>47</v>
      </c>
    </row>
    <row r="29" spans="1:3" ht="13.5" customHeight="1" x14ac:dyDescent="0.25">
      <c r="A29" s="2" t="s">
        <v>89</v>
      </c>
      <c r="B29" s="15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90</v>
      </c>
      <c r="B31" s="15">
        <f>IF(B23&gt;definitions!B$31,B23,definitions!B$31)</f>
        <v>4130</v>
      </c>
      <c r="C31" s="3" t="s">
        <v>46</v>
      </c>
    </row>
    <row r="32" spans="1:3" ht="13.5" customHeight="1" x14ac:dyDescent="0.25">
      <c r="A32" s="2" t="s">
        <v>91</v>
      </c>
      <c r="B32" s="15">
        <f>IF(B24&gt;definitions!B$31,B24,definitions!B$31)</f>
        <v>4130</v>
      </c>
      <c r="C32" s="3" t="s">
        <v>47</v>
      </c>
    </row>
    <row r="33" spans="1:5" ht="13.5" customHeight="1" x14ac:dyDescent="0.25">
      <c r="A33" s="2" t="s">
        <v>92</v>
      </c>
      <c r="B33" s="15">
        <f>IF(B25&gt;definitions!B$31,B25,definitions!B$31)</f>
        <v>4130</v>
      </c>
      <c r="C33" s="3" t="s">
        <v>39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145</v>
      </c>
      <c r="B35" s="15" t="str">
        <f>IF(MIN(B31:B33)&gt;definitions!B24,"No","Yes")</f>
        <v>Yes</v>
      </c>
      <c r="C35" s="3" t="s">
        <v>170</v>
      </c>
    </row>
    <row r="36" spans="1:5" ht="13.5" customHeight="1" x14ac:dyDescent="0.25">
      <c r="A36" s="2" t="s">
        <v>147</v>
      </c>
      <c r="B36" s="2" t="str">
        <f>IF('FSLogix Calculator'!B3&gt;('FSLogix Calculator'!E24),"No","Yes")</f>
        <v>Yes</v>
      </c>
      <c r="C36" s="61" t="s">
        <v>170</v>
      </c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40</v>
      </c>
      <c r="B38" s="24">
        <f>IF((B31&gt;definitions!B24),99999,B31*definitions!B$29)</f>
        <v>619.5</v>
      </c>
      <c r="C38" s="3" t="s">
        <v>46</v>
      </c>
      <c r="D38" s="3"/>
      <c r="E38" s="3"/>
    </row>
    <row r="39" spans="1:5" ht="13.5" customHeight="1" x14ac:dyDescent="0.25">
      <c r="A39" s="2" t="s">
        <v>41</v>
      </c>
      <c r="B39" s="16">
        <f>IF((B32&gt;definitions!B24),99999,B32*definitions!B$27)</f>
        <v>1239</v>
      </c>
      <c r="C39" s="3" t="s">
        <v>47</v>
      </c>
      <c r="D39" s="3"/>
      <c r="E39" s="3"/>
    </row>
    <row r="40" spans="1:5" ht="13.5" customHeight="1" x14ac:dyDescent="0.25">
      <c r="A40" s="2" t="s">
        <v>42</v>
      </c>
      <c r="B40" s="16">
        <f>IF((B33&gt;definitions!B24),99999,(B33*definitions!B$25))</f>
        <v>1652</v>
      </c>
      <c r="C40" s="3" t="s">
        <v>39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51</v>
      </c>
      <c r="B42" s="15">
        <f>B31/'FSLogix Calculator'!B$3</f>
        <v>35</v>
      </c>
      <c r="C42" s="3" t="s">
        <v>46</v>
      </c>
      <c r="D42" s="3"/>
      <c r="E42" s="3"/>
    </row>
    <row r="43" spans="1:5" ht="13.5" customHeight="1" x14ac:dyDescent="0.25">
      <c r="A43" s="2" t="s">
        <v>52</v>
      </c>
      <c r="B43" s="15">
        <f>B32/'FSLogix Calculator'!B$3</f>
        <v>35</v>
      </c>
      <c r="C43" s="3" t="s">
        <v>47</v>
      </c>
      <c r="D43" s="3"/>
      <c r="E43" s="3"/>
    </row>
    <row r="44" spans="1:5" ht="13.5" customHeight="1" x14ac:dyDescent="0.25">
      <c r="A44" s="2" t="s">
        <v>53</v>
      </c>
      <c r="B44" s="15">
        <f>B33/'FSLogix Calculator'!B$3</f>
        <v>35</v>
      </c>
      <c r="C44" s="3" t="s">
        <v>39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43</v>
      </c>
      <c r="B46" s="26">
        <f>IF(B38=definitions!A$23,B38, B38/'FSLogix Calculator'!B$29)</f>
        <v>1.972497745716862</v>
      </c>
      <c r="C46" s="3" t="s">
        <v>46</v>
      </c>
      <c r="D46" s="3"/>
      <c r="E46" s="3"/>
    </row>
    <row r="47" spans="1:5" ht="13.5" customHeight="1" x14ac:dyDescent="0.25">
      <c r="A47" s="2" t="s">
        <v>44</v>
      </c>
      <c r="B47" s="26">
        <f>IF(B39=definitions!A$23,B39, B39/'FSLogix Calculator'!B$29)</f>
        <v>3.944995491433724</v>
      </c>
      <c r="C47" s="3" t="s">
        <v>47</v>
      </c>
      <c r="D47" s="3"/>
      <c r="E47" s="3"/>
    </row>
    <row r="48" spans="1:5" x14ac:dyDescent="0.25">
      <c r="A48" s="2" t="s">
        <v>45</v>
      </c>
      <c r="B48" s="26">
        <f>IF(B40=definitions!A$23,B40, B40/'FSLogix Calculator'!B$29)</f>
        <v>5.2599939885782989</v>
      </c>
      <c r="C48" s="3" t="s">
        <v>39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48</v>
      </c>
      <c r="B50" s="26">
        <f>IF(B38=definitions!A23,B38,B38/'FSLogix Calculator'!B$37)</f>
        <v>0.6</v>
      </c>
      <c r="C50" s="3" t="s">
        <v>46</v>
      </c>
      <c r="D50" s="3"/>
    </row>
    <row r="51" spans="1:4" x14ac:dyDescent="0.25">
      <c r="A51" s="2" t="s">
        <v>49</v>
      </c>
      <c r="B51" s="26">
        <f>IF(B39=definitions!A23,B39,B39/'FSLogix Calculator'!B$37)</f>
        <v>1.2</v>
      </c>
      <c r="C51" s="3" t="s">
        <v>47</v>
      </c>
      <c r="D51" s="3"/>
    </row>
    <row r="52" spans="1:4" x14ac:dyDescent="0.25">
      <c r="A52" s="2" t="s">
        <v>50</v>
      </c>
      <c r="B52" s="26">
        <f>IF(B40=definitions!A23,B40,B40/'FSLogix Calculator'!B$37)</f>
        <v>1.6</v>
      </c>
      <c r="C52" s="3" t="s">
        <v>39</v>
      </c>
      <c r="D52" s="3"/>
    </row>
    <row r="54" spans="1:4" x14ac:dyDescent="0.25">
      <c r="A54" s="76" t="s">
        <v>105</v>
      </c>
      <c r="B54">
        <f>FLOOR(('Azure NetApp Files Calcuations'!B4*1024/'FSLogix Calculator'!B14)*(1/'FSLogix Calculator'!B6),1)</f>
        <v>11722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56</v>
      </c>
      <c r="C1" t="s">
        <v>55</v>
      </c>
    </row>
    <row r="2" spans="1:3" x14ac:dyDescent="0.25">
      <c r="A2" t="s">
        <v>20</v>
      </c>
      <c r="B2" s="36" t="str">
        <f>IF('FSLogix Calculator'!B15&gt;definitions!B$38,"Required I/O rate exceeds documented single storage account 10,000 op rate upper limit","Yes")</f>
        <v>Yes</v>
      </c>
      <c r="C2" s="37" t="str">
        <f>IF('FSLogix Calculator'!B$15&gt;definitions!B$38,"No, must configure additional storage accounts","Yes")</f>
        <v>Yes</v>
      </c>
    </row>
    <row r="3" spans="1:3" x14ac:dyDescent="0.25">
      <c r="A3" t="s">
        <v>21</v>
      </c>
      <c r="B3" s="38" t="str">
        <f>IF(('FSLogix Calculator'!B13)&gt;definitions!B$39,"Required bandwidth exceeds documented single storage account 300MiB/s  upper limit","Yes")</f>
        <v>Yes</v>
      </c>
      <c r="C3" s="37" t="str">
        <f>IF(('FSLogix Calculator'!B13)&gt;definitions!B$39,"No, must configure additional storage accounts","Yes")</f>
        <v>Yes</v>
      </c>
    </row>
    <row r="4" spans="1:3" x14ac:dyDescent="0.25">
      <c r="A4" t="s">
        <v>38</v>
      </c>
      <c r="B4" s="36" t="str">
        <f>IF('FSLogix Calculator'!B16&gt;102400,"Required capacity exceeds documented single storage account 100TiB upper limit","Yes")</f>
        <v>Yes</v>
      </c>
      <c r="C4" s="37" t="str">
        <f>IF('FSLogix Calculator'!B16&gt;102400,"No, must configure additional storage accounts","Yes")</f>
        <v>Yes</v>
      </c>
    </row>
    <row r="5" spans="1:3" x14ac:dyDescent="0.25">
      <c r="A5" t="s">
        <v>19</v>
      </c>
      <c r="B5" s="37" t="str">
        <f>IF(('FSLogix Calculator'!B$4*'FSLogix Calculator'!B$3*'FSLogix Calculator'!B$6)&gt;definitions!B$40,"Required I/O rate exceeds documented single storage account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108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158</v>
      </c>
      <c r="B8" s="15">
        <f>(('FSLogix Calculator'!B13-('FSLogix Calculator'!B13*(1-'FSLogix Calculator'!B9)))-definitions!B43)/definitions!B44</f>
        <v>-926.25000000000011</v>
      </c>
    </row>
    <row r="9" spans="1:3" x14ac:dyDescent="0.25">
      <c r="A9" t="s">
        <v>159</v>
      </c>
      <c r="B9" s="15">
        <f>(('FSLogix Calculator'!B13-('FSLogix Calculator'!B13*'FSLogix Calculator'!B9))-definitions!B45)/definitions!B46</f>
        <v>-557.5</v>
      </c>
    </row>
    <row r="10" spans="1:3" x14ac:dyDescent="0.25">
      <c r="A10" t="s">
        <v>161</v>
      </c>
      <c r="B10" s="15">
        <f>IF(B8&lt;100,100,B8)</f>
        <v>100</v>
      </c>
      <c r="C10" t="s">
        <v>142</v>
      </c>
    </row>
    <row r="11" spans="1:3" x14ac:dyDescent="0.25">
      <c r="A11" t="s">
        <v>162</v>
      </c>
      <c r="B11" s="15">
        <f>IF(B9&lt;100,100,B9)</f>
        <v>100</v>
      </c>
      <c r="C11" t="s">
        <v>143</v>
      </c>
    </row>
    <row r="12" spans="1:3" x14ac:dyDescent="0.25">
      <c r="A12" t="s">
        <v>160</v>
      </c>
      <c r="B12" t="str">
        <f>_xlfn.XLOOKUP(MAX(B10:B11),B10:B11,C10:C11)</f>
        <v>Read Bandwidth</v>
      </c>
      <c r="C12" s="15">
        <f>MAX(B10:B11)</f>
        <v>100</v>
      </c>
    </row>
    <row r="13" spans="1:3" x14ac:dyDescent="0.25">
      <c r="A13" t="s">
        <v>164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708</v>
      </c>
    </row>
    <row r="14" spans="1:3" x14ac:dyDescent="0.25">
      <c r="A14" t="s">
        <v>163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4130</v>
      </c>
    </row>
    <row r="17" spans="2:2" x14ac:dyDescent="0.25">
      <c r="B17" s="74"/>
    </row>
    <row r="18" spans="2:2" x14ac:dyDescent="0.25">
      <c r="B18" s="74"/>
    </row>
  </sheetData>
  <conditionalFormatting sqref="B3:B4">
    <cfRule type="cellIs" dxfId="58" priority="15" operator="equal">
      <formula>"Yes"</formula>
    </cfRule>
    <cfRule type="cellIs" dxfId="57" priority="16" operator="equal">
      <formula>"No: 300MiB/s is Maximum Supported Load"</formula>
    </cfRule>
  </conditionalFormatting>
  <conditionalFormatting sqref="B2">
    <cfRule type="containsText" dxfId="56" priority="14" operator="containsText" text="No">
      <formula>NOT(ISERROR(SEARCH("No",B2)))</formula>
    </cfRule>
  </conditionalFormatting>
  <conditionalFormatting sqref="B2:B4">
    <cfRule type="containsText" dxfId="55" priority="4" operator="containsText" text="Yes">
      <formula>NOT(ISERROR(SEARCH("Yes",B2)))</formula>
    </cfRule>
    <cfRule type="containsText" dxfId="54" priority="5" operator="containsText" text="Required">
      <formula>NOT(ISERROR(SEARCH("Required",B2)))</formula>
    </cfRule>
    <cfRule type="cellIs" dxfId="53" priority="13" operator="equal">
      <formula>"Yes"</formula>
    </cfRule>
  </conditionalFormatting>
  <conditionalFormatting sqref="B4">
    <cfRule type="cellIs" dxfId="52" priority="12" operator="equal">
      <formula>"""No: 102,400GiB is Maximum Supported Capacity"""</formula>
    </cfRule>
  </conditionalFormatting>
  <conditionalFormatting sqref="B4">
    <cfRule type="cellIs" dxfId="51" priority="9" operator="equal">
      <formula>"No"</formula>
    </cfRule>
    <cfRule type="cellIs" dxfId="50" priority="11" operator="equal">
      <formula>"No: 102,400GiB is Maximum Supported Capacity"</formula>
    </cfRule>
  </conditionalFormatting>
  <conditionalFormatting sqref="B3">
    <cfRule type="cellIs" dxfId="49" priority="10" operator="equal">
      <formula>"No"</formula>
    </cfRule>
  </conditionalFormatting>
  <conditionalFormatting sqref="C2:C4">
    <cfRule type="containsText" dxfId="48" priority="8" operator="containsText" text="No: Required ">
      <formula>NOT(ISERROR(SEARCH("No: Required ",C2)))</formula>
    </cfRule>
  </conditionalFormatting>
  <conditionalFormatting sqref="C3:C4">
    <cfRule type="containsText" dxfId="47" priority="7" operator="containsText" text="No:  Required ">
      <formula>NOT(ISERROR(SEARCH("No:  Required ",C3)))</formula>
    </cfRule>
  </conditionalFormatting>
  <conditionalFormatting sqref="C4">
    <cfRule type="containsText" dxfId="46" priority="6" operator="containsText" text="No:">
      <formula>NOT(ISERROR(SEARCH("No:",C4)))</formula>
    </cfRule>
  </conditionalFormatting>
  <conditionalFormatting sqref="C2:C6">
    <cfRule type="cellIs" dxfId="45" priority="3" operator="equal">
      <formula>"Yes"</formula>
    </cfRule>
  </conditionalFormatting>
  <conditionalFormatting sqref="B5:B6">
    <cfRule type="cellIs" dxfId="44" priority="2" operator="equal">
      <formula>"Yes"</formula>
    </cfRule>
  </conditionalFormatting>
  <conditionalFormatting sqref="B2:C6">
    <cfRule type="containsText" dxfId="43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E47"/>
  <sheetViews>
    <sheetView topLeftCell="A12" workbookViewId="0">
      <selection activeCell="C5" sqref="C5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54</v>
      </c>
      <c r="D1" t="s">
        <v>60</v>
      </c>
      <c r="E1" t="s">
        <v>139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22</v>
      </c>
      <c r="B22" t="s">
        <v>23</v>
      </c>
      <c r="D22" s="46"/>
    </row>
    <row r="23" spans="1:4" x14ac:dyDescent="0.25">
      <c r="A23" s="21" t="s">
        <v>167</v>
      </c>
      <c r="B23" s="2"/>
      <c r="D23" s="46"/>
    </row>
    <row r="24" spans="1:4" x14ac:dyDescent="0.25">
      <c r="A24" s="21" t="s">
        <v>65</v>
      </c>
      <c r="B24" s="15">
        <v>102400</v>
      </c>
      <c r="D24" s="46"/>
    </row>
    <row r="25" spans="1:4" x14ac:dyDescent="0.25">
      <c r="A25" s="21" t="s">
        <v>24</v>
      </c>
      <c r="B25" s="24">
        <v>0.4</v>
      </c>
      <c r="D25" s="46"/>
    </row>
    <row r="26" spans="1:4" x14ac:dyDescent="0.25">
      <c r="A26" s="21" t="s">
        <v>25</v>
      </c>
      <c r="B26" s="15">
        <v>128</v>
      </c>
      <c r="D26" s="46"/>
    </row>
    <row r="27" spans="1:4" x14ac:dyDescent="0.25">
      <c r="A27" s="21" t="s">
        <v>26</v>
      </c>
      <c r="B27" s="24">
        <v>0.3</v>
      </c>
      <c r="D27" s="46"/>
    </row>
    <row r="28" spans="1:4" x14ac:dyDescent="0.25">
      <c r="A28" s="21" t="s">
        <v>27</v>
      </c>
      <c r="B28" s="15">
        <v>64</v>
      </c>
      <c r="D28" s="46"/>
    </row>
    <row r="29" spans="1:4" x14ac:dyDescent="0.25">
      <c r="A29" s="21" t="s">
        <v>28</v>
      </c>
      <c r="B29" s="24">
        <v>0.15</v>
      </c>
      <c r="D29" s="46"/>
    </row>
    <row r="30" spans="1:4" x14ac:dyDescent="0.25">
      <c r="A30" s="21" t="s">
        <v>29</v>
      </c>
      <c r="B30" s="15">
        <v>16</v>
      </c>
      <c r="D30" s="46"/>
    </row>
    <row r="31" spans="1:4" x14ac:dyDescent="0.25">
      <c r="A31" s="21" t="s">
        <v>34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8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9</v>
      </c>
      <c r="B35" s="24">
        <v>0.06</v>
      </c>
      <c r="C35" s="14"/>
    </row>
    <row r="36" spans="1:4" x14ac:dyDescent="0.25">
      <c r="A36" s="21" t="s">
        <v>11</v>
      </c>
      <c r="B36" s="25">
        <f>0.0015/10000</f>
        <v>1.4999999999999999E-7</v>
      </c>
    </row>
    <row r="37" spans="1:4" x14ac:dyDescent="0.25">
      <c r="A37" s="21" t="s">
        <v>10</v>
      </c>
      <c r="B37" s="24">
        <v>0.25</v>
      </c>
    </row>
    <row r="38" spans="1:4" x14ac:dyDescent="0.25">
      <c r="A38" s="21" t="s">
        <v>12</v>
      </c>
      <c r="B38" s="15">
        <v>10000</v>
      </c>
    </row>
    <row r="39" spans="1:4" x14ac:dyDescent="0.25">
      <c r="A39" s="21" t="s">
        <v>13</v>
      </c>
      <c r="B39" s="15">
        <v>300</v>
      </c>
    </row>
    <row r="40" spans="1:4" x14ac:dyDescent="0.25">
      <c r="A40" s="21" t="s">
        <v>14</v>
      </c>
      <c r="B40" s="15">
        <v>100000</v>
      </c>
    </row>
    <row r="41" spans="1:4" x14ac:dyDescent="0.25">
      <c r="A41" s="21" t="s">
        <v>106</v>
      </c>
      <c r="B41" s="15">
        <v>102400</v>
      </c>
    </row>
    <row r="42" spans="1:4" x14ac:dyDescent="0.25">
      <c r="A42" s="21" t="s">
        <v>107</v>
      </c>
      <c r="B42" s="15">
        <v>102400</v>
      </c>
    </row>
    <row r="43" spans="1:4" x14ac:dyDescent="0.25">
      <c r="A43" s="21" t="s">
        <v>154</v>
      </c>
      <c r="B43" s="15">
        <v>60</v>
      </c>
    </row>
    <row r="44" spans="1:4" x14ac:dyDescent="0.25">
      <c r="A44" s="21" t="s">
        <v>155</v>
      </c>
      <c r="B44" s="73">
        <v>0.06</v>
      </c>
    </row>
    <row r="45" spans="1:4" x14ac:dyDescent="0.25">
      <c r="A45" s="21" t="s">
        <v>156</v>
      </c>
      <c r="B45" s="15">
        <v>40</v>
      </c>
    </row>
    <row r="46" spans="1:4" x14ac:dyDescent="0.25">
      <c r="A46" s="21" t="s">
        <v>157</v>
      </c>
      <c r="B46" s="73">
        <v>0.04</v>
      </c>
    </row>
    <row r="47" spans="1:4" x14ac:dyDescent="0.25">
      <c r="A47" s="21" t="s">
        <v>111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topLeftCell="J1"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</row>
    <row r="2" spans="1:35" x14ac:dyDescent="0.25">
      <c r="A2" t="s">
        <v>112</v>
      </c>
      <c r="B2" t="s">
        <v>113</v>
      </c>
      <c r="C2" t="s">
        <v>114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83</v>
      </c>
      <c r="O2">
        <v>60267</v>
      </c>
      <c r="P2">
        <v>3766</v>
      </c>
      <c r="Q2">
        <v>65536</v>
      </c>
      <c r="R2" t="s">
        <v>115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85</v>
      </c>
      <c r="Z2">
        <v>17027</v>
      </c>
      <c r="AA2">
        <v>1064</v>
      </c>
      <c r="AB2">
        <v>65536</v>
      </c>
      <c r="AC2" t="s">
        <v>115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112</v>
      </c>
      <c r="B3" t="s">
        <v>113</v>
      </c>
      <c r="C3" t="s">
        <v>114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83</v>
      </c>
      <c r="O3">
        <v>57317</v>
      </c>
      <c r="P3">
        <v>3582</v>
      </c>
      <c r="Q3">
        <v>65536</v>
      </c>
      <c r="R3" t="s">
        <v>116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85</v>
      </c>
      <c r="Z3">
        <v>18481</v>
      </c>
      <c r="AA3">
        <v>1155</v>
      </c>
      <c r="AB3">
        <v>65536</v>
      </c>
      <c r="AC3" t="s">
        <v>116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112</v>
      </c>
      <c r="B4" t="s">
        <v>113</v>
      </c>
      <c r="C4" t="s">
        <v>114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83</v>
      </c>
      <c r="O4">
        <v>52732</v>
      </c>
      <c r="P4">
        <v>3295</v>
      </c>
      <c r="Q4">
        <v>65536</v>
      </c>
      <c r="R4" t="s">
        <v>117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85</v>
      </c>
      <c r="Z4">
        <v>19153</v>
      </c>
      <c r="AA4">
        <v>1197</v>
      </c>
      <c r="AB4">
        <v>65536</v>
      </c>
      <c r="AC4" t="s">
        <v>117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112</v>
      </c>
      <c r="B5" t="s">
        <v>113</v>
      </c>
      <c r="C5" t="s">
        <v>114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83</v>
      </c>
      <c r="O5">
        <v>51478</v>
      </c>
      <c r="P5">
        <v>3217</v>
      </c>
      <c r="Q5">
        <v>65536</v>
      </c>
      <c r="R5" t="s">
        <v>118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85</v>
      </c>
      <c r="Z5">
        <v>19764</v>
      </c>
      <c r="AA5">
        <v>1235</v>
      </c>
      <c r="AB5">
        <v>65536</v>
      </c>
      <c r="AC5" t="s">
        <v>118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112</v>
      </c>
      <c r="B6" t="s">
        <v>113</v>
      </c>
      <c r="C6" t="s">
        <v>114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83</v>
      </c>
      <c r="O6">
        <v>48993</v>
      </c>
      <c r="P6">
        <v>3062</v>
      </c>
      <c r="Q6">
        <v>65536</v>
      </c>
      <c r="R6" t="s">
        <v>119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85</v>
      </c>
      <c r="Z6">
        <v>19712</v>
      </c>
      <c r="AA6">
        <v>1232</v>
      </c>
      <c r="AB6">
        <v>65536</v>
      </c>
      <c r="AC6" t="s">
        <v>119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112</v>
      </c>
      <c r="B7" t="s">
        <v>113</v>
      </c>
      <c r="C7" t="s">
        <v>114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83</v>
      </c>
      <c r="O7">
        <v>47054</v>
      </c>
      <c r="P7">
        <v>2940</v>
      </c>
      <c r="Q7">
        <v>65536</v>
      </c>
      <c r="R7" t="s">
        <v>120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85</v>
      </c>
      <c r="Z7">
        <v>19788</v>
      </c>
      <c r="AA7">
        <v>1236</v>
      </c>
      <c r="AB7">
        <v>65536</v>
      </c>
      <c r="AC7" t="s">
        <v>120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112</v>
      </c>
      <c r="B8" t="s">
        <v>113</v>
      </c>
      <c r="C8" t="s">
        <v>114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83</v>
      </c>
      <c r="O8">
        <v>42934</v>
      </c>
      <c r="P8">
        <v>2683</v>
      </c>
      <c r="Q8">
        <v>65536</v>
      </c>
      <c r="R8" t="s">
        <v>121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85</v>
      </c>
      <c r="Z8">
        <v>18790</v>
      </c>
      <c r="AA8">
        <v>1174</v>
      </c>
      <c r="AB8">
        <v>65536</v>
      </c>
      <c r="AC8" t="s">
        <v>121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112</v>
      </c>
      <c r="B9" t="s">
        <v>113</v>
      </c>
      <c r="C9" t="s">
        <v>114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83</v>
      </c>
      <c r="O9">
        <v>38865</v>
      </c>
      <c r="P9">
        <v>2429</v>
      </c>
      <c r="Q9">
        <v>65536</v>
      </c>
      <c r="R9" t="s">
        <v>122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85</v>
      </c>
      <c r="Z9">
        <v>17559</v>
      </c>
      <c r="AA9">
        <v>1097</v>
      </c>
      <c r="AB9">
        <v>65536</v>
      </c>
      <c r="AC9" t="s">
        <v>122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112</v>
      </c>
      <c r="B10" t="s">
        <v>113</v>
      </c>
      <c r="C10" t="s">
        <v>114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83</v>
      </c>
      <c r="O10">
        <v>35170</v>
      </c>
      <c r="P10">
        <v>2198</v>
      </c>
      <c r="Q10">
        <v>65536</v>
      </c>
      <c r="R10" t="s">
        <v>123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85</v>
      </c>
      <c r="Z10">
        <v>16162</v>
      </c>
      <c r="AA10">
        <v>1010</v>
      </c>
      <c r="AB10">
        <v>65536</v>
      </c>
      <c r="AC10" t="s">
        <v>123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112</v>
      </c>
      <c r="B11" t="s">
        <v>113</v>
      </c>
      <c r="C11" t="s">
        <v>114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83</v>
      </c>
      <c r="O11">
        <v>31849</v>
      </c>
      <c r="P11">
        <v>1990</v>
      </c>
      <c r="Q11">
        <v>65536</v>
      </c>
      <c r="R11" t="s">
        <v>124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85</v>
      </c>
      <c r="Z11">
        <v>15215</v>
      </c>
      <c r="AA11">
        <v>950</v>
      </c>
      <c r="AB11">
        <v>65536</v>
      </c>
      <c r="AC11" t="s">
        <v>124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112</v>
      </c>
      <c r="B12" t="s">
        <v>113</v>
      </c>
      <c r="C12" t="s">
        <v>114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83</v>
      </c>
      <c r="O12">
        <v>29482</v>
      </c>
      <c r="P12">
        <v>1842</v>
      </c>
      <c r="Q12">
        <v>65536</v>
      </c>
      <c r="R12" t="s">
        <v>125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85</v>
      </c>
      <c r="Z12">
        <v>14265</v>
      </c>
      <c r="AA12">
        <v>891</v>
      </c>
      <c r="AB12">
        <v>65536</v>
      </c>
      <c r="AC12" t="s">
        <v>125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2020-10-01T17:34:51Z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