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netapp-my.sharepoint.com/personal/mchad_netapp_com/Documents/Documents/DataFabric/calculators/fslogix-calculator/"/>
    </mc:Choice>
  </mc:AlternateContent>
  <xr:revisionPtr revIDLastSave="0" documentId="8_{304A4FDD-42B5-42FA-95CC-FF656758BAD3}" xr6:coauthVersionLast="45" xr6:coauthVersionMax="45" xr10:uidLastSave="{00000000-0000-0000-0000-000000000000}"/>
  <bookViews>
    <workbookView xWindow="-120" yWindow="-120" windowWidth="24240" windowHeight="13140" xr2:uid="{CB3913B2-BB8F-4CB3-9459-2FD527F7F31B}"/>
  </bookViews>
  <sheets>
    <sheet name="FSLogix Calculator" sheetId="1" r:id="rId1"/>
    <sheet name="Azure NetApp Files Calcuations" sheetId="3" state="hidden" r:id="rId2"/>
    <sheet name="Azure Files Calculations" sheetId="4" state="hidden" r:id="rId3"/>
    <sheet name="definitions" sheetId="2" state="hidden" r:id="rId4"/>
    <sheet name="Throughput Test" sheetId="5" state="hidden" r:id="rId5"/>
  </sheets>
  <calcPr calcId="191029" iterate="1" iterateCount="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4" l="1"/>
  <c r="B5" i="4" l="1"/>
  <c r="B5" i="3" l="1"/>
  <c r="E25" i="1" s="1"/>
  <c r="G25" i="1"/>
  <c r="H25" i="1"/>
  <c r="E41" i="1"/>
  <c r="E42" i="1"/>
  <c r="E34" i="1"/>
  <c r="E33" i="1"/>
  <c r="E32" i="1"/>
  <c r="B6" i="4"/>
  <c r="B4" i="3"/>
  <c r="B13" i="1"/>
  <c r="C3" i="4" s="1"/>
  <c r="B3" i="4" l="1"/>
  <c r="B8" i="4"/>
  <c r="B10" i="4" s="1"/>
  <c r="B9" i="4"/>
  <c r="B11" i="4" l="1"/>
  <c r="C12" i="4" s="1"/>
  <c r="B13" i="4"/>
  <c r="C13" i="4"/>
  <c r="B12" i="4" l="1"/>
  <c r="F37" i="1" l="1"/>
  <c r="C6" i="4"/>
  <c r="B3" i="3"/>
  <c r="B12" i="1" l="1"/>
  <c r="B16" i="1"/>
  <c r="B15" i="1"/>
  <c r="C2" i="4" s="1"/>
  <c r="B14" i="1"/>
  <c r="B4" i="4" l="1"/>
  <c r="C4" i="4"/>
  <c r="E29" i="1" s="1"/>
  <c r="E24" i="1"/>
  <c r="H19" i="1" s="1"/>
  <c r="B2" i="4"/>
  <c r="G29" i="1" s="1"/>
  <c r="B54" i="3"/>
  <c r="B14" i="4"/>
  <c r="E40" i="1" s="1"/>
  <c r="C14" i="4"/>
  <c r="E38" i="1" s="1"/>
  <c r="E39" i="1" s="1"/>
  <c r="B13" i="3"/>
  <c r="B12" i="3"/>
  <c r="B11" i="3"/>
  <c r="B15" i="3" s="1"/>
  <c r="G37" i="1"/>
  <c r="B7" i="3"/>
  <c r="B2" i="3"/>
  <c r="B36" i="2"/>
  <c r="B32" i="1" l="1"/>
  <c r="B31" i="1"/>
  <c r="E37" i="1"/>
  <c r="F29" i="1"/>
  <c r="H29" i="1"/>
  <c r="B23" i="3"/>
  <c r="B31" i="3" s="1"/>
  <c r="B19" i="3"/>
  <c r="B29" i="1" l="1"/>
  <c r="B37" i="1"/>
  <c r="B38" i="3"/>
  <c r="B38" i="1"/>
  <c r="B36" i="3"/>
  <c r="E30" i="1"/>
  <c r="E31" i="1" s="1"/>
  <c r="B27" i="3"/>
  <c r="B42" i="3"/>
  <c r="B9" i="3"/>
  <c r="B8" i="3"/>
  <c r="B17" i="3"/>
  <c r="B16" i="3"/>
  <c r="B30" i="1" l="1"/>
  <c r="B50" i="3"/>
  <c r="B20" i="3"/>
  <c r="B21" i="3"/>
  <c r="B24" i="3"/>
  <c r="B32" i="3" s="1"/>
  <c r="B25" i="3"/>
  <c r="B39" i="3" l="1"/>
  <c r="B46" i="3"/>
  <c r="B28" i="3"/>
  <c r="B33" i="3"/>
  <c r="B35" i="3" s="1"/>
  <c r="B29" i="3"/>
  <c r="F19" i="1" l="1"/>
  <c r="E19" i="1"/>
  <c r="B40" i="3"/>
  <c r="B47" i="3"/>
  <c r="B51" i="3"/>
  <c r="B44" i="3"/>
  <c r="B43" i="3"/>
  <c r="E21" i="1" l="1"/>
  <c r="B52" i="3"/>
  <c r="B48" i="3"/>
  <c r="E22" i="1" l="1"/>
  <c r="B19" i="1"/>
  <c r="E20" i="1"/>
  <c r="E23" i="1"/>
  <c r="D26" i="1" l="1"/>
  <c r="E26" i="1"/>
  <c r="F25" i="1" s="1"/>
  <c r="B20" i="1"/>
</calcChain>
</file>

<file path=xl/sharedStrings.xml><?xml version="1.0" encoding="utf-8"?>
<sst xmlns="http://schemas.openxmlformats.org/spreadsheetml/2006/main" count="303" uniqueCount="169">
  <si>
    <t>seconds in an hour</t>
  </si>
  <si>
    <t>weeks in a year</t>
  </si>
  <si>
    <t>IO Size</t>
  </si>
  <si>
    <t>Modify: User Count</t>
  </si>
  <si>
    <t>IOPS Per User</t>
  </si>
  <si>
    <t>Fields</t>
  </si>
  <si>
    <t xml:space="preserve">Input </t>
  </si>
  <si>
    <t>Calculated Output</t>
  </si>
  <si>
    <t>months in a year</t>
  </si>
  <si>
    <t>Cost Per GiB Azure Files</t>
  </si>
  <si>
    <t>Cost Per GiB Azure Premium Files</t>
  </si>
  <si>
    <t>Cost per IOP for Azure Files</t>
  </si>
  <si>
    <t xml:space="preserve">Azure Files maxium supported IOPS </t>
  </si>
  <si>
    <t xml:space="preserve">Azure Files maxium MiB/s </t>
  </si>
  <si>
    <t>Azure Premium Files maxium IO Rate</t>
  </si>
  <si>
    <t>Calculated: Required Bandwidth Per User (KiB/s)</t>
  </si>
  <si>
    <t>Calculated: Required IOPS Per Volume</t>
  </si>
  <si>
    <t>High Level Environmental Needs</t>
  </si>
  <si>
    <t>Calculated: Total Capacity (GiB)</t>
  </si>
  <si>
    <t>Calculated: Azure Premium Files: Supports Required I/O Needs?</t>
  </si>
  <si>
    <t>Calculated: Azure Files: Supports Required I/O Needs?</t>
  </si>
  <si>
    <t>Calculated: Azure Files: Supports Required Bandwidth Needs?</t>
  </si>
  <si>
    <t>Keys</t>
  </si>
  <si>
    <t>Values</t>
  </si>
  <si>
    <t>Ultra: Cost per GiB</t>
  </si>
  <si>
    <t>Ultra: Bandwidth per GiB</t>
  </si>
  <si>
    <t>Premium: Cost per GiB</t>
  </si>
  <si>
    <t>Premium: Bandwidth per GiB</t>
  </si>
  <si>
    <t>Standard Cost per GiB</t>
  </si>
  <si>
    <t>Standard: Bandwidth per GiB</t>
  </si>
  <si>
    <t>Azure NetApp Files Break Down</t>
  </si>
  <si>
    <t>Standard: Capacity (GiB) Required For Calculated Bandwidth</t>
  </si>
  <si>
    <t>Premium: Capacity (GiB) Required For Calculated Bandwidth</t>
  </si>
  <si>
    <t>Ultra: Capacity (GiB) Required For Calculated Bandwidth</t>
  </si>
  <si>
    <t>Minimum Capacity Pool Size GiB</t>
  </si>
  <si>
    <t>Standard: Minimum Users Required To Justify Minimum Capacity Pool Size</t>
  </si>
  <si>
    <t>Premium: Minimum Users Required To Justify Minimum Capacity Pool Size</t>
  </si>
  <si>
    <t>Ultra: Minimum Users Required To Justify Minimum Capacity Pool Size</t>
  </si>
  <si>
    <t>Calculated: Azure Files: Supports Required Capacity?</t>
  </si>
  <si>
    <t>Ultra</t>
  </si>
  <si>
    <t>Standard: Capacity Cost</t>
  </si>
  <si>
    <t>Premium: Capacity Cost</t>
  </si>
  <si>
    <t>Ultra: Capacity Cost</t>
  </si>
  <si>
    <t>Standard: Percentage Difference Than Azure Files</t>
  </si>
  <si>
    <t>Premium: Percentage Difference Than Azure Files</t>
  </si>
  <si>
    <t>Ultra: Percentage Difference Than Azure Files</t>
  </si>
  <si>
    <t>Standard</t>
  </si>
  <si>
    <t>Premium</t>
  </si>
  <si>
    <t>Standard: Percentage Difference Than Azure Premium Files</t>
  </si>
  <si>
    <t>Premium: Percentage Difference Than Azure Premium Files</t>
  </si>
  <si>
    <t>Ultra: Percentage Difference Than Azure Premium Files</t>
  </si>
  <si>
    <t>Standard: Capacity Per User (GiB)</t>
  </si>
  <si>
    <t>Premium: Capacity Per User (GiB)</t>
  </si>
  <si>
    <t>Ultra: Capacity Per User (GiB)</t>
  </si>
  <si>
    <t>VHD Sizes</t>
  </si>
  <si>
    <t>Will Azure Files Work (Without Explanation - for Xlookup)</t>
  </si>
  <si>
    <t>Will Azure Files * Work (with explanation)</t>
  </si>
  <si>
    <t>Etc(1)</t>
  </si>
  <si>
    <t>Etc(2)</t>
  </si>
  <si>
    <t>Etc(3)</t>
  </si>
  <si>
    <t>Concurrent Users</t>
  </si>
  <si>
    <t>Calculated: Concurrent Users</t>
  </si>
  <si>
    <t>Capacity Required By Input (GiB)</t>
  </si>
  <si>
    <t>Drop Down: Storage Profile Size in GiB</t>
  </si>
  <si>
    <t>Modify: Working Hours Per Week</t>
  </si>
  <si>
    <t>ANF: Max Volume Size GiB</t>
  </si>
  <si>
    <t>Capacity Per User (GiB)</t>
  </si>
  <si>
    <t>Monthly Cost Break Down (I/O)</t>
  </si>
  <si>
    <t>Monthly Cost Break Down (GiB)</t>
  </si>
  <si>
    <t>Monthly Cost Per User</t>
  </si>
  <si>
    <t>Monthly Cost</t>
  </si>
  <si>
    <t>Azure NetApp Files Additional Information</t>
  </si>
  <si>
    <t>Azure NetApp Files Price Break Down</t>
  </si>
  <si>
    <t>Azure Files Price Break Down</t>
  </si>
  <si>
    <t>Azure Premium Files Price Break Down</t>
  </si>
  <si>
    <t>Capacity (GiB)</t>
  </si>
  <si>
    <t>Azure Premium Files Additional Information</t>
  </si>
  <si>
    <t>Azure Standard Files Additional Information</t>
  </si>
  <si>
    <t xml:space="preserve"> Output</t>
  </si>
  <si>
    <t>Output</t>
  </si>
  <si>
    <t>output</t>
  </si>
  <si>
    <t>Azure NetApp Files</t>
  </si>
  <si>
    <t>Azure (Standard) Files</t>
  </si>
  <si>
    <t>Azure Premium Files</t>
  </si>
  <si>
    <t>FSLogix Storage Calculator</t>
  </si>
  <si>
    <t>Standard: Select Capacity/Bandwidth/Capacity Pool Minimum (English)</t>
  </si>
  <si>
    <t>Premium:  Select Capacity/Bandwidth/Capacity Pool Minimum (English)</t>
  </si>
  <si>
    <t>Ultra:  Select Capacity/Bandwidth/Capacity Pool Minimum (English)</t>
  </si>
  <si>
    <t>Standard: Select Capacity/Bandwidth/Capacity Pool Minimum (#)</t>
  </si>
  <si>
    <t>Premium:  Select Capacity/Bandwidth/Capacity Pool Minimum (#)</t>
  </si>
  <si>
    <t>Ultra:  Select Capacity/Bandwidth/Capacity Pool Minimum (#)</t>
  </si>
  <si>
    <t>Standard: Select Capacity Based On Bandwidth Needs Or Capacity Needs (English)</t>
  </si>
  <si>
    <t>Premium: Select Capacity Based On Bandwidth Needs Or Capacity Needs (English)</t>
  </si>
  <si>
    <t>Ultra: Select Capacity Based On Bandwidth Needs Or Capacity Needs (English)</t>
  </si>
  <si>
    <t>Standard: Select Capacity Based On Bandwidth Needs Or Capacity Needs (#)</t>
  </si>
  <si>
    <t>Premium: Select Capacity Based On Bandwidth Needs Or Capacity Needs (#)</t>
  </si>
  <si>
    <t>Ultra: Select Capacity Based On Bandwidth Needs Or Capacity Needs (#)</t>
  </si>
  <si>
    <t>Standard: Capacity (GiB) Required Per User To Satisfy Bandwidth Needs</t>
  </si>
  <si>
    <t>Premium: Capacity (GiB) Required Per User To Satisfy Bandwidth Needs</t>
  </si>
  <si>
    <t>Ultra: Capacity (GiB) Required Per User To Satisfy Bandwidth Needs</t>
  </si>
  <si>
    <t>Capacity (GiB) Required Per User To Satisfy Capacity Needs</t>
  </si>
  <si>
    <t>Calculated: Required Bandwidth Per Vol (MiB/s)</t>
  </si>
  <si>
    <t>Max Total Supported User Count (Based on Concurrent  I/O Rate)</t>
  </si>
  <si>
    <t>Max Total Supported User Count (Based on Concurrent MiB/s)</t>
  </si>
  <si>
    <t>Azure Files Max Capacity (GiB)</t>
  </si>
  <si>
    <t>Azure Premium Files Max (GiB)</t>
  </si>
  <si>
    <t>Calculated: Azure Premium Files: Required Capacity?</t>
  </si>
  <si>
    <t>Drop Down: Concurrent Users</t>
  </si>
  <si>
    <t>Recommended Service Level</t>
  </si>
  <si>
    <t>Read Percentage</t>
  </si>
  <si>
    <t>VMCount=4</t>
  </si>
  <si>
    <t>Thread=1</t>
  </si>
  <si>
    <t>Azure Files</t>
  </si>
  <si>
    <t>Readpct=100</t>
  </si>
  <si>
    <t>Readpct=90</t>
  </si>
  <si>
    <t>Readpct=80</t>
  </si>
  <si>
    <t>Readpct=70</t>
  </si>
  <si>
    <t>Readpct=60</t>
  </si>
  <si>
    <t>Readpct=50</t>
  </si>
  <si>
    <t>Readpct=40</t>
  </si>
  <si>
    <t>Readpct=30</t>
  </si>
  <si>
    <t>Readpct=20</t>
  </si>
  <si>
    <t>Readpct=10</t>
  </si>
  <si>
    <t>Readpct=0</t>
  </si>
  <si>
    <t>vms</t>
  </si>
  <si>
    <t>thread</t>
  </si>
  <si>
    <t>volume</t>
  </si>
  <si>
    <t>io_rate</t>
  </si>
  <si>
    <t>MiB/s</t>
  </si>
  <si>
    <t>iosize</t>
  </si>
  <si>
    <t>read_pct</t>
  </si>
  <si>
    <t>resp_time</t>
  </si>
  <si>
    <t>read_resp_time</t>
  </si>
  <si>
    <t>write_resp_time</t>
  </si>
  <si>
    <t>resp_max</t>
  </si>
  <si>
    <t>resp_stddev</t>
  </si>
  <si>
    <t>qdepth</t>
  </si>
  <si>
    <t>Read Percenage</t>
  </si>
  <si>
    <t>Drop Down: Read Percentage (Advanced)</t>
  </si>
  <si>
    <t>Drop Down: Avg I/O Size To Storage (Advanced)</t>
  </si>
  <si>
    <t>Read Bandwidth</t>
  </si>
  <si>
    <t>Write Bandwidth</t>
  </si>
  <si>
    <t>Maximum Tested Bandwidth (MiB/s) At Read %</t>
  </si>
  <si>
    <t>Does Calculated Capacity Fit Within Maximum Volume Size? (English)</t>
  </si>
  <si>
    <t>Provisioned Capacity (GiB)</t>
  </si>
  <si>
    <t>Is tested bandwidth sufficient for user count? (English)</t>
  </si>
  <si>
    <t>Max Total Supported User Count (Based on Capacity)</t>
  </si>
  <si>
    <t>Maximum Supported Users Based On Capacity</t>
  </si>
  <si>
    <t>Max Total Supported User Count (Based on Requested Capacity)</t>
  </si>
  <si>
    <t>Provisioned Capacity Per User (GiB)</t>
  </si>
  <si>
    <t>Provisioned Capacity defined By</t>
  </si>
  <si>
    <t>Provisioned Capacity Defined By</t>
  </si>
  <si>
    <t>Azure Premium Files Read MiB/s base value MiB/s</t>
  </si>
  <si>
    <t>Azure Premium Files Read MiB/s Per GiB of Capacity</t>
  </si>
  <si>
    <t>Azure Premium Files Write MiB/s base value MiB/s</t>
  </si>
  <si>
    <t>Azure Premium Files Write MiB/s Per GiB of Capacity</t>
  </si>
  <si>
    <t>Calculated: Azure Premium Files: Capacity Required For Read MiB/s</t>
  </si>
  <si>
    <t>Calculated: Azure Premium Files: Capacity Required For Write MiB/s</t>
  </si>
  <si>
    <t>Calculated: Azure Premium Files: Capacity Required By Read or Write Bandwidth</t>
  </si>
  <si>
    <t>Calculated: Azure Premium Files: Adjusted Capacity Required For Read MiB/s</t>
  </si>
  <si>
    <t>Calculated: Azure Premium Files: Adjusted Capacity Required For Write MiB/s</t>
  </si>
  <si>
    <t>Calculated: Azure Premium Files: Capacity Required By I/O, Bandwidth, Or Profile Size</t>
  </si>
  <si>
    <t>Calculated: Azure Premium Files: Capacity Required By I/O or Bandwidth</t>
  </si>
  <si>
    <t>Max Total Supported User Count (Based on Concurrent I/O Rate)</t>
  </si>
  <si>
    <t>Modify: IOPS Per User</t>
  </si>
  <si>
    <t>Required capacity exceeds documented single ANF volume 100TiB upper limit</t>
  </si>
  <si>
    <t>Does Single Storage Account Support User Count?</t>
  </si>
  <si>
    <t>Does Single ANF Volume Support User Count?</t>
  </si>
  <si>
    <t>Configure more than one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</si>
</sst>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164" formatCode="0.0000"/>
    <numFmt numFmtId="165" formatCode="&quot;$&quot;#,##0.00"/>
    <numFmt numFmtId="166" formatCode="0.0"/>
    <numFmt numFmtId="167" formatCode="&quot;$&quot;#,##0.00000000_);[Red]\(&quot;$&quot;#,##0.00000000\)"/>
    <numFmt numFmtId="168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80">
    <xf numFmtId="0" fontId="0" fillId="0" borderId="0" xfId="0"/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/>
    <xf numFmtId="0" fontId="2" fillId="0" borderId="0" xfId="0" applyFont="1"/>
    <xf numFmtId="9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67" fontId="0" fillId="0" borderId="0" xfId="0" applyNumberFormat="1"/>
    <xf numFmtId="3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3" fontId="1" fillId="0" borderId="0" xfId="0" applyNumberFormat="1" applyFont="1" applyAlignment="1">
      <alignment horizontal="left"/>
    </xf>
    <xf numFmtId="3" fontId="1" fillId="0" borderId="0" xfId="0" applyNumberFormat="1" applyFont="1" applyBorder="1" applyAlignment="1">
      <alignment horizontal="left"/>
    </xf>
    <xf numFmtId="3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165" fontId="1" fillId="0" borderId="0" xfId="0" applyNumberFormat="1" applyFont="1" applyBorder="1" applyAlignment="1">
      <alignment horizontal="left"/>
    </xf>
    <xf numFmtId="8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0" fontId="1" fillId="0" borderId="0" xfId="0" applyFont="1" applyBorder="1"/>
    <xf numFmtId="3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Border="1" applyAlignment="1" applyProtection="1">
      <alignment horizontal="left"/>
      <protection locked="0"/>
    </xf>
    <xf numFmtId="0" fontId="0" fillId="2" borderId="0" xfId="0" applyFill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3" borderId="1" xfId="0" applyFont="1" applyFill="1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2" borderId="0" xfId="0" applyNumberFormat="1" applyFill="1"/>
    <xf numFmtId="0" fontId="0" fillId="2" borderId="5" xfId="0" applyFill="1" applyBorder="1"/>
    <xf numFmtId="0" fontId="0" fillId="2" borderId="2" xfId="0" applyNumberFormat="1" applyFill="1" applyBorder="1"/>
    <xf numFmtId="0" fontId="0" fillId="2" borderId="3" xfId="0" applyNumberFormat="1" applyFill="1" applyBorder="1"/>
    <xf numFmtId="0" fontId="0" fillId="2" borderId="6" xfId="0" applyFill="1" applyBorder="1"/>
    <xf numFmtId="9" fontId="0" fillId="0" borderId="0" xfId="0" applyNumberFormat="1"/>
    <xf numFmtId="9" fontId="1" fillId="0" borderId="0" xfId="0" applyNumberFormat="1" applyFont="1" applyAlignment="1" applyProtection="1">
      <alignment horizontal="left"/>
      <protection locked="0"/>
    </xf>
    <xf numFmtId="3" fontId="1" fillId="0" borderId="0" xfId="0" applyNumberFormat="1" applyFont="1" applyBorder="1" applyAlignment="1">
      <alignment horizontal="left" vertical="center"/>
    </xf>
    <xf numFmtId="165" fontId="1" fillId="0" borderId="0" xfId="0" applyNumberFormat="1" applyFont="1" applyBorder="1" applyAlignment="1">
      <alignment horizontal="left" vertical="center"/>
    </xf>
    <xf numFmtId="9" fontId="1" fillId="0" borderId="0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3" fontId="1" fillId="0" borderId="0" xfId="0" applyNumberFormat="1" applyFont="1" applyBorder="1" applyAlignment="1">
      <alignment horizontal="left" vertical="center" wrapText="1"/>
    </xf>
    <xf numFmtId="0" fontId="0" fillId="2" borderId="3" xfId="0" applyFill="1" applyBorder="1" applyAlignment="1">
      <alignment vertical="center"/>
    </xf>
    <xf numFmtId="168" fontId="1" fillId="0" borderId="0" xfId="0" applyNumberFormat="1" applyFont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3" fontId="1" fillId="4" borderId="0" xfId="0" applyNumberFormat="1" applyFont="1" applyFill="1" applyBorder="1" applyAlignment="1">
      <alignment horizontal="left" vertical="center"/>
    </xf>
    <xf numFmtId="4" fontId="0" fillId="0" borderId="0" xfId="0" applyNumberFormat="1"/>
    <xf numFmtId="3" fontId="0" fillId="0" borderId="0" xfId="0" applyNumberFormat="1" applyFont="1" applyAlignment="1">
      <alignment horizontal="left"/>
    </xf>
    <xf numFmtId="0" fontId="5" fillId="0" borderId="2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1" fillId="0" borderId="0" xfId="0" applyNumberFormat="1" applyFont="1" applyBorder="1" applyAlignment="1" applyProtection="1">
      <alignment horizontal="left"/>
      <protection locked="0"/>
    </xf>
    <xf numFmtId="0" fontId="0" fillId="2" borderId="3" xfId="0" applyNumberForma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NumberFormat="1" applyFill="1" applyAlignment="1">
      <alignment vertical="center"/>
    </xf>
    <xf numFmtId="3" fontId="1" fillId="0" borderId="0" xfId="0" applyNumberFormat="1" applyFont="1" applyAlignment="1">
      <alignment horizontal="left" vertical="center"/>
    </xf>
    <xf numFmtId="0" fontId="0" fillId="0" borderId="0" xfId="0" applyNumberFormat="1"/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4" fontId="0" fillId="0" borderId="0" xfId="0" applyNumberFormat="1" applyAlignment="1">
      <alignment horizontal="left"/>
    </xf>
    <xf numFmtId="3" fontId="0" fillId="0" borderId="0" xfId="0" applyNumberFormat="1"/>
    <xf numFmtId="1" fontId="0" fillId="0" borderId="0" xfId="0" applyNumberFormat="1"/>
    <xf numFmtId="0" fontId="1" fillId="0" borderId="7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1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3" formatCode="0%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font>
        <b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left" vertical="bottom" textRotation="0" wrapText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fill>
        <patternFill patternType="solid">
          <fgColor indexed="64"/>
          <bgColor theme="1"/>
        </patternFill>
      </fill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font>
        <b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border diagonalUp="0" diagonalDown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alignment vertical="center" textRotation="0" indent="0" justifyLastLine="0" shrinkToFit="0" readingOrder="0"/>
    </dxf>
    <dxf>
      <font>
        <b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border diagonalUp="0" diagonalDown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alignment vertical="center" textRotation="0" indent="0" justifyLastLine="0" shrinkToFit="0" readingOrder="0"/>
    </dxf>
    <dxf>
      <font>
        <b/>
      </font>
      <numFmt numFmtId="165" formatCode="&quot;$&quot;#,##0.0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left" vertical="bottom" textRotation="0" wrapText="0" indent="0" justifyLastLine="0" shrinkToFit="0" readingOrder="0"/>
    </dxf>
    <dxf>
      <font>
        <b/>
      </font>
      <numFmt numFmtId="165" formatCode="&quot;$&quot;#,##0.00"/>
      <alignment horizontal="left" vertical="center" textRotation="0" wrapText="0" indent="0" justifyLastLine="0" shrinkToFit="0" readingOrder="0"/>
    </dxf>
    <dxf>
      <font>
        <b/>
      </font>
      <alignment horizontal="left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  <numFmt numFmtId="3" formatCode="#,##0"/>
      <alignment horizontal="left" vertical="bottom" textRotation="0" wrapText="0" indent="0" justifyLastLine="0" shrinkToFit="0" readingOrder="0"/>
      <protection locked="0" hidden="0"/>
    </dxf>
    <dxf>
      <font>
        <b/>
      </font>
      <alignment horizontal="left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Four</a:t>
            </a:r>
            <a:r>
              <a:rPr lang="en-US" baseline="0"/>
              <a:t> Instance 64K Sequential IO</a:t>
            </a:r>
          </a:p>
          <a:p>
            <a:pPr>
              <a:defRPr/>
            </a:pPr>
            <a:r>
              <a:rPr lang="en-US" baseline="0"/>
              <a:t>(1 Thread Per Job)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Azure Files MiB/s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2">
                        <c:v>Readpct=80</c:v>
                      </c:pt>
                    </c:strCache>
                  </c16:filteredLitCache>
                </c:ext>
              </c:extLst>
              <c:f/>
              <c:strCache>
                <c:ptCount val="10"/>
                <c:pt idx="0">
                  <c:v>Readpct=100</c:v>
                </c:pt>
                <c:pt idx="1">
                  <c:v>Readpct=90</c:v>
                </c:pt>
                <c:pt idx="2">
                  <c:v>Readpct=70</c:v>
                </c:pt>
                <c:pt idx="3">
                  <c:v>Readpct=60</c:v>
                </c:pt>
                <c:pt idx="4">
                  <c:v>Readpct=50</c:v>
                </c:pt>
                <c:pt idx="5">
                  <c:v>Readpct=40</c:v>
                </c:pt>
                <c:pt idx="6">
                  <c:v>Readpct=30</c:v>
                </c:pt>
                <c:pt idx="7">
                  <c:v>Readpct=20</c:v>
                </c:pt>
                <c:pt idx="8">
                  <c:v>Readpct=10</c:v>
                </c:pt>
                <c:pt idx="9">
                  <c:v>Readpct=0</c:v>
                </c:pt>
              </c:strCache>
            </c:strRef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2">
                        <c:v>535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0"/>
                <c:pt idx="0">
                  <c:v>564</c:v>
                </c:pt>
                <c:pt idx="1">
                  <c:v>562</c:v>
                </c:pt>
                <c:pt idx="2">
                  <c:v>491</c:v>
                </c:pt>
                <c:pt idx="3">
                  <c:v>428</c:v>
                </c:pt>
                <c:pt idx="4">
                  <c:v>581</c:v>
                </c:pt>
                <c:pt idx="5">
                  <c:v>451</c:v>
                </c:pt>
                <c:pt idx="6">
                  <c:v>540</c:v>
                </c:pt>
                <c:pt idx="7">
                  <c:v>526</c:v>
                </c:pt>
                <c:pt idx="8">
                  <c:v>633</c:v>
                </c:pt>
                <c:pt idx="9">
                  <c:v>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021-A45E-DDBB4657CB37}"/>
            </c:ext>
          </c:extLst>
        </c:ser>
        <c:ser>
          <c:idx val="1"/>
          <c:order val="1"/>
          <c:tx>
            <c:v>Azure NetApp Files MiB/s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Readpct=100</c:v>
              </c:pt>
              <c:pt idx="1">
                <c:v>Readpct=90</c:v>
              </c:pt>
              <c:pt idx="2">
                <c:v>Readpct=70</c:v>
              </c:pt>
              <c:pt idx="3">
                <c:v>Readpct=60</c:v>
              </c:pt>
              <c:pt idx="4">
                <c:v>Readpct=50</c:v>
              </c:pt>
              <c:pt idx="5">
                <c:v>Readpct=40</c:v>
              </c:pt>
              <c:pt idx="6">
                <c:v>Readpct=30</c:v>
              </c:pt>
              <c:pt idx="7">
                <c:v>Readpct=20</c:v>
              </c:pt>
              <c:pt idx="8">
                <c:v>Readpct=10</c:v>
              </c:pt>
              <c:pt idx="9">
                <c:v>Readpct=0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2">
                        <c:v>3295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0"/>
                <c:pt idx="0">
                  <c:v>3766</c:v>
                </c:pt>
                <c:pt idx="1">
                  <c:v>3582</c:v>
                </c:pt>
                <c:pt idx="2">
                  <c:v>3217</c:v>
                </c:pt>
                <c:pt idx="3">
                  <c:v>3062</c:v>
                </c:pt>
                <c:pt idx="4">
                  <c:v>2940</c:v>
                </c:pt>
                <c:pt idx="5">
                  <c:v>2683</c:v>
                </c:pt>
                <c:pt idx="6">
                  <c:v>2429</c:v>
                </c:pt>
                <c:pt idx="7">
                  <c:v>2198</c:v>
                </c:pt>
                <c:pt idx="8">
                  <c:v>1990</c:v>
                </c:pt>
                <c:pt idx="9">
                  <c:v>1842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021-A45E-DDBB4657CB37}"/>
            </c:ext>
          </c:extLst>
        </c:ser>
        <c:ser>
          <c:idx val="2"/>
          <c:order val="2"/>
          <c:tx>
            <c:v>Azure Premium Files MiB/s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Readpct=100</c:v>
              </c:pt>
              <c:pt idx="1">
                <c:v>Readpct=90</c:v>
              </c:pt>
              <c:pt idx="2">
                <c:v>Readpct=70</c:v>
              </c:pt>
              <c:pt idx="3">
                <c:v>Readpct=60</c:v>
              </c:pt>
              <c:pt idx="4">
                <c:v>Readpct=50</c:v>
              </c:pt>
              <c:pt idx="5">
                <c:v>Readpct=40</c:v>
              </c:pt>
              <c:pt idx="6">
                <c:v>Readpct=30</c:v>
              </c:pt>
              <c:pt idx="7">
                <c:v>Readpct=20</c:v>
              </c:pt>
              <c:pt idx="8">
                <c:v>Readpct=10</c:v>
              </c:pt>
              <c:pt idx="9">
                <c:v>Readpct=0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2">
                        <c:v>1197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0"/>
                <c:pt idx="0">
                  <c:v>1064</c:v>
                </c:pt>
                <c:pt idx="1">
                  <c:v>1155</c:v>
                </c:pt>
                <c:pt idx="2">
                  <c:v>1235</c:v>
                </c:pt>
                <c:pt idx="3">
                  <c:v>1232</c:v>
                </c:pt>
                <c:pt idx="4">
                  <c:v>1236</c:v>
                </c:pt>
                <c:pt idx="5">
                  <c:v>1174</c:v>
                </c:pt>
                <c:pt idx="6">
                  <c:v>1097</c:v>
                </c:pt>
                <c:pt idx="7">
                  <c:v>1010</c:v>
                </c:pt>
                <c:pt idx="8">
                  <c:v>950</c:v>
                </c:pt>
                <c:pt idx="9">
                  <c:v>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021-A45E-DDBB4657C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700946472"/>
        <c:axId val="700940240"/>
      </c:barChart>
      <c:lineChart>
        <c:grouping val="standard"/>
        <c:varyColors val="0"/>
        <c:ser>
          <c:idx val="3"/>
          <c:order val="3"/>
          <c:tx>
            <c:v>Azure Files Latency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2">
                        <c:v>14.6566666667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0"/>
                <c:pt idx="0">
                  <c:v>13.820666666699999</c:v>
                </c:pt>
                <c:pt idx="1">
                  <c:v>13.823</c:v>
                </c:pt>
                <c:pt idx="2">
                  <c:v>15.9073333333</c:v>
                </c:pt>
                <c:pt idx="3">
                  <c:v>18.195666666699999</c:v>
                </c:pt>
                <c:pt idx="4">
                  <c:v>13.262666666699999</c:v>
                </c:pt>
                <c:pt idx="5">
                  <c:v>17.063666666700001</c:v>
                </c:pt>
                <c:pt idx="6">
                  <c:v>14.683999999999999</c:v>
                </c:pt>
                <c:pt idx="7">
                  <c:v>15.0756666667</c:v>
                </c:pt>
                <c:pt idx="8">
                  <c:v>12.279666666700001</c:v>
                </c:pt>
                <c:pt idx="9">
                  <c:v>13.119666666700001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9E-4021-A45E-DDBB4657CB37}"/>
            </c:ext>
          </c:extLst>
        </c:ser>
        <c:ser>
          <c:idx val="4"/>
          <c:order val="4"/>
          <c:tx>
            <c:v>Azure NetApp Files Latency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2">
                        <c:v>2.4056666666700002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0"/>
                <c:pt idx="0">
                  <c:v>2.1063333333299998</c:v>
                </c:pt>
                <c:pt idx="1">
                  <c:v>2.2126666666700001</c:v>
                </c:pt>
                <c:pt idx="2">
                  <c:v>2.4623333333300002</c:v>
                </c:pt>
                <c:pt idx="3">
                  <c:v>2.5903333333299998</c:v>
                </c:pt>
                <c:pt idx="4">
                  <c:v>2.6956666666700002</c:v>
                </c:pt>
                <c:pt idx="5">
                  <c:v>2.9540000000000002</c:v>
                </c:pt>
                <c:pt idx="6">
                  <c:v>3.26633333333</c:v>
                </c:pt>
                <c:pt idx="7">
                  <c:v>3.6153333333300002</c:v>
                </c:pt>
                <c:pt idx="8">
                  <c:v>3.99633333333</c:v>
                </c:pt>
                <c:pt idx="9">
                  <c:v>4.3016666666700001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9E-4021-A45E-DDBB4657CB37}"/>
            </c:ext>
          </c:extLst>
        </c:ser>
        <c:ser>
          <c:idx val="5"/>
          <c:order val="5"/>
          <c:tx>
            <c:v>Azure Premium Files Latency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2">
                        <c:v>6.6449999999999996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0"/>
                <c:pt idx="0">
                  <c:v>7.4829999999999997</c:v>
                </c:pt>
                <c:pt idx="1">
                  <c:v>6.8860000000000001</c:v>
                </c:pt>
                <c:pt idx="2">
                  <c:v>6.4393333333299996</c:v>
                </c:pt>
                <c:pt idx="3">
                  <c:v>6.4546666666699997</c:v>
                </c:pt>
                <c:pt idx="4">
                  <c:v>6.4283333333300003</c:v>
                </c:pt>
                <c:pt idx="5">
                  <c:v>6.7686666666699997</c:v>
                </c:pt>
                <c:pt idx="6">
                  <c:v>7.2423333333300004</c:v>
                </c:pt>
                <c:pt idx="7">
                  <c:v>7.8673333333300004</c:v>
                </c:pt>
                <c:pt idx="8">
                  <c:v>8.3573333333300006</c:v>
                </c:pt>
                <c:pt idx="9">
                  <c:v>8.9133333333299998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9E-4021-A45E-DDBB4657C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667480"/>
        <c:axId val="896669448"/>
      </c:lineChart>
      <c:catAx>
        <c:axId val="70094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40240"/>
        <c:crosses val="autoZero"/>
        <c:auto val="1"/>
        <c:lblAlgn val="ctr"/>
        <c:lblOffset val="100"/>
        <c:noMultiLvlLbl val="0"/>
      </c:catAx>
      <c:valAx>
        <c:axId val="700940240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46472"/>
        <c:crosses val="autoZero"/>
        <c:crossBetween val="between"/>
      </c:valAx>
      <c:valAx>
        <c:axId val="8966694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67480"/>
        <c:crosses val="max"/>
        <c:crossBetween val="between"/>
      </c:valAx>
      <c:catAx>
        <c:axId val="896667480"/>
        <c:scaling>
          <c:orientation val="minMax"/>
        </c:scaling>
        <c:delete val="1"/>
        <c:axPos val="b"/>
        <c:majorTickMark val="out"/>
        <c:minorTickMark val="none"/>
        <c:tickLblPos val="nextTo"/>
        <c:crossAx val="896669448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15</xdr:row>
      <xdr:rowOff>19050</xdr:rowOff>
    </xdr:from>
    <xdr:to>
      <xdr:col>16</xdr:col>
      <xdr:colOff>276225</xdr:colOff>
      <xdr:row>40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F854C-7638-408E-92F5-91B03ECC9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6F6794-4173-4194-B8E4-7BB540367D16}" name="Table3" displayName="Table3" ref="A2:B9" totalsRowShown="0" headerRowDxfId="99" dataDxfId="98" tableBorderDxfId="97">
  <autoFilter ref="A2:B9" xr:uid="{91E6A135-C0E7-4D0B-8EB4-141892DA45C5}"/>
  <tableColumns count="2">
    <tableColumn id="1" xr3:uid="{2F564818-5A0F-4075-8D5E-BCEC57D8FC3C}" name="Fields" dataDxfId="96"/>
    <tableColumn id="2" xr3:uid="{D42113E7-14D7-4A36-BB89-433CD657FB9D}" name="Input " dataDxfId="95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5554924-003B-4661-B33F-97EE2DB8E4A1}" name="Table8" displayName="Table8" ref="A22:B47" totalsRowShown="0" dataDxfId="41">
  <autoFilter ref="A22:B47" xr:uid="{783E58C8-C7D9-4121-86C6-A6F7E49A97E3}"/>
  <tableColumns count="2">
    <tableColumn id="1" xr3:uid="{62872274-DD35-4869-BA93-32B33621B006}" name="Keys" dataDxfId="40"/>
    <tableColumn id="2" xr3:uid="{BCBEE816-C2FF-4BB7-8812-71E8D95CE734}" name="Values" dataDxfId="3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52E804-6E16-4FE5-822A-359F4049D3B1}" name="Table2" displayName="Table2" ref="A28:B32" totalsRowShown="0" headerRowDxfId="94" dataDxfId="93" tableBorderDxfId="92">
  <autoFilter ref="A28:B32" xr:uid="{4897B486-AB3B-4450-B296-0E35971B3AE2}"/>
  <tableColumns count="2">
    <tableColumn id="1" xr3:uid="{3A7044B6-6E00-4BEF-9FE6-A7DEE00EE3F3}" name="Azure Files Price Break Down" dataDxfId="91"/>
    <tableColumn id="2" xr3:uid="{6BB28A88-2884-4CC5-80B3-4CA3051CCAC3}" name="Calculated Output" dataDxfId="90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317605-A8C7-4DFA-9894-A955BD37C1CF}" name="Table4" displayName="Table4" ref="A11:B16" totalsRowShown="0" headerRowDxfId="89" tableBorderDxfId="88">
  <autoFilter ref="A11:B16" xr:uid="{FDD62D26-CF49-4DB8-BB86-E5640AFB3072}"/>
  <tableColumns count="2">
    <tableColumn id="1" xr3:uid="{98F6AE4C-A8FE-46A2-B695-4F7EC29B79C1}" name="High Level Environmental Needs" dataDxfId="87"/>
    <tableColumn id="2" xr3:uid="{923448D6-8587-46CF-AC83-4786C0E6E31A}" name="Calculated Output" dataDxfId="86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1EED-ACF0-4F74-94BF-2331D9B58AEF}" name="Table5" displayName="Table5" ref="A36:B38" totalsRowShown="0" dataDxfId="85" tableBorderDxfId="84">
  <autoFilter ref="A36:B38" xr:uid="{F64951B7-0541-475C-8E4E-15CB609631E0}"/>
  <tableColumns count="2">
    <tableColumn id="1" xr3:uid="{EEA382B5-FB82-4F1D-9327-A87385C52897}" name="Azure Premium Files Price Break Down" dataDxfId="83"/>
    <tableColumn id="2" xr3:uid="{E770553C-A0C0-45E6-BC23-3E0DD3249B14}" name="Calculated Output" dataDxfId="82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2039F74-6304-436F-9B2C-E726744D9970}" name="Table9" displayName="Table9" ref="A18:B22" totalsRowShown="0" dataDxfId="81" tableBorderDxfId="80">
  <autoFilter ref="A18:B22" xr:uid="{1849FF8B-C5DF-48B3-BD49-7E1B6D720287}"/>
  <tableColumns count="2">
    <tableColumn id="1" xr3:uid="{3F78E685-9C28-44F6-9A2A-3F9135F54C28}" name="Azure NetApp Files Price Break Down" dataDxfId="79"/>
    <tableColumn id="2" xr3:uid="{AA370671-CA18-4101-A4C3-7BC422CCC1F1}" name="Calculated Output" dataDxfId="78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F4EE936-97FF-430B-BCE0-3BA4433FF3D4}" name="Table91119" displayName="Table91119" ref="D18:H26" totalsRowShown="0" dataDxfId="77" tableBorderDxfId="76">
  <autoFilter ref="D18:H26" xr:uid="{F75E429C-8018-41C4-B4C3-C0AD783F2D38}"/>
  <tableColumns count="5">
    <tableColumn id="1" xr3:uid="{25D43E32-76CE-4E57-9637-4A7FD2463E37}" name="Azure NetApp Files Additional Information" dataDxfId="75" totalsRowDxfId="74"/>
    <tableColumn id="2" xr3:uid="{3C9CF5B6-EAB8-4222-9C96-5A10EE28F85F}" name=" Output" dataDxfId="73"/>
    <tableColumn id="3" xr3:uid="{F8FAE1CB-5733-4CC5-9F68-AD29EB511AF6}" name="Etc(1)" dataDxfId="72">
      <calculatedColumnFormula>IF(E20&gt;definitions!B24,definitions!$A$23,"Yes")</calculatedColumnFormula>
    </tableColumn>
    <tableColumn id="4" xr3:uid="{2A8935D0-2756-4A0D-B01F-87C8DFAE1AD5}" name="Etc(2)" dataDxfId="71">
      <calculatedColumnFormula>IF(B3&gt;E24,"Required bandwidth exceeds tested upper limit at selected read percentage","Yes")</calculatedColumnFormula>
    </tableColumn>
    <tableColumn id="5" xr3:uid="{7CD54AC1-822B-4FE1-B7D3-C9A779DEF8FC}" name="Etc(3)" dataDxfId="70">
      <calculatedColumnFormula>IF(B3&gt;E24,"Required bandwidth exceeds tested upper limit at selected read percentage","Yes")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617B910-6016-4284-B1B7-B2BDBB2DAC94}" name="Table622" displayName="Table622" ref="D28:H34" totalsRowShown="0" headerRowDxfId="69" tableBorderDxfId="68">
  <autoFilter ref="D28:H34" xr:uid="{6432D5DC-E020-4F4A-81F0-AFAE2FFBB2FE}"/>
  <tableColumns count="5">
    <tableColumn id="1" xr3:uid="{284AB7F5-C1F5-4923-8D18-8B326F2B7795}" name="Azure Standard Files Additional Information"/>
    <tableColumn id="2" xr3:uid="{A95529E7-EF42-4D6F-BDD9-4D129864E797}" name="Output" dataDxfId="67"/>
    <tableColumn id="3" xr3:uid="{9881ABB1-4E08-4030-AEC9-CCA810605C29}" name="Etc(1)" dataDxfId="66">
      <calculatedColumnFormula>'Azure Files Calculations'!$B$4</calculatedColumnFormula>
    </tableColumn>
    <tableColumn id="4" xr3:uid="{5BC3DEF6-CDB9-4DE9-B8FF-9749CBA220CD}" name="Etc(2)" dataDxfId="65">
      <calculatedColumnFormula>'Azure Files Calculations'!$B$2</calculatedColumnFormula>
    </tableColumn>
    <tableColumn id="5" xr3:uid="{3F802064-6239-4D79-9EEF-E6B1422584F4}" name="Etc(3)" dataDxfId="64">
      <calculatedColumnFormula>'Azure Files Calculations'!$B$3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17E12BE-FEED-449C-A993-3E3DA447FC83}" name="Table61423" displayName="Table61423" ref="D36:G42" totalsRowShown="0" headerRowDxfId="63" tableBorderDxfId="62">
  <autoFilter ref="D36:G42" xr:uid="{35197520-871D-45A1-92D2-3E64562C597C}"/>
  <tableColumns count="4">
    <tableColumn id="1" xr3:uid="{7454E181-1F78-43D7-992D-393BF7E62908}" name="Azure Premium Files Additional Information"/>
    <tableColumn id="2" xr3:uid="{D283543A-6DF3-46B8-B880-680345E5383E}" name="output" dataDxfId="61"/>
    <tableColumn id="3" xr3:uid="{383E5A06-7313-4E3D-A474-C65E865DB16D}" name="Etc(1)" dataDxfId="60">
      <calculatedColumnFormula>'Azure Files Calculations'!$B$6</calculatedColumnFormula>
    </tableColumn>
    <tableColumn id="4" xr3:uid="{22B7B0DB-CD46-43E2-A4B8-192176C63B53}" name="Etc(2)" dataDxfId="59">
      <calculatedColumnFormula>'Azure Files Calculations'!$B$5</calculatedColumnFormula>
    </tableColumn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22AF52-430F-48A3-BC6A-EC30D412E5EE}" name="Table1" displayName="Table1" ref="A1:E21" totalsRowShown="0">
  <autoFilter ref="A1:E21" xr:uid="{81B2E200-FC2F-4069-86C2-6671D699FE86}"/>
  <tableColumns count="5">
    <tableColumn id="2" xr3:uid="{9191646A-D382-43C8-AD5D-D9379A6352B8}" name="IO Size"/>
    <tableColumn id="3" xr3:uid="{B94E1025-3714-4DA4-824F-A38F565F77F4}" name="IOPS Per User"/>
    <tableColumn id="1" xr3:uid="{E67A9471-95D1-42FF-B18E-7D012DE67FD4}" name="VHD Sizes"/>
    <tableColumn id="4" xr3:uid="{779397D8-86EA-41AE-9217-A6D49A13139B}" name="Concurrent Users" dataDxfId="42"/>
    <tableColumn id="5" xr3:uid="{5EBEBC80-5940-4420-B7CB-91D5FC7DF075}" name="Read Percen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F1148-3B87-4101-8535-9F7FDD18F1E9}">
  <sheetPr codeName="Sheet1">
    <pageSetUpPr fitToPage="1"/>
  </sheetPr>
  <dimension ref="A1:H112"/>
  <sheetViews>
    <sheetView tabSelected="1" zoomScale="60" zoomScaleNormal="60" workbookViewId="0">
      <selection activeCell="A48" sqref="A48"/>
    </sheetView>
  </sheetViews>
  <sheetFormatPr defaultRowHeight="15" x14ac:dyDescent="0.25"/>
  <cols>
    <col min="1" max="1" width="63" style="8" bestFit="1" customWidth="1"/>
    <col min="2" max="2" width="108.28515625" style="8" bestFit="1" customWidth="1"/>
    <col min="3" max="3" width="2" customWidth="1"/>
    <col min="4" max="4" width="85.42578125" bestFit="1" customWidth="1"/>
    <col min="5" max="5" width="62" bestFit="1" customWidth="1"/>
    <col min="6" max="6" width="11.85546875" customWidth="1"/>
    <col min="7" max="7" width="12.28515625" customWidth="1"/>
    <col min="8" max="8" width="11.85546875" customWidth="1"/>
  </cols>
  <sheetData>
    <row r="1" spans="1:5" ht="27.75" customHeight="1" x14ac:dyDescent="0.25">
      <c r="A1" s="77" t="s">
        <v>84</v>
      </c>
      <c r="B1" s="78"/>
    </row>
    <row r="2" spans="1:5" x14ac:dyDescent="0.25">
      <c r="A2" s="18" t="s">
        <v>5</v>
      </c>
      <c r="B2" s="18" t="s">
        <v>6</v>
      </c>
    </row>
    <row r="3" spans="1:5" x14ac:dyDescent="0.25">
      <c r="A3" s="18" t="s">
        <v>3</v>
      </c>
      <c r="B3" s="32">
        <v>118</v>
      </c>
    </row>
    <row r="4" spans="1:5" x14ac:dyDescent="0.25">
      <c r="A4" s="18" t="s">
        <v>164</v>
      </c>
      <c r="B4" s="32">
        <v>6</v>
      </c>
      <c r="D4" s="57"/>
    </row>
    <row r="5" spans="1:5" x14ac:dyDescent="0.25">
      <c r="A5" s="18" t="s">
        <v>63</v>
      </c>
      <c r="B5" s="32">
        <v>35</v>
      </c>
    </row>
    <row r="6" spans="1:5" x14ac:dyDescent="0.25">
      <c r="A6" s="21" t="s">
        <v>107</v>
      </c>
      <c r="B6" s="47">
        <v>1</v>
      </c>
      <c r="D6" s="46"/>
    </row>
    <row r="7" spans="1:5" x14ac:dyDescent="0.25">
      <c r="A7" s="18" t="s">
        <v>64</v>
      </c>
      <c r="B7" s="32">
        <v>40</v>
      </c>
      <c r="D7" s="75"/>
    </row>
    <row r="8" spans="1:5" x14ac:dyDescent="0.25">
      <c r="A8" s="18" t="s">
        <v>139</v>
      </c>
      <c r="B8" s="32">
        <v>32</v>
      </c>
      <c r="D8" s="75"/>
      <c r="E8" s="75"/>
    </row>
    <row r="9" spans="1:5" x14ac:dyDescent="0.25">
      <c r="A9" s="18" t="s">
        <v>138</v>
      </c>
      <c r="B9" s="62">
        <v>0.2</v>
      </c>
    </row>
    <row r="10" spans="1:5" x14ac:dyDescent="0.25">
      <c r="A10" s="17"/>
      <c r="B10" s="17"/>
    </row>
    <row r="11" spans="1:5" x14ac:dyDescent="0.25">
      <c r="A11" s="18" t="s">
        <v>17</v>
      </c>
      <c r="B11" s="18" t="s">
        <v>7</v>
      </c>
    </row>
    <row r="12" spans="1:5" x14ac:dyDescent="0.25">
      <c r="A12" s="8" t="s">
        <v>61</v>
      </c>
      <c r="B12" s="18">
        <f>B$3*B$6</f>
        <v>118</v>
      </c>
    </row>
    <row r="13" spans="1:5" x14ac:dyDescent="0.25">
      <c r="A13" s="22" t="s">
        <v>101</v>
      </c>
      <c r="B13" s="18">
        <f>(B$4*B$8*B$3*B$6)/1024</f>
        <v>22.125</v>
      </c>
    </row>
    <row r="14" spans="1:5" x14ac:dyDescent="0.25">
      <c r="A14" s="22" t="s">
        <v>15</v>
      </c>
      <c r="B14" s="18">
        <f>(B$4*B$8)</f>
        <v>192</v>
      </c>
    </row>
    <row r="15" spans="1:5" x14ac:dyDescent="0.25">
      <c r="A15" s="18" t="s">
        <v>16</v>
      </c>
      <c r="B15" s="18">
        <f>B$4*B$3*B6</f>
        <v>708</v>
      </c>
    </row>
    <row r="16" spans="1:5" x14ac:dyDescent="0.25">
      <c r="A16" s="18" t="s">
        <v>18</v>
      </c>
      <c r="B16" s="18">
        <f>B5*B3</f>
        <v>4130</v>
      </c>
    </row>
    <row r="17" spans="1:8" ht="18.75" x14ac:dyDescent="0.3">
      <c r="A17" s="79" t="s">
        <v>81</v>
      </c>
      <c r="B17" s="79"/>
      <c r="C17" s="79"/>
      <c r="D17" s="79"/>
      <c r="E17" s="79"/>
      <c r="F17" s="79"/>
      <c r="G17" s="79"/>
      <c r="H17" s="79"/>
    </row>
    <row r="18" spans="1:8" x14ac:dyDescent="0.25">
      <c r="A18" s="22" t="s">
        <v>72</v>
      </c>
      <c r="B18" s="18" t="s">
        <v>7</v>
      </c>
      <c r="D18" s="20" t="s">
        <v>71</v>
      </c>
      <c r="E18" s="18" t="s">
        <v>78</v>
      </c>
      <c r="F18" t="s">
        <v>57</v>
      </c>
      <c r="G18" t="s">
        <v>58</v>
      </c>
      <c r="H18" t="s">
        <v>59</v>
      </c>
    </row>
    <row r="19" spans="1:8" s="51" customFormat="1" ht="138" customHeight="1" x14ac:dyDescent="0.25">
      <c r="A19" s="35" t="s">
        <v>70</v>
      </c>
      <c r="B19" s="54">
        <f>IF(E19="Yes",_xlfn.XLOOKUP(E21,'Azure NetApp Files Calcuations'!C$38:C$40,'Azure NetApp Files Calcuations'!B$38:B$40,definitions!A$23),"Recommend Adding Additional Volumes")</f>
        <v>619.5</v>
      </c>
      <c r="D19" s="35" t="s">
        <v>167</v>
      </c>
      <c r="E19" s="48" t="str">
        <f>_xlfn.XLOOKUP("No",'Azure NetApp Files Calcuations'!B35:B36,'Azure NetApp Files Calcuations'!C35:C36,"Yes")</f>
        <v>Yes</v>
      </c>
      <c r="F19" s="59" t="str">
        <f>IF('Azure NetApp Files Calcuations'!B35="Yes","Yes",definitions!$A$23)</f>
        <v>Yes</v>
      </c>
      <c r="G19" s="66"/>
      <c r="H19" s="65" t="str">
        <f>IF(B3&gt;E24,"Required bandwidth exceeds single ANF volume tested upper limit at selected read percentage","Yes")</f>
        <v>Yes</v>
      </c>
    </row>
    <row r="20" spans="1:8" s="51" customFormat="1" x14ac:dyDescent="0.25">
      <c r="A20" s="35" t="s">
        <v>69</v>
      </c>
      <c r="B20" s="49">
        <f>IF(E19="Yes",IF($E$21=definitions!A$23,B$19,B$19/B$3),"N/A: User Count Excceds Capability Of Azure NetApp Files")</f>
        <v>5.25</v>
      </c>
      <c r="D20" s="35" t="s">
        <v>144</v>
      </c>
      <c r="E20" s="52">
        <f>IF('Azure NetApp Files Calcuations'!B35="Yes",_xlfn.XLOOKUP(E21,'Azure NetApp Files Calcuations'!$C$31:$C$33,'Azure NetApp Files Calcuations'!$B$31:$B$33),"No")</f>
        <v>4130</v>
      </c>
      <c r="F20" s="53"/>
      <c r="G20" s="67"/>
      <c r="H20" s="67"/>
    </row>
    <row r="21" spans="1:8" s="51" customFormat="1" x14ac:dyDescent="0.25">
      <c r="A21" s="35"/>
      <c r="B21" s="50"/>
      <c r="D21" s="35" t="s">
        <v>108</v>
      </c>
      <c r="E21" s="52" t="str">
        <f>IF('Azure NetApp Files Calcuations'!B35="Yes",(_xlfn.XLOOKUP(MIN('Azure NetApp Files Calcuations'!$B$38:$B$40),'Azure NetApp Files Calcuations'!$B$38:$B$40,'Azure NetApp Files Calcuations'!$C$38:$C$40)),"No")</f>
        <v>Standard</v>
      </c>
      <c r="F21" s="53"/>
      <c r="G21" s="67"/>
      <c r="H21" s="67"/>
    </row>
    <row r="22" spans="1:8" s="51" customFormat="1" x14ac:dyDescent="0.25">
      <c r="A22" s="35"/>
      <c r="B22" s="50"/>
      <c r="D22" s="35" t="s">
        <v>151</v>
      </c>
      <c r="E22" s="52" t="str">
        <f>IF(E19="Configure more than one volume","No",(_xlfn.XLOOKUP(E21,'Azure NetApp Files Calcuations'!$C$27:$C$29,'Azure NetApp Files Calcuations'!$B$27:$B$29)))</f>
        <v>Capacity</v>
      </c>
      <c r="F22" s="53"/>
      <c r="G22" s="67"/>
      <c r="H22" s="67"/>
    </row>
    <row r="23" spans="1:8" s="51" customFormat="1" x14ac:dyDescent="0.25">
      <c r="A23" s="35"/>
      <c r="B23" s="50"/>
      <c r="D23" s="35" t="s">
        <v>149</v>
      </c>
      <c r="E23" s="52">
        <f>IF(E19="Yes",(_xlfn.XLOOKUP(E21,'Azure NetApp Files Calcuations'!$C$42:$C$44,'Azure NetApp Files Calcuations'!$B$42:$B$44,definitions!A$23)),"No")</f>
        <v>35</v>
      </c>
      <c r="F23" s="53"/>
      <c r="G23" s="67"/>
      <c r="H23" s="67"/>
    </row>
    <row r="24" spans="1:8" s="51" customFormat="1" x14ac:dyDescent="0.25">
      <c r="A24" s="35"/>
      <c r="B24" s="49"/>
      <c r="D24" s="64" t="s">
        <v>103</v>
      </c>
      <c r="E24" s="69">
        <f>FLOOR(('Azure NetApp Files Calcuations'!B4*1024/'FSLogix Calculator'!B14)*(1/'FSLogix Calculator'!B6),1)</f>
        <v>11722</v>
      </c>
      <c r="F24" s="68"/>
      <c r="G24" s="67"/>
      <c r="H24" s="67"/>
    </row>
    <row r="25" spans="1:8" s="51" customFormat="1" x14ac:dyDescent="0.25">
      <c r="A25" s="35"/>
      <c r="B25" s="49"/>
      <c r="D25" s="64" t="s">
        <v>148</v>
      </c>
      <c r="E25" s="69">
        <f>'Azure NetApp Files Calcuations'!B5</f>
        <v>2925</v>
      </c>
      <c r="F25" s="68" t="str">
        <f>IF(E26&gt;definitions!B30,definitions!$A$23,"Yes")</f>
        <v>Required capacity exceeds documented single ANF volume 100TiB upper limit</v>
      </c>
      <c r="G25" s="68" t="str">
        <f>IF(B9&gt;E28,"Required bandwidth exceeds tested upper limit at selected read percentage","Yes")</f>
        <v>Yes</v>
      </c>
      <c r="H25" s="68" t="str">
        <f>IF(B9&gt;E28,"Required bandwidth exceeds tested upper limit at selected read percentage","Yes")</f>
        <v>Yes</v>
      </c>
    </row>
    <row r="26" spans="1:8" s="51" customFormat="1" x14ac:dyDescent="0.25">
      <c r="A26" s="35"/>
      <c r="B26" s="49"/>
      <c r="D26" s="55" t="str">
        <f>IF(E22="Capacity Pool Minimum Size","# Of Users At Min Capacity Pool Size ","Temporarily Empty Field")</f>
        <v>Temporarily Empty Field</v>
      </c>
      <c r="E26" s="56" t="str">
        <f>IF(E22="Capacity Pool Minimum Size",_xlfn.XLOOKUP(E21,'Azure NetApp Files Calcuations'!$C$15:$C$17,'Azure NetApp Files Calcuations'!$B$15:$B$17),"Temporarily Empty Field")</f>
        <v>Temporarily Empty Field</v>
      </c>
      <c r="F26" s="63"/>
      <c r="G26" s="67"/>
      <c r="H26" s="67"/>
    </row>
    <row r="27" spans="1:8" s="3" customFormat="1" ht="18.75" hidden="1" x14ac:dyDescent="0.3">
      <c r="A27" s="79" t="s">
        <v>82</v>
      </c>
      <c r="B27" s="79"/>
      <c r="C27" s="79"/>
      <c r="D27" s="79"/>
      <c r="E27" s="79"/>
      <c r="F27" s="79"/>
      <c r="G27" s="79"/>
      <c r="H27" s="79"/>
    </row>
    <row r="28" spans="1:8" hidden="1" x14ac:dyDescent="0.25">
      <c r="A28" s="22" t="s">
        <v>73</v>
      </c>
      <c r="B28" s="18" t="s">
        <v>7</v>
      </c>
      <c r="D28" s="19" t="s">
        <v>77</v>
      </c>
      <c r="E28" s="18" t="s">
        <v>79</v>
      </c>
      <c r="F28" s="58" t="s">
        <v>57</v>
      </c>
      <c r="G28" s="58" t="s">
        <v>58</v>
      </c>
      <c r="H28" s="58" t="s">
        <v>59</v>
      </c>
    </row>
    <row r="29" spans="1:8" ht="122.25" hidden="1" customHeight="1" x14ac:dyDescent="0.25">
      <c r="A29" s="35" t="s">
        <v>70</v>
      </c>
      <c r="B29" s="54">
        <f>IF(E29="Yes",B$32+B$31,"Must Add Additional Storage Accounts")</f>
        <v>314.06880000000001</v>
      </c>
      <c r="D29" s="34" t="s">
        <v>166</v>
      </c>
      <c r="E29" s="35" t="str">
        <f>_xlfn.XLOOKUP("No, must configure additional storage accounts",'Azure Files Calculations'!$C$2:$C$4,'Azure Files Calculations'!$C$2:$C$4,"Yes")</f>
        <v>Yes</v>
      </c>
      <c r="F29" s="71" t="str">
        <f>'Azure Files Calculations'!$B$4</f>
        <v>Yes</v>
      </c>
      <c r="G29" s="59" t="str">
        <f>'Azure Files Calculations'!$B$2</f>
        <v>Yes</v>
      </c>
      <c r="H29" s="59" t="str">
        <f>'Azure Files Calculations'!$B$3</f>
        <v>Yes</v>
      </c>
    </row>
    <row r="30" spans="1:8" hidden="1" x14ac:dyDescent="0.25">
      <c r="A30" s="35" t="s">
        <v>69</v>
      </c>
      <c r="B30" s="49">
        <f>IF(E29="Yes",B$29/B$3,"N/A: User Count Exceeds Capability Of Azure Files")</f>
        <v>2.6616</v>
      </c>
      <c r="D30" s="27" t="s">
        <v>75</v>
      </c>
      <c r="E30" s="18">
        <f>IF(E29="Yes",$B$5*$B$3,"No")</f>
        <v>4130</v>
      </c>
      <c r="F30" s="40"/>
      <c r="G30" s="39"/>
      <c r="H30" s="40"/>
    </row>
    <row r="31" spans="1:8" hidden="1" x14ac:dyDescent="0.25">
      <c r="A31" s="35" t="s">
        <v>67</v>
      </c>
      <c r="B31" s="49">
        <f>IF(E29="Yes",((B4*B3*B6*definitions!B$32*B$7*definitions!B$34)/definitions!B33)*definitions!B$36,"N/A: User Count Exceeds Capability Of A Single Azure Files Storage Account")</f>
        <v>66.268799999999999</v>
      </c>
      <c r="D31" s="27" t="s">
        <v>66</v>
      </c>
      <c r="E31" s="18">
        <f>IF(E29="Yes",E30/$B$3,"No")</f>
        <v>35</v>
      </c>
      <c r="F31" s="40"/>
      <c r="G31" s="43"/>
      <c r="H31" s="44"/>
    </row>
    <row r="32" spans="1:8" hidden="1" x14ac:dyDescent="0.25">
      <c r="A32" s="35" t="s">
        <v>68</v>
      </c>
      <c r="B32" s="49">
        <f>IF(E29="Yes",B$5*B$3*B6*definitions!B$35,"N/A: User Count Exceeds Capability Of A Single Azure Files Storage Account")</f>
        <v>247.79999999999998</v>
      </c>
      <c r="D32" s="27" t="s">
        <v>102</v>
      </c>
      <c r="E32" s="18">
        <f>FLOOR(   (definitions!$B$38/$B$4)*(1/$B$6),1)</f>
        <v>1666</v>
      </c>
      <c r="F32" s="40"/>
      <c r="G32" s="40"/>
      <c r="H32" s="40"/>
    </row>
    <row r="33" spans="1:8" hidden="1" x14ac:dyDescent="0.25">
      <c r="A33" s="35"/>
      <c r="B33" s="49"/>
      <c r="D33" s="27" t="s">
        <v>103</v>
      </c>
      <c r="E33" s="18">
        <f>FLOOR((   (1024*definitions!$B$39)   /   ('FSLogix Calculator'!$B$4*'FSLogix Calculator'!$B$8)  ) * (1/$B$6   ),1)</f>
        <v>1600</v>
      </c>
      <c r="F33" s="40"/>
      <c r="G33" s="39"/>
      <c r="H33" s="40"/>
    </row>
    <row r="34" spans="1:8" hidden="1" x14ac:dyDescent="0.25">
      <c r="D34" s="64" t="s">
        <v>146</v>
      </c>
      <c r="E34" s="17">
        <f>definitions!B41/'FSLogix Calculator'!B5</f>
        <v>2925.7142857142858</v>
      </c>
      <c r="F34" s="70"/>
      <c r="G34" s="70"/>
      <c r="H34" s="70"/>
    </row>
    <row r="35" spans="1:8" ht="18.75" hidden="1" x14ac:dyDescent="0.3">
      <c r="A35" s="79" t="s">
        <v>83</v>
      </c>
      <c r="B35" s="79"/>
      <c r="C35" s="79"/>
      <c r="D35" s="79"/>
      <c r="E35" s="79"/>
      <c r="F35" s="79"/>
      <c r="G35" s="79"/>
    </row>
    <row r="36" spans="1:8" hidden="1" x14ac:dyDescent="0.25">
      <c r="A36" s="34" t="s">
        <v>74</v>
      </c>
      <c r="B36" s="34" t="s">
        <v>7</v>
      </c>
      <c r="D36" t="s">
        <v>76</v>
      </c>
      <c r="E36" s="8" t="s">
        <v>80</v>
      </c>
      <c r="F36" t="s">
        <v>57</v>
      </c>
      <c r="G36" t="s">
        <v>58</v>
      </c>
    </row>
    <row r="37" spans="1:8" ht="122.25" hidden="1" customHeight="1" x14ac:dyDescent="0.25">
      <c r="A37" s="35" t="s">
        <v>70</v>
      </c>
      <c r="B37" s="54">
        <f>IF(E37="Yes",IF(E40="I/O Need",definitions!B37*'FSLogix Calculator'!B3*'FSLogix Calculator'!B4,definitions!B37*'FSLogix Calculator'!B5*'FSLogix Calculator'!B3),"Must Add Additional Storage Accounts")</f>
        <v>1032.5</v>
      </c>
      <c r="D37" s="34" t="s">
        <v>166</v>
      </c>
      <c r="E37" s="35" t="str">
        <f>_xlfn.XLOOKUP("No",'Azure Files Calculations'!$C$5:$C$7,'Azure Files Calculations'!$C$2:$C$4,"Yes")</f>
        <v>Yes</v>
      </c>
      <c r="F37" s="72" t="str">
        <f>'Azure Files Calculations'!$B$6</f>
        <v>Yes</v>
      </c>
      <c r="G37" s="72" t="str">
        <f>'Azure Files Calculations'!$B$5</f>
        <v>Yes</v>
      </c>
    </row>
    <row r="38" spans="1:8" hidden="1" x14ac:dyDescent="0.25">
      <c r="A38" s="22" t="s">
        <v>69</v>
      </c>
      <c r="B38" s="23">
        <f>IF(E37="Yes",B$37/B$3,"N/A: User Count Exceeds Capability Of Azure Premium Files")</f>
        <v>8.75</v>
      </c>
      <c r="D38" s="27" t="s">
        <v>144</v>
      </c>
      <c r="E38" s="18">
        <f>'Azure Files Calculations'!C14</f>
        <v>4130</v>
      </c>
      <c r="F38" s="42"/>
      <c r="G38" s="42"/>
    </row>
    <row r="39" spans="1:8" hidden="1" x14ac:dyDescent="0.25">
      <c r="D39" s="8" t="s">
        <v>149</v>
      </c>
      <c r="E39" s="17">
        <f>IF('Azure Files Calculations'!$C$6="Yes",E$38/$B$3,"No")</f>
        <v>35</v>
      </c>
      <c r="F39" s="33"/>
      <c r="G39" s="41"/>
    </row>
    <row r="40" spans="1:8" hidden="1" x14ac:dyDescent="0.25">
      <c r="A40" s="17"/>
      <c r="B40" s="17"/>
      <c r="C40" s="8"/>
      <c r="D40" s="27" t="s">
        <v>150</v>
      </c>
      <c r="E40" s="22" t="str">
        <f>'Azure Files Calculations'!B14</f>
        <v>Profile Size</v>
      </c>
      <c r="F40" s="40"/>
      <c r="G40" s="39"/>
    </row>
    <row r="41" spans="1:8" hidden="1" x14ac:dyDescent="0.25">
      <c r="A41" s="17"/>
      <c r="B41" s="17"/>
      <c r="C41" s="8"/>
      <c r="D41" s="27" t="s">
        <v>163</v>
      </c>
      <c r="E41" s="18">
        <f>FLOOR(( definitions!$B$40/$B$4) * (1/$B$6),1)</f>
        <v>16666</v>
      </c>
      <c r="F41" s="40"/>
      <c r="G41" s="45"/>
    </row>
    <row r="42" spans="1:8" hidden="1" x14ac:dyDescent="0.25">
      <c r="C42" s="8"/>
      <c r="D42" s="64" t="s">
        <v>148</v>
      </c>
      <c r="E42" s="18">
        <f>definitions!B42/'FSLogix Calculator'!B5</f>
        <v>2925.7142857142858</v>
      </c>
      <c r="F42" s="40"/>
      <c r="G42" s="45"/>
    </row>
    <row r="70" spans="1:5" x14ac:dyDescent="0.25">
      <c r="A70" s="11"/>
      <c r="B70" s="28"/>
      <c r="C70" s="3"/>
      <c r="D70" s="3"/>
    </row>
    <row r="71" spans="1:5" x14ac:dyDescent="0.25">
      <c r="A71" s="11"/>
      <c r="B71" s="7"/>
      <c r="C71" s="3"/>
      <c r="D71" s="3"/>
    </row>
    <row r="72" spans="1:5" x14ac:dyDescent="0.25">
      <c r="A72" s="11"/>
      <c r="B72" s="7"/>
      <c r="C72" s="3"/>
      <c r="D72" s="3"/>
    </row>
    <row r="73" spans="1:5" ht="18.75" x14ac:dyDescent="0.3">
      <c r="A73" s="60"/>
      <c r="B73" s="6"/>
      <c r="C73" s="3"/>
      <c r="D73" s="3"/>
    </row>
    <row r="74" spans="1:5" x14ac:dyDescent="0.25">
      <c r="A74" s="11"/>
      <c r="B74" s="7"/>
    </row>
    <row r="75" spans="1:5" x14ac:dyDescent="0.25">
      <c r="A75" s="11"/>
      <c r="B75" s="7"/>
    </row>
    <row r="76" spans="1:5" x14ac:dyDescent="0.25">
      <c r="A76" s="11"/>
      <c r="B76" s="7"/>
    </row>
    <row r="77" spans="1:5" x14ac:dyDescent="0.25">
      <c r="A77" s="11"/>
      <c r="B77" s="7"/>
    </row>
    <row r="78" spans="1:5" x14ac:dyDescent="0.25">
      <c r="A78" s="11"/>
      <c r="D78" s="3"/>
      <c r="E78" s="3"/>
    </row>
    <row r="79" spans="1:5" x14ac:dyDescent="0.25">
      <c r="A79" s="11"/>
      <c r="B79" s="7"/>
      <c r="C79" s="3"/>
      <c r="D79" s="3"/>
      <c r="E79" s="3"/>
    </row>
    <row r="80" spans="1:5" ht="18.75" x14ac:dyDescent="0.3">
      <c r="A80" s="60"/>
      <c r="B80" s="5"/>
      <c r="C80" s="5"/>
      <c r="D80" s="5"/>
      <c r="E80" s="5"/>
    </row>
    <row r="81" spans="1:5" x14ac:dyDescent="0.25">
      <c r="A81" s="11"/>
      <c r="B81" s="11"/>
      <c r="C81" s="3"/>
      <c r="D81" s="3"/>
      <c r="E81" s="3"/>
    </row>
    <row r="82" spans="1:5" s="3" customFormat="1" x14ac:dyDescent="0.25">
      <c r="A82" s="11"/>
      <c r="B82" s="29"/>
    </row>
    <row r="83" spans="1:5" s="9" customFormat="1" ht="18.75" x14ac:dyDescent="0.3">
      <c r="A83" s="11"/>
      <c r="B83" s="7"/>
      <c r="C83" s="1"/>
      <c r="D83" s="3"/>
      <c r="E83" s="3"/>
    </row>
    <row r="84" spans="1:5" ht="18.75" x14ac:dyDescent="0.3">
      <c r="A84" s="60"/>
      <c r="B84" s="6"/>
      <c r="C84" s="5"/>
      <c r="D84" s="5"/>
      <c r="E84" s="5"/>
    </row>
    <row r="85" spans="1:5" ht="18.75" x14ac:dyDescent="0.3">
      <c r="A85" s="60"/>
      <c r="B85" s="10"/>
      <c r="C85" s="5"/>
      <c r="D85" s="5"/>
      <c r="E85" s="5"/>
    </row>
    <row r="86" spans="1:5" x14ac:dyDescent="0.25">
      <c r="A86" s="11"/>
      <c r="B86" s="11"/>
      <c r="C86" s="3"/>
      <c r="D86" s="3"/>
      <c r="E86" s="3"/>
    </row>
    <row r="87" spans="1:5" s="9" customFormat="1" ht="18.75" x14ac:dyDescent="0.3">
      <c r="A87" s="11"/>
      <c r="B87" s="8"/>
      <c r="C87"/>
      <c r="D87" s="3"/>
      <c r="E87" s="3"/>
    </row>
    <row r="88" spans="1:5" s="9" customFormat="1" ht="18.75" x14ac:dyDescent="0.3">
      <c r="A88" s="11"/>
      <c r="B88" s="7"/>
      <c r="C88" s="3"/>
      <c r="D88" s="3"/>
      <c r="E88" s="3"/>
    </row>
    <row r="89" spans="1:5" ht="18.75" x14ac:dyDescent="0.3">
      <c r="A89" s="11"/>
      <c r="B89" s="5"/>
      <c r="C89" s="11"/>
      <c r="D89" s="3"/>
      <c r="E89" s="3"/>
    </row>
    <row r="90" spans="1:5" x14ac:dyDescent="0.25">
      <c r="A90" s="11"/>
      <c r="B90" s="11"/>
      <c r="C90" s="3"/>
      <c r="D90" s="3"/>
      <c r="E90" s="3"/>
    </row>
    <row r="91" spans="1:5" s="3" customFormat="1" x14ac:dyDescent="0.25">
      <c r="A91" s="11"/>
      <c r="B91" s="29"/>
    </row>
    <row r="92" spans="1:5" x14ac:dyDescent="0.25">
      <c r="A92" s="11"/>
      <c r="B92" s="7"/>
      <c r="C92" s="12"/>
      <c r="D92" s="3"/>
      <c r="E92" s="3"/>
    </row>
    <row r="93" spans="1:5" ht="18.75" x14ac:dyDescent="0.3">
      <c r="A93" s="60"/>
      <c r="B93" s="6"/>
      <c r="C93" s="5"/>
      <c r="D93" s="5"/>
      <c r="E93" s="5"/>
    </row>
    <row r="94" spans="1:5" ht="18.75" x14ac:dyDescent="0.3">
      <c r="A94" s="60"/>
      <c r="B94" s="10"/>
      <c r="C94" s="5"/>
      <c r="D94" s="5"/>
      <c r="E94" s="5"/>
    </row>
    <row r="95" spans="1:5" x14ac:dyDescent="0.25">
      <c r="A95" s="11"/>
      <c r="B95" s="11"/>
      <c r="C95" s="3"/>
      <c r="D95" s="3"/>
      <c r="E95" s="3"/>
    </row>
    <row r="96" spans="1:5" s="9" customFormat="1" ht="18.75" x14ac:dyDescent="0.3">
      <c r="A96" s="11"/>
      <c r="B96" s="8"/>
      <c r="C96"/>
      <c r="D96" s="3"/>
      <c r="E96" s="3"/>
    </row>
    <row r="97" spans="1:5" s="9" customFormat="1" ht="18.75" x14ac:dyDescent="0.3">
      <c r="A97" s="11"/>
      <c r="B97" s="7"/>
      <c r="C97" s="3"/>
      <c r="D97" s="3"/>
      <c r="E97" s="3"/>
    </row>
    <row r="98" spans="1:5" ht="18.75" x14ac:dyDescent="0.3">
      <c r="A98" s="60"/>
      <c r="B98" s="5"/>
      <c r="C98" s="11"/>
      <c r="D98" s="5"/>
      <c r="E98" s="5"/>
    </row>
    <row r="99" spans="1:5" x14ac:dyDescent="0.25">
      <c r="A99" s="11"/>
      <c r="B99" s="11"/>
      <c r="C99" s="3"/>
    </row>
    <row r="100" spans="1:5" s="3" customFormat="1" x14ac:dyDescent="0.25">
      <c r="A100" s="11"/>
      <c r="B100" s="29"/>
      <c r="D100"/>
      <c r="E100"/>
    </row>
    <row r="101" spans="1:5" s="9" customFormat="1" ht="18.75" x14ac:dyDescent="0.3">
      <c r="A101" s="11"/>
      <c r="B101" s="7"/>
      <c r="C101" s="12"/>
      <c r="D101" s="3"/>
      <c r="E101" s="3"/>
    </row>
    <row r="102" spans="1:5" ht="18.75" x14ac:dyDescent="0.3">
      <c r="A102" s="60"/>
      <c r="B102" s="6"/>
      <c r="C102" s="13"/>
      <c r="D102" s="3"/>
      <c r="E102" s="3"/>
    </row>
    <row r="103" spans="1:5" ht="18.75" x14ac:dyDescent="0.3">
      <c r="A103" s="60"/>
      <c r="B103" s="10"/>
      <c r="C103" s="5"/>
      <c r="D103" s="5"/>
      <c r="E103" s="5"/>
    </row>
    <row r="106" spans="1:5" s="9" customFormat="1" ht="18.75" x14ac:dyDescent="0.3">
      <c r="A106" s="11"/>
      <c r="B106" s="7"/>
      <c r="C106" s="3"/>
      <c r="D106" s="3"/>
      <c r="E106" s="3"/>
    </row>
    <row r="107" spans="1:5" x14ac:dyDescent="0.25">
      <c r="A107" s="11"/>
      <c r="B107" s="11"/>
      <c r="C107" s="3"/>
      <c r="D107" s="3"/>
      <c r="E107" s="3"/>
    </row>
    <row r="108" spans="1:5" x14ac:dyDescent="0.25">
      <c r="A108" s="11"/>
      <c r="B108" s="11"/>
      <c r="C108" s="3"/>
      <c r="D108" s="3"/>
      <c r="E108" s="3"/>
    </row>
    <row r="109" spans="1:5" s="3" customFormat="1" x14ac:dyDescent="0.25">
      <c r="A109" s="11"/>
      <c r="B109" s="30"/>
    </row>
    <row r="112" spans="1:5" x14ac:dyDescent="0.25">
      <c r="A112" s="11"/>
      <c r="B112" s="31"/>
      <c r="C112" s="3"/>
      <c r="D112" s="3"/>
      <c r="E112" s="3"/>
    </row>
  </sheetData>
  <sheetProtection algorithmName="SHA-512" hashValue="7lBVhwEC+gQCt4kvw5qX4h95O1/uDMXhLLQeDRokmhbclaZnkqxIsqLB0hW80608FWyQ6Ww0HSy/oGxolHupuA==" saltValue="tGEEMvM61kLYEIfSimFRBw==" spinCount="100000" sheet="1" objects="1" scenarios="1"/>
  <mergeCells count="4">
    <mergeCell ref="A1:B1"/>
    <mergeCell ref="A27:H27"/>
    <mergeCell ref="A35:G35"/>
    <mergeCell ref="A17:H17"/>
  </mergeCells>
  <phoneticPr fontId="4" type="noConversion"/>
  <conditionalFormatting sqref="A36:B39 A28:B28 A30:B34 A29">
    <cfRule type="cellIs" dxfId="38" priority="110" operator="equal">
      <formula>"Temporarily Empty Field"</formula>
    </cfRule>
  </conditionalFormatting>
  <conditionalFormatting sqref="F29:H31">
    <cfRule type="containsText" dxfId="37" priority="40" operator="containsText" text="Yes">
      <formula>NOT(ISERROR(SEARCH("Yes",F29)))</formula>
    </cfRule>
    <cfRule type="containsText" dxfId="36" priority="41" operator="containsText" text="Required">
      <formula>NOT(ISERROR(SEARCH("Required",F29)))</formula>
    </cfRule>
  </conditionalFormatting>
  <conditionalFormatting sqref="E22:E23">
    <cfRule type="cellIs" dxfId="35" priority="58" operator="equal">
      <formula>"Capacity Pool Minimum Size"</formula>
    </cfRule>
  </conditionalFormatting>
  <conditionalFormatting sqref="D26">
    <cfRule type="cellIs" dxfId="34" priority="57" operator="equal">
      <formula>"Temporarily Empty Field"</formula>
    </cfRule>
  </conditionalFormatting>
  <conditionalFormatting sqref="E26">
    <cfRule type="cellIs" dxfId="33" priority="56" operator="equal">
      <formula>"Temporarily Empty Field"</formula>
    </cfRule>
  </conditionalFormatting>
  <conditionalFormatting sqref="E29">
    <cfRule type="cellIs" dxfId="32" priority="46" operator="equal">
      <formula>"Yes"</formula>
    </cfRule>
    <cfRule type="cellIs" dxfId="31" priority="47" operator="equal">
      <formula>"No: 300MiB/s is Maximum Supported Load"</formula>
    </cfRule>
    <cfRule type="containsText" dxfId="30" priority="4" operator="containsText" text="No">
      <formula>NOT(ISERROR(SEARCH("No",E29)))</formula>
    </cfRule>
  </conditionalFormatting>
  <conditionalFormatting sqref="E29">
    <cfRule type="cellIs" dxfId="29" priority="45" operator="equal">
      <formula>"Yes"</formula>
    </cfRule>
  </conditionalFormatting>
  <conditionalFormatting sqref="E29">
    <cfRule type="cellIs" dxfId="28" priority="44" operator="equal">
      <formula>"""No: 102,400GiB is Maximum Supported Capacity"""</formula>
    </cfRule>
  </conditionalFormatting>
  <conditionalFormatting sqref="E29">
    <cfRule type="cellIs" dxfId="27" priority="42" operator="equal">
      <formula>"No"</formula>
    </cfRule>
    <cfRule type="cellIs" dxfId="26" priority="43" operator="equal">
      <formula>"No: 102,400GiB is Maximum Supported Capacity"</formula>
    </cfRule>
  </conditionalFormatting>
  <conditionalFormatting sqref="E37 E40">
    <cfRule type="cellIs" dxfId="25" priority="38" operator="equal">
      <formula>"Yes"</formula>
    </cfRule>
    <cfRule type="cellIs" dxfId="24" priority="39" operator="equal">
      <formula>"No: 100,000 IOPS is Maximum Supported Load"</formula>
    </cfRule>
  </conditionalFormatting>
  <conditionalFormatting sqref="F37:G38 F40:G40">
    <cfRule type="containsText" dxfId="23" priority="35" operator="containsText" text="Required">
      <formula>NOT(ISERROR(SEARCH("Required",F37)))</formula>
    </cfRule>
    <cfRule type="containsText" dxfId="22" priority="37" operator="containsText" text="Yes">
      <formula>NOT(ISERROR(SEARCH("Yes",F37)))</formula>
    </cfRule>
  </conditionalFormatting>
  <conditionalFormatting sqref="E37 E40">
    <cfRule type="cellIs" dxfId="21" priority="36" operator="equal">
      <formula>"No"</formula>
    </cfRule>
  </conditionalFormatting>
  <conditionalFormatting sqref="E31 E20:E23">
    <cfRule type="cellIs" dxfId="20" priority="34" operator="equal">
      <formula>"No"</formula>
    </cfRule>
  </conditionalFormatting>
  <conditionalFormatting sqref="E30">
    <cfRule type="cellIs" dxfId="19" priority="30" operator="equal">
      <formula>"No"</formula>
    </cfRule>
  </conditionalFormatting>
  <conditionalFormatting sqref="E38">
    <cfRule type="cellIs" dxfId="18" priority="28" operator="equal">
      <formula>"No"</formula>
    </cfRule>
  </conditionalFormatting>
  <conditionalFormatting sqref="E39">
    <cfRule type="cellIs" dxfId="17" priority="26" operator="equal">
      <formula>"No"</formula>
    </cfRule>
  </conditionalFormatting>
  <conditionalFormatting sqref="B38">
    <cfRule type="containsText" dxfId="16" priority="25" operator="containsText" text="N/A">
      <formula>NOT(ISERROR(SEARCH("N/A",B38)))</formula>
    </cfRule>
  </conditionalFormatting>
  <conditionalFormatting sqref="B37">
    <cfRule type="containsText" dxfId="15" priority="24" operator="containsText" text="N/A">
      <formula>NOT(ISERROR(SEARCH("N/A",B37)))</formula>
    </cfRule>
    <cfRule type="containsText" dxfId="14" priority="2" operator="containsText" text="Must">
      <formula>NOT(ISERROR(SEARCH("Must",B37)))</formula>
    </cfRule>
  </conditionalFormatting>
  <conditionalFormatting sqref="B20">
    <cfRule type="containsText" dxfId="13" priority="21" operator="containsText" text="N/A">
      <formula>NOT(ISERROR(SEARCH("N/A",B20)))</formula>
    </cfRule>
  </conditionalFormatting>
  <conditionalFormatting sqref="B30">
    <cfRule type="containsText" dxfId="12" priority="20" operator="containsText" text="N/A">
      <formula>NOT(ISERROR(SEARCH("N/A",B30)))</formula>
    </cfRule>
  </conditionalFormatting>
  <conditionalFormatting sqref="H19">
    <cfRule type="containsText" dxfId="11" priority="18" operator="containsText" text="Yes">
      <formula>NOT(ISERROR(SEARCH("Yes",H19)))</formula>
    </cfRule>
    <cfRule type="containsText" dxfId="10" priority="19" operator="containsText" text="Required">
      <formula>NOT(ISERROR(SEARCH("Required",H19)))</formula>
    </cfRule>
    <cfRule type="containsText" dxfId="9" priority="16" operator="containsText" text="Required">
      <formula>NOT(ISERROR(SEARCH("Required",H19)))</formula>
    </cfRule>
    <cfRule type="containsText" dxfId="8" priority="9" operator="containsText" text="Required">
      <formula>NOT(ISERROR(SEARCH("Required",H19)))</formula>
    </cfRule>
  </conditionalFormatting>
  <conditionalFormatting sqref="B19">
    <cfRule type="containsText" dxfId="7" priority="14" operator="containsText" text="Rec">
      <formula>NOT(ISERROR(SEARCH("Rec",B19)))</formula>
    </cfRule>
  </conditionalFormatting>
  <conditionalFormatting sqref="F19">
    <cfRule type="containsText" dxfId="6" priority="12" operator="containsText" text="Required">
      <formula>NOT(ISERROR(SEARCH("Required",F19)))</formula>
    </cfRule>
    <cfRule type="containsText" dxfId="5" priority="10" operator="containsText" text="Yes">
      <formula>NOT(ISERROR(SEARCH("Yes",F19)))</formula>
    </cfRule>
  </conditionalFormatting>
  <conditionalFormatting sqref="E19">
    <cfRule type="containsText" dxfId="4" priority="8" operator="containsText" text="Yes">
      <formula>NOT(ISERROR(SEARCH("Yes",E19)))</formula>
    </cfRule>
    <cfRule type="containsText" dxfId="3" priority="7" operator="containsText" text="More">
      <formula>NOT(ISERROR(SEARCH("More",E19)))</formula>
    </cfRule>
  </conditionalFormatting>
  <conditionalFormatting sqref="B29">
    <cfRule type="containsText" dxfId="2" priority="5" operator="containsText" text="Rec">
      <formula>NOT(ISERROR(SEARCH("Rec",B29)))</formula>
    </cfRule>
    <cfRule type="containsText" dxfId="1" priority="3" operator="containsText" text="Must">
      <formula>NOT(ISERROR(SEARCH("Must",B29)))</formula>
    </cfRule>
  </conditionalFormatting>
  <conditionalFormatting sqref="E37">
    <cfRule type="containsText" dxfId="0" priority="1" operator="containsText" text="No">
      <formula>NOT(ISERROR(SEARCH("No",E37)))</formula>
    </cfRule>
  </conditionalFormatting>
  <dataValidations count="6">
    <dataValidation type="whole" allowBlank="1" showInputMessage="1" showErrorMessage="1" errorTitle="Incorrect Value Entered" error="Valid values are between 1 and 1024 in int value" promptTitle="VHD Size Per User" prompt="Enter the VHD size in INT value, number must be between 1 and 1024" sqref="B10" xr:uid="{CBED2FD9-9304-492F-812B-63234547D67B}">
      <formula1>1</formula1>
      <formula2>1024</formula2>
    </dataValidation>
    <dataValidation type="whole" showInputMessage="1" showErrorMessage="1" errorTitle="Incorrect Value Entered" error="Please Enter a whole number between 1 and 95,000" promptTitle="Number Of User" prompt="Enter the number of users (100% Concurrency is assumed).  Valid values are between 1 and 95,000." sqref="B3" xr:uid="{838F7E3E-819B-4995-B75E-80FB4581AA29}">
      <formula1>1</formula1>
      <formula2>95000</formula2>
    </dataValidation>
    <dataValidation type="whole" showInputMessage="1" showErrorMessage="1" errorTitle="Incorrect Value Entered" error="Please Enter a whole number between 1 and 168" promptTitle="Enter Integer Value" prompt="Enter a value between 40 and 168 representing the working hours in a week.  Call centers for example that have 24X7 operations work 168 hours every week." sqref="B7" xr:uid="{83D3B009-08C9-4277-BCBC-7A1B2CBFC57A}">
      <formula1>40</formula1>
      <formula2>168</formula2>
    </dataValidation>
    <dataValidation type="whole" showInputMessage="1" showErrorMessage="1" errorTitle="Incorrect Value Entered" error="Valid values are between 1 and 30  in int value" promptTitle="VHD Size Per User" prompt="Enter the VHD size in INT value, number must be between 1 and 1024" sqref="B7" xr:uid="{4AE96117-04AC-420D-AD6D-903EA3285EB4}">
      <formula1>36</formula1>
      <formula2>168</formula2>
    </dataValidation>
    <dataValidation allowBlank="1" showInputMessage="1" showErrorMessage="1" promptTitle="VHD Size" prompt="Select the size of the user VHD defined in FSLogix Environment_x000a_" sqref="B7" xr:uid="{A1CCD0B8-6B2D-42A1-89B6-7ABA9C370E18}"/>
    <dataValidation type="whole" allowBlank="1" showInputMessage="1" errorTitle="IOPS: Incorrect Input" error="Please enter a whole number between 1 and 200." promptTitle="Storage IOPS: Env Dependant" prompt="Suggested values for user profile containers_x000a_Without Office365: 5_x000a_With Office365: 15_x000a_With Offline Cache and Office365 Cache: 60 - 120" sqref="B4" xr:uid="{E2E3AE84-252F-4455-AC8B-A92442F4F96A}">
      <formula1>1</formula1>
      <formula2>200</formula2>
    </dataValidation>
  </dataValidations>
  <printOptions horizontalCentered="1" verticalCentered="1"/>
  <pageMargins left="0.7" right="0.7" top="0.75" bottom="0.75" header="0.3" footer="0.3"/>
  <pageSetup scale="33" fitToHeight="0" orientation="portrait" horizontalDpi="200" verticalDpi="200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error="If known, select the average storage I/O size.  If unknown, leave the value at the default of 32." promptTitle="Storage I/O Size (Advanced)" prompt="If known, select the average storage I/O size.  If unknown, leave the value at the default of 32." xr:uid="{86AD3042-EFBE-4769-8F55-A620876D83EA}">
          <x14:formula1>
            <xm:f>definitions!$A$2:$A$3</xm:f>
          </x14:formula1>
          <xm:sqref>B8</xm:sqref>
        </x14:dataValidation>
        <x14:dataValidation type="list" showInputMessage="1" showErrorMessage="1" errorTitle="Incorrect Value Entered" error="Valid values are between 1 and 30  in int value" promptTitle="VHD Size Per User" prompt="Enter the VHD size in INT value, number must be between 1 and 1024" xr:uid="{F0468C29-122F-45A3-9E06-3D1D980A2EF8}">
          <x14:formula1>
            <xm:f>definitions!$C$2:$C$8</xm:f>
          </x14:formula1>
          <xm:sqref>B3</xm:sqref>
        </x14:dataValidation>
        <x14:dataValidation type="list" allowBlank="1" showInputMessage="1" showErrorMessage="1" xr:uid="{FACD4DE7-9021-4B74-81BF-F5019EF7DF83}">
          <x14:formula1>
            <xm:f>definitions!$C$2:$C$8</xm:f>
          </x14:formula1>
          <xm:sqref>B3</xm:sqref>
        </x14:dataValidation>
        <x14:dataValidation type="list" allowBlank="1" showInputMessage="1" showErrorMessage="1" promptTitle="VHD Size" prompt="Select the size of the user VHD defined in FSLogix Environment_x000a_" xr:uid="{F9F9F9EE-077A-4B49-876B-20EE9C7EA975}">
          <x14:formula1>
            <xm:f>definitions!$C$2:$C$8</xm:f>
          </x14:formula1>
          <xm:sqref>B3</xm:sqref>
        </x14:dataValidation>
        <x14:dataValidation type="list" showInputMessage="1" showErrorMessage="1" xr:uid="{FF3B58C7-0EEE-4B9C-AA0D-36F4BBCFA8FD}">
          <x14:formula1>
            <xm:f>definitions!$D$2:$D$7</xm:f>
          </x14:formula1>
          <xm:sqref>B6:B7</xm:sqref>
        </x14:dataValidation>
        <x14:dataValidation type="list" showInputMessage="1" showErrorMessage="1" promptTitle="VHD(X) Size" prompt="Select the desired VHD(X) Size, 40GiB has been idenitifed as the average Profile Size Industry wide" xr:uid="{97763830-AAD4-4BCB-B82D-4588199C19CD}">
          <x14:formula1>
            <xm:f>definitions!$C$4:$C$13</xm:f>
          </x14:formula1>
          <xm:sqref>B5</xm:sqref>
        </x14:dataValidation>
        <x14:dataValidation type="list" showInputMessage="1" showErrorMessage="1" error="If known, select the average storage read %.  If unknown, leave the value at the default of 20%" promptTitle="Read % (Advanced)" prompt="If known, select the average storage read%  If unknown, leave the value at the default of 20%." xr:uid="{4F30BAC0-8570-455C-9ACF-B1BAC194BCB9}">
          <x14:formula1>
            <xm:f>'Throughput Test'!$G$6:$G$10</xm:f>
          </x14:formula1>
          <xm:sqref>B9</xm:sqref>
        </x14:dataValidation>
        <x14:dataValidation type="list" allowBlank="1" showInputMessage="1" showErrorMessage="1" xr:uid="{4B86BFC7-B959-49BD-A0CA-9D6F29B3BFCA}">
          <x14:formula1>
            <xm:f>definitions!$E$2:$E$4</xm:f>
          </x14:formula1>
          <xm:sqref>B9</xm:sqref>
        </x14:dataValidation>
        <x14:dataValidation type="list" allowBlank="1" showInputMessage="1" showErrorMessage="1" xr:uid="{D52C3E3B-D7C9-4CAB-B3CD-9E815BA071AA}">
          <x14:formula1>
            <xm:f>definitions!#REF!</xm:f>
          </x14:formula1>
          <xm:sqref>B4 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156B8-3DAB-4F24-8D0A-36FBCF57BCBD}">
  <sheetPr codeName="Sheet2"/>
  <dimension ref="A1:E54"/>
  <sheetViews>
    <sheetView topLeftCell="A23" workbookViewId="0">
      <selection activeCell="C36" sqref="C36"/>
    </sheetView>
  </sheetViews>
  <sheetFormatPr defaultRowHeight="15" x14ac:dyDescent="0.25"/>
  <cols>
    <col min="1" max="1" width="78.28515625" bestFit="1" customWidth="1"/>
    <col min="2" max="2" width="54.7109375" bestFit="1" customWidth="1"/>
  </cols>
  <sheetData>
    <row r="1" spans="1:3" x14ac:dyDescent="0.25">
      <c r="A1" s="2" t="s">
        <v>30</v>
      </c>
      <c r="B1" s="15"/>
    </row>
    <row r="2" spans="1:3" ht="13.5" customHeight="1" x14ac:dyDescent="0.25">
      <c r="A2" s="2" t="s">
        <v>62</v>
      </c>
      <c r="B2" s="15">
        <f>'FSLogix Calculator'!B$16</f>
        <v>4130</v>
      </c>
      <c r="C2" s="3"/>
    </row>
    <row r="3" spans="1:3" ht="13.5" customHeight="1" x14ac:dyDescent="0.25">
      <c r="A3" s="2" t="s">
        <v>100</v>
      </c>
      <c r="B3" s="15">
        <f>'FSLogix Calculator'!B$5</f>
        <v>35</v>
      </c>
      <c r="C3" s="3"/>
    </row>
    <row r="4" spans="1:3" x14ac:dyDescent="0.25">
      <c r="A4" s="2" t="s">
        <v>142</v>
      </c>
      <c r="B4" s="2">
        <f>_xlfn.XLOOKUP('FSLogix Calculator'!B$9,'Throughput Test'!G2:G12,'Throughput Test'!P$2:P$12)</f>
        <v>2198</v>
      </c>
      <c r="C4" s="61"/>
    </row>
    <row r="5" spans="1:3" x14ac:dyDescent="0.25">
      <c r="A5" s="2" t="s">
        <v>147</v>
      </c>
      <c r="B5" s="2">
        <f>FLOOR(definitions!B24/'FSLogix Calculator'!B$5,1)</f>
        <v>2925</v>
      </c>
      <c r="C5" s="61"/>
    </row>
    <row r="6" spans="1:3" ht="13.5" customHeight="1" x14ac:dyDescent="0.25">
      <c r="A6" s="2"/>
      <c r="B6" s="15"/>
      <c r="C6" s="3"/>
    </row>
    <row r="7" spans="1:3" x14ac:dyDescent="0.25">
      <c r="A7" s="2" t="s">
        <v>31</v>
      </c>
      <c r="B7" s="15">
        <f>('FSLogix Calculator'!B$13*1024)/definitions!B30</f>
        <v>1416</v>
      </c>
      <c r="C7" s="3" t="s">
        <v>46</v>
      </c>
    </row>
    <row r="8" spans="1:3" x14ac:dyDescent="0.25">
      <c r="A8" s="2" t="s">
        <v>32</v>
      </c>
      <c r="B8" s="15">
        <f>('FSLogix Calculator'!B$13*1024)/definitions!B28</f>
        <v>354</v>
      </c>
      <c r="C8" s="3" t="s">
        <v>47</v>
      </c>
    </row>
    <row r="9" spans="1:3" x14ac:dyDescent="0.25">
      <c r="A9" s="2" t="s">
        <v>33</v>
      </c>
      <c r="B9" s="15">
        <f>('FSLogix Calculator'!B$13*1024)/definitions!B26</f>
        <v>177</v>
      </c>
      <c r="C9" s="3" t="s">
        <v>39</v>
      </c>
    </row>
    <row r="11" spans="1:3" x14ac:dyDescent="0.25">
      <c r="A11" s="2" t="s">
        <v>97</v>
      </c>
      <c r="B11" s="2">
        <f>('FSLogix Calculator'!B$14*'FSLogix Calculator'!B$6)/definitions!B$30</f>
        <v>12</v>
      </c>
      <c r="C11" s="3" t="s">
        <v>46</v>
      </c>
    </row>
    <row r="12" spans="1:3" x14ac:dyDescent="0.25">
      <c r="A12" s="2" t="s">
        <v>98</v>
      </c>
      <c r="B12" s="2">
        <f>('FSLogix Calculator'!B$14*'FSLogix Calculator'!B$6)/definitions!B28</f>
        <v>3</v>
      </c>
      <c r="C12" s="3" t="s">
        <v>47</v>
      </c>
    </row>
    <row r="13" spans="1:3" x14ac:dyDescent="0.25">
      <c r="A13" s="2" t="s">
        <v>99</v>
      </c>
      <c r="B13" s="2">
        <f>('FSLogix Calculator'!B$14*'FSLogix Calculator'!B$6)/definitions!B26</f>
        <v>1.5</v>
      </c>
      <c r="C13" s="3" t="s">
        <v>39</v>
      </c>
    </row>
    <row r="14" spans="1:3" x14ac:dyDescent="0.25">
      <c r="A14" s="2"/>
      <c r="B14" s="2"/>
      <c r="C14" s="3"/>
    </row>
    <row r="15" spans="1:3" x14ac:dyDescent="0.25">
      <c r="A15" s="2" t="s">
        <v>35</v>
      </c>
      <c r="B15" s="2">
        <f>CEILING(IF(B11&gt;B$3,definitions!B$31/B11,definitions!B$31/B$3),1)</f>
        <v>118</v>
      </c>
      <c r="C15" s="3" t="s">
        <v>46</v>
      </c>
    </row>
    <row r="16" spans="1:3" x14ac:dyDescent="0.25">
      <c r="A16" s="2" t="s">
        <v>36</v>
      </c>
      <c r="B16" s="2">
        <f>CEILING(IF(B12&gt;B$3,definitions!B$31/B12,definitions!B$31/B$3),1)</f>
        <v>118</v>
      </c>
      <c r="C16" s="3" t="s">
        <v>47</v>
      </c>
    </row>
    <row r="17" spans="1:3" ht="16.5" customHeight="1" x14ac:dyDescent="0.25">
      <c r="A17" s="2" t="s">
        <v>37</v>
      </c>
      <c r="B17" s="2">
        <f>CEILING(IF(B13&gt;B$3,definitions!B$31/B13,definitions!B$31/B$3),1)</f>
        <v>118</v>
      </c>
      <c r="C17" s="3" t="s">
        <v>39</v>
      </c>
    </row>
    <row r="18" spans="1:3" ht="13.5" customHeight="1" x14ac:dyDescent="0.25">
      <c r="A18" s="2"/>
      <c r="B18" s="2"/>
      <c r="C18" s="3"/>
    </row>
    <row r="19" spans="1:3" ht="13.5" customHeight="1" x14ac:dyDescent="0.25">
      <c r="A19" s="2" t="s">
        <v>91</v>
      </c>
      <c r="B19" s="15" t="str">
        <f>IF(B$2&gt;B7,"Capacity","Bandwidth")</f>
        <v>Capacity</v>
      </c>
      <c r="C19" s="3" t="s">
        <v>46</v>
      </c>
    </row>
    <row r="20" spans="1:3" ht="13.5" customHeight="1" x14ac:dyDescent="0.25">
      <c r="A20" s="2" t="s">
        <v>92</v>
      </c>
      <c r="B20" s="15" t="str">
        <f>IF(B$2&gt;B8,"Capacity","Bandwidth")</f>
        <v>Capacity</v>
      </c>
      <c r="C20" s="3" t="s">
        <v>47</v>
      </c>
    </row>
    <row r="21" spans="1:3" ht="13.5" customHeight="1" x14ac:dyDescent="0.25">
      <c r="A21" s="2" t="s">
        <v>93</v>
      </c>
      <c r="B21" s="15" t="str">
        <f>IF(B$2&gt;B9,"Capacity","Bandwidth")</f>
        <v>Capacity</v>
      </c>
      <c r="C21" s="3" t="s">
        <v>39</v>
      </c>
    </row>
    <row r="22" spans="1:3" ht="13.5" customHeight="1" x14ac:dyDescent="0.25">
      <c r="A22" s="2"/>
      <c r="B22" s="2"/>
      <c r="C22" s="3"/>
    </row>
    <row r="23" spans="1:3" ht="13.5" customHeight="1" x14ac:dyDescent="0.25">
      <c r="A23" s="2" t="s">
        <v>94</v>
      </c>
      <c r="B23" s="15">
        <f>IF(B$2&gt;B7,B$2,B7)</f>
        <v>4130</v>
      </c>
      <c r="C23" s="3" t="s">
        <v>46</v>
      </c>
    </row>
    <row r="24" spans="1:3" ht="13.5" customHeight="1" x14ac:dyDescent="0.25">
      <c r="A24" s="2" t="s">
        <v>95</v>
      </c>
      <c r="B24" s="15">
        <f>IF(B$2&gt;B8,B$2,B8)</f>
        <v>4130</v>
      </c>
      <c r="C24" s="3" t="s">
        <v>47</v>
      </c>
    </row>
    <row r="25" spans="1:3" ht="13.5" customHeight="1" x14ac:dyDescent="0.25">
      <c r="A25" s="2" t="s">
        <v>96</v>
      </c>
      <c r="B25" s="15">
        <f>IF(B$2&gt;B9,B$2,B9)</f>
        <v>4130</v>
      </c>
      <c r="C25" s="3" t="s">
        <v>39</v>
      </c>
    </row>
    <row r="26" spans="1:3" ht="13.5" customHeight="1" x14ac:dyDescent="0.25">
      <c r="A26" s="2"/>
      <c r="B26" s="2"/>
      <c r="C26" s="3"/>
    </row>
    <row r="27" spans="1:3" ht="13.5" customHeight="1" x14ac:dyDescent="0.25">
      <c r="A27" s="2" t="s">
        <v>85</v>
      </c>
      <c r="B27" s="15" t="str">
        <f>IF(B23&gt;definitions!B$31,B19,"Capacity Pool Minimum Size")</f>
        <v>Capacity</v>
      </c>
      <c r="C27" s="3" t="s">
        <v>46</v>
      </c>
    </row>
    <row r="28" spans="1:3" ht="13.5" customHeight="1" x14ac:dyDescent="0.25">
      <c r="A28" s="2" t="s">
        <v>86</v>
      </c>
      <c r="B28" s="15" t="str">
        <f>IF(B24&gt;definitions!B$31,B20,"Capacity Pool Minimum Size")</f>
        <v>Capacity</v>
      </c>
      <c r="C28" s="3" t="s">
        <v>47</v>
      </c>
    </row>
    <row r="29" spans="1:3" ht="13.5" customHeight="1" x14ac:dyDescent="0.25">
      <c r="A29" s="2" t="s">
        <v>87</v>
      </c>
      <c r="B29" s="15" t="str">
        <f>IF(B25&gt;definitions!B$31,B21,"Capacity Pool Minimum Size")</f>
        <v>Capacity</v>
      </c>
      <c r="C29" s="3" t="s">
        <v>39</v>
      </c>
    </row>
    <row r="30" spans="1:3" ht="13.5" customHeight="1" x14ac:dyDescent="0.25">
      <c r="A30" s="2"/>
      <c r="B30" s="2"/>
      <c r="C30" s="3"/>
    </row>
    <row r="31" spans="1:3" ht="13.5" customHeight="1" x14ac:dyDescent="0.25">
      <c r="A31" s="2" t="s">
        <v>88</v>
      </c>
      <c r="B31" s="15">
        <f>IF(B23&gt;definitions!B$31,B23,definitions!B$31)</f>
        <v>4130</v>
      </c>
      <c r="C31" s="3" t="s">
        <v>46</v>
      </c>
    </row>
    <row r="32" spans="1:3" ht="13.5" customHeight="1" x14ac:dyDescent="0.25">
      <c r="A32" s="2" t="s">
        <v>89</v>
      </c>
      <c r="B32" s="15">
        <f>IF(B24&gt;definitions!B$31,B24,definitions!B$31)</f>
        <v>4130</v>
      </c>
      <c r="C32" s="3" t="s">
        <v>47</v>
      </c>
    </row>
    <row r="33" spans="1:5" ht="13.5" customHeight="1" x14ac:dyDescent="0.25">
      <c r="A33" s="2" t="s">
        <v>90</v>
      </c>
      <c r="B33" s="15">
        <f>IF(B25&gt;definitions!B$31,B25,definitions!B$31)</f>
        <v>4130</v>
      </c>
      <c r="C33" s="3" t="s">
        <v>39</v>
      </c>
    </row>
    <row r="34" spans="1:5" ht="13.5" customHeight="1" x14ac:dyDescent="0.25">
      <c r="A34" s="2"/>
      <c r="B34" s="15"/>
      <c r="C34" s="3"/>
    </row>
    <row r="35" spans="1:5" ht="13.5" customHeight="1" x14ac:dyDescent="0.25">
      <c r="A35" s="2" t="s">
        <v>143</v>
      </c>
      <c r="B35" s="15" t="str">
        <f>IF(MIN(B31:B33)&gt;definitions!B24,"No","Yes")</f>
        <v>Yes</v>
      </c>
      <c r="C35" s="3" t="s">
        <v>168</v>
      </c>
    </row>
    <row r="36" spans="1:5" ht="13.5" customHeight="1" x14ac:dyDescent="0.25">
      <c r="A36" s="2" t="s">
        <v>145</v>
      </c>
      <c r="B36" s="2" t="str">
        <f>IF('FSLogix Calculator'!B3&gt;('FSLogix Calculator'!E24),"No","Yes")</f>
        <v>Yes</v>
      </c>
      <c r="C36" s="61" t="s">
        <v>168</v>
      </c>
      <c r="D36" s="3"/>
      <c r="E36" s="3"/>
    </row>
    <row r="37" spans="1:5" ht="13.5" customHeight="1" x14ac:dyDescent="0.25">
      <c r="A37" s="2"/>
      <c r="B37" s="2"/>
      <c r="C37" s="61"/>
      <c r="D37" s="61"/>
      <c r="E37" s="61"/>
    </row>
    <row r="38" spans="1:5" ht="13.5" customHeight="1" x14ac:dyDescent="0.25">
      <c r="A38" s="2" t="s">
        <v>40</v>
      </c>
      <c r="B38" s="24">
        <f>IF((B31&gt;definitions!B24),99999,B31*definitions!B$29)</f>
        <v>619.5</v>
      </c>
      <c r="C38" s="3" t="s">
        <v>46</v>
      </c>
      <c r="D38" s="3"/>
      <c r="E38" s="3"/>
    </row>
    <row r="39" spans="1:5" ht="13.5" customHeight="1" x14ac:dyDescent="0.25">
      <c r="A39" s="2" t="s">
        <v>41</v>
      </c>
      <c r="B39" s="16">
        <f>IF((B32&gt;definitions!B24),99999,B32*definitions!B$27)</f>
        <v>1239</v>
      </c>
      <c r="C39" s="3" t="s">
        <v>47</v>
      </c>
      <c r="D39" s="3"/>
      <c r="E39" s="3"/>
    </row>
    <row r="40" spans="1:5" ht="13.5" customHeight="1" x14ac:dyDescent="0.25">
      <c r="A40" s="2" t="s">
        <v>42</v>
      </c>
      <c r="B40" s="16">
        <f>IF((B33&gt;definitions!B24),99999,(B33*definitions!B$25))</f>
        <v>1652</v>
      </c>
      <c r="C40" s="3" t="s">
        <v>39</v>
      </c>
      <c r="D40" s="3"/>
      <c r="E40" s="3"/>
    </row>
    <row r="41" spans="1:5" ht="13.5" customHeight="1" x14ac:dyDescent="0.25">
      <c r="A41" s="2"/>
      <c r="B41" s="16"/>
      <c r="C41" s="3"/>
      <c r="D41" s="3"/>
      <c r="E41" s="3"/>
    </row>
    <row r="42" spans="1:5" ht="13.5" customHeight="1" x14ac:dyDescent="0.25">
      <c r="A42" s="2" t="s">
        <v>51</v>
      </c>
      <c r="B42" s="15">
        <f>B31/'FSLogix Calculator'!B$3</f>
        <v>35</v>
      </c>
      <c r="C42" s="3" t="s">
        <v>46</v>
      </c>
      <c r="D42" s="3"/>
      <c r="E42" s="3"/>
    </row>
    <row r="43" spans="1:5" ht="13.5" customHeight="1" x14ac:dyDescent="0.25">
      <c r="A43" s="2" t="s">
        <v>52</v>
      </c>
      <c r="B43" s="15">
        <f>B32/'FSLogix Calculator'!B$3</f>
        <v>35</v>
      </c>
      <c r="C43" s="3" t="s">
        <v>47</v>
      </c>
      <c r="D43" s="3"/>
      <c r="E43" s="3"/>
    </row>
    <row r="44" spans="1:5" ht="13.5" customHeight="1" x14ac:dyDescent="0.25">
      <c r="A44" s="2" t="s">
        <v>53</v>
      </c>
      <c r="B44" s="15">
        <f>B33/'FSLogix Calculator'!B$3</f>
        <v>35</v>
      </c>
      <c r="C44" s="3" t="s">
        <v>39</v>
      </c>
      <c r="D44" s="3"/>
      <c r="E44" s="3"/>
    </row>
    <row r="45" spans="1:5" ht="25.5" customHeight="1" x14ac:dyDescent="0.25">
      <c r="A45" s="2"/>
      <c r="B45" s="15"/>
      <c r="C45" s="3"/>
      <c r="D45" s="3"/>
      <c r="E45" s="3"/>
    </row>
    <row r="46" spans="1:5" ht="13.5" customHeight="1" x14ac:dyDescent="0.25">
      <c r="A46" s="2" t="s">
        <v>43</v>
      </c>
      <c r="B46" s="26">
        <f>IF(B38=definitions!A$23,B38, B38/'FSLogix Calculator'!B$29)</f>
        <v>1.972497745716862</v>
      </c>
      <c r="C46" s="3" t="s">
        <v>46</v>
      </c>
      <c r="D46" s="3"/>
      <c r="E46" s="3"/>
    </row>
    <row r="47" spans="1:5" ht="13.5" customHeight="1" x14ac:dyDescent="0.25">
      <c r="A47" s="2" t="s">
        <v>44</v>
      </c>
      <c r="B47" s="26">
        <f>IF(B39=definitions!A$23,B39, B39/'FSLogix Calculator'!B$29)</f>
        <v>3.944995491433724</v>
      </c>
      <c r="C47" s="3" t="s">
        <v>47</v>
      </c>
      <c r="D47" s="3"/>
      <c r="E47" s="3"/>
    </row>
    <row r="48" spans="1:5" x14ac:dyDescent="0.25">
      <c r="A48" s="2" t="s">
        <v>45</v>
      </c>
      <c r="B48" s="26">
        <f>IF(B40=definitions!A$23,B40, B40/'FSLogix Calculator'!B$29)</f>
        <v>5.2599939885782989</v>
      </c>
      <c r="C48" s="3" t="s">
        <v>39</v>
      </c>
      <c r="D48" s="3"/>
      <c r="E48" s="4"/>
    </row>
    <row r="49" spans="1:4" x14ac:dyDescent="0.25">
      <c r="A49" s="3"/>
      <c r="B49" s="15"/>
      <c r="C49" s="3"/>
      <c r="D49" s="3"/>
    </row>
    <row r="50" spans="1:4" x14ac:dyDescent="0.25">
      <c r="A50" s="2" t="s">
        <v>48</v>
      </c>
      <c r="B50" s="26">
        <f>IF(B38=definitions!A23,B38,B38/'FSLogix Calculator'!B$37)</f>
        <v>0.6</v>
      </c>
      <c r="C50" s="3" t="s">
        <v>46</v>
      </c>
      <c r="D50" s="3"/>
    </row>
    <row r="51" spans="1:4" x14ac:dyDescent="0.25">
      <c r="A51" s="2" t="s">
        <v>49</v>
      </c>
      <c r="B51" s="26">
        <f>IF(B39=definitions!A23,B39,B39/'FSLogix Calculator'!B$37)</f>
        <v>1.2</v>
      </c>
      <c r="C51" s="3" t="s">
        <v>47</v>
      </c>
      <c r="D51" s="3"/>
    </row>
    <row r="52" spans="1:4" x14ac:dyDescent="0.25">
      <c r="A52" s="2" t="s">
        <v>50</v>
      </c>
      <c r="B52" s="26">
        <f>IF(B40=definitions!A23,B40,B40/'FSLogix Calculator'!B$37)</f>
        <v>1.6</v>
      </c>
      <c r="C52" s="3" t="s">
        <v>39</v>
      </c>
      <c r="D52" s="3"/>
    </row>
    <row r="54" spans="1:4" x14ac:dyDescent="0.25">
      <c r="A54" s="76" t="s">
        <v>103</v>
      </c>
      <c r="B54">
        <f>FLOOR(('Azure NetApp Files Calcuations'!B4*1024/'FSLogix Calculator'!B14)*(1/'FSLogix Calculator'!B6),1)</f>
        <v>11722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5F820-7E22-48AB-88D3-5118FCDA0E46}">
  <sheetPr codeName="Sheet3"/>
  <dimension ref="A1:C18"/>
  <sheetViews>
    <sheetView workbookViewId="0">
      <selection activeCell="C5" sqref="C5"/>
    </sheetView>
  </sheetViews>
  <sheetFormatPr defaultRowHeight="15" x14ac:dyDescent="0.25"/>
  <cols>
    <col min="1" max="1" width="83.28515625" bestFit="1" customWidth="1"/>
    <col min="2" max="2" width="58.85546875" customWidth="1"/>
    <col min="3" max="3" width="64" bestFit="1" customWidth="1"/>
  </cols>
  <sheetData>
    <row r="1" spans="1:3" x14ac:dyDescent="0.25">
      <c r="B1" t="s">
        <v>56</v>
      </c>
      <c r="C1" t="s">
        <v>55</v>
      </c>
    </row>
    <row r="2" spans="1:3" x14ac:dyDescent="0.25">
      <c r="A2" t="s">
        <v>20</v>
      </c>
      <c r="B2" s="36" t="str">
        <f>IF('FSLogix Calculator'!B15&gt;definitions!B$38,"Required I/O rate exceeds documented single storage account 10,000 op rate upper limit","Yes")</f>
        <v>Yes</v>
      </c>
      <c r="C2" s="37" t="str">
        <f>IF('FSLogix Calculator'!B$15&gt;definitions!B$38,"No, must configure additional storage accounts","Yes")</f>
        <v>Yes</v>
      </c>
    </row>
    <row r="3" spans="1:3" x14ac:dyDescent="0.25">
      <c r="A3" t="s">
        <v>21</v>
      </c>
      <c r="B3" s="38" t="str">
        <f>IF(('FSLogix Calculator'!B13)&gt;definitions!B$39,"Required bandwidth exceeds documented single storage account 300MiB/s  upper limit","Yes")</f>
        <v>Yes</v>
      </c>
      <c r="C3" s="37" t="str">
        <f>IF(('FSLogix Calculator'!B13)&gt;definitions!B$39,"No, must configure additional storage accounts","Yes")</f>
        <v>Yes</v>
      </c>
    </row>
    <row r="4" spans="1:3" x14ac:dyDescent="0.25">
      <c r="A4" t="s">
        <v>38</v>
      </c>
      <c r="B4" s="36" t="str">
        <f>IF('FSLogix Calculator'!B16&gt;102400,"Required capacity exceeds documented single storage account 100TiB upper limit","Yes")</f>
        <v>Yes</v>
      </c>
      <c r="C4" s="37" t="str">
        <f>IF('FSLogix Calculator'!B16&gt;102400,"No, must configure additional storage accounts","Yes")</f>
        <v>Yes</v>
      </c>
    </row>
    <row r="5" spans="1:3" x14ac:dyDescent="0.25">
      <c r="A5" t="s">
        <v>19</v>
      </c>
      <c r="B5" s="37" t="str">
        <f>IF(('FSLogix Calculator'!B$4*'FSLogix Calculator'!B$3*'FSLogix Calculator'!B$6)&gt;definitions!B$40,"Required I/O rate exceeds documented single storage account 100,000 op rate upper limit","Yes")</f>
        <v>Yes</v>
      </c>
      <c r="C5" s="37" t="str">
        <f>IF(('FSLogix Calculator'!B$4*'FSLogix Calculator'!B$3*'FSLogix Calculator'!B$6)&gt;definitions!B$40,"No","Yes")</f>
        <v>Yes</v>
      </c>
    </row>
    <row r="6" spans="1:3" x14ac:dyDescent="0.25">
      <c r="A6" t="s">
        <v>106</v>
      </c>
      <c r="B6" s="37" t="str">
        <f>IF(IF(('FSLogix Calculator'!$B$4*'FSLogix Calculator'!$B$3*'FSLogix Calculator'!$B$6)&gt;('FSLogix Calculator'!$B$5*'FSLogix Calculator'!$B$3),'FSLogix Calculator'!$B$4*'FSLogix Calculator'!$B$3*'FSLogix Calculator'!$B$6,'FSLogix Calculator'!$B$5*'FSLogix Calculator'!$B$3)&gt;definitions!B42,"Required capacity exceeds documented 100TiB upper limit","Yes")</f>
        <v>Yes</v>
      </c>
      <c r="C6" s="37" t="str">
        <f>IF(IF(('FSLogix Calculator'!$B$4*'FSLogix Calculator'!$B$3*'FSLogix Calculator'!$B$6)&gt;('FSLogix Calculator'!$B$5*'FSLogix Calculator'!$B$3),'FSLogix Calculator'!$B$4*'FSLogix Calculator'!$B$3*'FSLogix Calculator'!$B$6,'FSLogix Calculator'!$B$5*'FSLogix Calculator'!$B$3)&gt;definitions!B42,"No","Yes")</f>
        <v>Yes</v>
      </c>
    </row>
    <row r="7" spans="1:3" ht="13.5" customHeight="1" x14ac:dyDescent="0.25">
      <c r="A7" s="2"/>
      <c r="B7" s="15"/>
      <c r="C7" s="3"/>
    </row>
    <row r="8" spans="1:3" x14ac:dyDescent="0.25">
      <c r="A8" t="s">
        <v>156</v>
      </c>
      <c r="B8" s="15">
        <f>(('FSLogix Calculator'!B13-('FSLogix Calculator'!B13*(1-'FSLogix Calculator'!B9)))-definitions!B43)/definitions!B44</f>
        <v>-926.25000000000011</v>
      </c>
    </row>
    <row r="9" spans="1:3" x14ac:dyDescent="0.25">
      <c r="A9" t="s">
        <v>157</v>
      </c>
      <c r="B9" s="15">
        <f>(('FSLogix Calculator'!B13-('FSLogix Calculator'!B13*'FSLogix Calculator'!B9))-definitions!B45)/definitions!B46</f>
        <v>-557.5</v>
      </c>
    </row>
    <row r="10" spans="1:3" x14ac:dyDescent="0.25">
      <c r="A10" t="s">
        <v>159</v>
      </c>
      <c r="B10" s="15">
        <f>IF(B8&lt;100,100,B8)</f>
        <v>100</v>
      </c>
      <c r="C10" t="s">
        <v>140</v>
      </c>
    </row>
    <row r="11" spans="1:3" x14ac:dyDescent="0.25">
      <c r="A11" t="s">
        <v>160</v>
      </c>
      <c r="B11" s="15">
        <f>IF(B9&lt;100,100,B9)</f>
        <v>100</v>
      </c>
      <c r="C11" t="s">
        <v>141</v>
      </c>
    </row>
    <row r="12" spans="1:3" x14ac:dyDescent="0.25">
      <c r="A12" t="s">
        <v>158</v>
      </c>
      <c r="B12" t="str">
        <f>_xlfn.XLOOKUP(MAX(B10:B11),B10:B11,C10:C11)</f>
        <v>Read Bandwidth</v>
      </c>
      <c r="C12" s="15">
        <f>MAX(B10:B11)</f>
        <v>100</v>
      </c>
    </row>
    <row r="13" spans="1:3" x14ac:dyDescent="0.25">
      <c r="A13" t="s">
        <v>162</v>
      </c>
      <c r="B13" t="str">
        <f>IF(B9&gt;'FSLogix Calculator'!B3*'FSLogix Calculator'!B4*'FSLogix Calculator'!B6,"Bandwidth Need","I/O Need")</f>
        <v>I/O Need</v>
      </c>
      <c r="C13" s="15">
        <f>IF(B9&gt;'FSLogix Calculator'!B3*'FSLogix Calculator'!B4*'FSLogix Calculator'!B6,C$12,'FSLogix Calculator'!B3*'FSLogix Calculator'!B4*'FSLogix Calculator'!B6)</f>
        <v>708</v>
      </c>
    </row>
    <row r="14" spans="1:3" x14ac:dyDescent="0.25">
      <c r="A14" t="s">
        <v>161</v>
      </c>
      <c r="B14" t="str">
        <f>IF(C13&gt;'FSLogix Calculator'!B16,'Azure Files Calculations'!B13,"Profile Size")</f>
        <v>Profile Size</v>
      </c>
      <c r="C14" s="15">
        <f>IF(C13&gt;'FSLogix Calculator'!B16,'Azure Files Calculations'!C13,'FSLogix Calculator'!B16)</f>
        <v>4130</v>
      </c>
    </row>
    <row r="17" spans="2:2" x14ac:dyDescent="0.25">
      <c r="B17" s="74"/>
    </row>
    <row r="18" spans="2:2" x14ac:dyDescent="0.25">
      <c r="B18" s="74"/>
    </row>
  </sheetData>
  <conditionalFormatting sqref="B3:B4">
    <cfRule type="cellIs" dxfId="58" priority="15" operator="equal">
      <formula>"Yes"</formula>
    </cfRule>
    <cfRule type="cellIs" dxfId="57" priority="16" operator="equal">
      <formula>"No: 300MiB/s is Maximum Supported Load"</formula>
    </cfRule>
  </conditionalFormatting>
  <conditionalFormatting sqref="B2">
    <cfRule type="containsText" dxfId="56" priority="14" operator="containsText" text="No">
      <formula>NOT(ISERROR(SEARCH("No",B2)))</formula>
    </cfRule>
  </conditionalFormatting>
  <conditionalFormatting sqref="B2:B4">
    <cfRule type="containsText" dxfId="55" priority="4" operator="containsText" text="Yes">
      <formula>NOT(ISERROR(SEARCH("Yes",B2)))</formula>
    </cfRule>
    <cfRule type="containsText" dxfId="54" priority="5" operator="containsText" text="Required">
      <formula>NOT(ISERROR(SEARCH("Required",B2)))</formula>
    </cfRule>
    <cfRule type="cellIs" dxfId="53" priority="13" operator="equal">
      <formula>"Yes"</formula>
    </cfRule>
  </conditionalFormatting>
  <conditionalFormatting sqref="B4">
    <cfRule type="cellIs" dxfId="52" priority="12" operator="equal">
      <formula>"""No: 102,400GiB is Maximum Supported Capacity"""</formula>
    </cfRule>
  </conditionalFormatting>
  <conditionalFormatting sqref="B4">
    <cfRule type="cellIs" dxfId="51" priority="9" operator="equal">
      <formula>"No"</formula>
    </cfRule>
    <cfRule type="cellIs" dxfId="50" priority="11" operator="equal">
      <formula>"No: 102,400GiB is Maximum Supported Capacity"</formula>
    </cfRule>
  </conditionalFormatting>
  <conditionalFormatting sqref="B3">
    <cfRule type="cellIs" dxfId="49" priority="10" operator="equal">
      <formula>"No"</formula>
    </cfRule>
  </conditionalFormatting>
  <conditionalFormatting sqref="C2:C4">
    <cfRule type="containsText" dxfId="48" priority="8" operator="containsText" text="No: Required ">
      <formula>NOT(ISERROR(SEARCH("No: Required ",C2)))</formula>
    </cfRule>
  </conditionalFormatting>
  <conditionalFormatting sqref="C3:C4">
    <cfRule type="containsText" dxfId="47" priority="7" operator="containsText" text="No:  Required ">
      <formula>NOT(ISERROR(SEARCH("No:  Required ",C3)))</formula>
    </cfRule>
  </conditionalFormatting>
  <conditionalFormatting sqref="C4">
    <cfRule type="containsText" dxfId="46" priority="6" operator="containsText" text="No:">
      <formula>NOT(ISERROR(SEARCH("No:",C4)))</formula>
    </cfRule>
  </conditionalFormatting>
  <conditionalFormatting sqref="C2:C6">
    <cfRule type="cellIs" dxfId="45" priority="3" operator="equal">
      <formula>"Yes"</formula>
    </cfRule>
  </conditionalFormatting>
  <conditionalFormatting sqref="B5:B6">
    <cfRule type="cellIs" dxfId="44" priority="2" operator="equal">
      <formula>"Yes"</formula>
    </cfRule>
  </conditionalFormatting>
  <conditionalFormatting sqref="B2:C6">
    <cfRule type="containsText" dxfId="43" priority="1" operator="containsText" text="Required">
      <formula>NOT(ISERROR(SEARCH("Required",B2)))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74658-AC29-4B53-B5B1-54B6D412C541}">
  <sheetPr codeName="Sheet4"/>
  <dimension ref="A1:E47"/>
  <sheetViews>
    <sheetView topLeftCell="A12" workbookViewId="0">
      <selection activeCell="C5" sqref="C5"/>
    </sheetView>
  </sheetViews>
  <sheetFormatPr defaultRowHeight="15" x14ac:dyDescent="0.25"/>
  <cols>
    <col min="1" max="1" width="54.85546875" bestFit="1" customWidth="1"/>
    <col min="2" max="2" width="25.5703125" bestFit="1" customWidth="1"/>
    <col min="3" max="3" width="34.5703125" bestFit="1" customWidth="1"/>
    <col min="4" max="4" width="27" bestFit="1" customWidth="1"/>
  </cols>
  <sheetData>
    <row r="1" spans="1:5" x14ac:dyDescent="0.25">
      <c r="A1" t="s">
        <v>2</v>
      </c>
      <c r="B1" t="s">
        <v>4</v>
      </c>
      <c r="C1" t="s">
        <v>54</v>
      </c>
      <c r="D1" t="s">
        <v>60</v>
      </c>
      <c r="E1" t="s">
        <v>137</v>
      </c>
    </row>
    <row r="2" spans="1:5" x14ac:dyDescent="0.25">
      <c r="A2">
        <v>16</v>
      </c>
      <c r="B2">
        <v>4</v>
      </c>
      <c r="C2">
        <v>1</v>
      </c>
      <c r="D2" s="46">
        <v>0.25</v>
      </c>
      <c r="E2" s="46">
        <v>0.4</v>
      </c>
    </row>
    <row r="3" spans="1:5" x14ac:dyDescent="0.25">
      <c r="A3">
        <v>32</v>
      </c>
      <c r="B3">
        <v>8</v>
      </c>
      <c r="C3">
        <v>2</v>
      </c>
      <c r="D3" s="46">
        <v>0.33</v>
      </c>
      <c r="E3" s="46">
        <v>0.5</v>
      </c>
    </row>
    <row r="4" spans="1:5" x14ac:dyDescent="0.25">
      <c r="A4">
        <v>64</v>
      </c>
      <c r="B4">
        <v>15</v>
      </c>
      <c r="C4">
        <v>5</v>
      </c>
      <c r="D4" s="46">
        <v>0.5</v>
      </c>
      <c r="E4" s="46">
        <v>0.6</v>
      </c>
    </row>
    <row r="5" spans="1:5" x14ac:dyDescent="0.25">
      <c r="B5">
        <v>20</v>
      </c>
      <c r="C5">
        <v>10</v>
      </c>
      <c r="D5" s="46">
        <v>0.66</v>
      </c>
      <c r="E5" s="46"/>
    </row>
    <row r="6" spans="1:5" x14ac:dyDescent="0.25">
      <c r="B6">
        <v>25</v>
      </c>
      <c r="C6">
        <v>15</v>
      </c>
      <c r="D6" s="46">
        <v>0.75</v>
      </c>
      <c r="E6" s="46"/>
    </row>
    <row r="7" spans="1:5" x14ac:dyDescent="0.25">
      <c r="B7">
        <v>60</v>
      </c>
      <c r="C7">
        <v>20</v>
      </c>
      <c r="D7" s="46">
        <v>1</v>
      </c>
      <c r="E7" s="46"/>
    </row>
    <row r="8" spans="1:5" x14ac:dyDescent="0.25">
      <c r="B8">
        <v>120</v>
      </c>
      <c r="C8">
        <v>25</v>
      </c>
      <c r="D8" s="46"/>
      <c r="E8" s="46"/>
    </row>
    <row r="9" spans="1:5" x14ac:dyDescent="0.25">
      <c r="C9">
        <v>30</v>
      </c>
      <c r="D9" s="46"/>
      <c r="E9" s="46"/>
    </row>
    <row r="10" spans="1:5" x14ac:dyDescent="0.25">
      <c r="C10">
        <v>35</v>
      </c>
      <c r="D10" s="46"/>
      <c r="E10" s="46"/>
    </row>
    <row r="11" spans="1:5" x14ac:dyDescent="0.25">
      <c r="C11">
        <v>40</v>
      </c>
      <c r="D11" s="46"/>
      <c r="E11" s="46"/>
    </row>
    <row r="12" spans="1:5" x14ac:dyDescent="0.25">
      <c r="C12">
        <v>45</v>
      </c>
      <c r="D12" s="46"/>
    </row>
    <row r="13" spans="1:5" x14ac:dyDescent="0.25">
      <c r="C13">
        <v>50</v>
      </c>
      <c r="D13" s="46"/>
    </row>
    <row r="14" spans="1:5" x14ac:dyDescent="0.25">
      <c r="D14" s="46"/>
    </row>
    <row r="15" spans="1:5" x14ac:dyDescent="0.25">
      <c r="D15" s="46"/>
    </row>
    <row r="16" spans="1:5" x14ac:dyDescent="0.25">
      <c r="D16" s="46"/>
    </row>
    <row r="17" spans="1:4" x14ac:dyDescent="0.25">
      <c r="D17" s="46"/>
    </row>
    <row r="18" spans="1:4" x14ac:dyDescent="0.25">
      <c r="D18" s="46"/>
    </row>
    <row r="19" spans="1:4" x14ac:dyDescent="0.25">
      <c r="D19" s="46"/>
    </row>
    <row r="20" spans="1:4" x14ac:dyDescent="0.25">
      <c r="D20" s="46"/>
    </row>
    <row r="21" spans="1:4" x14ac:dyDescent="0.25">
      <c r="D21" s="46"/>
    </row>
    <row r="22" spans="1:4" x14ac:dyDescent="0.25">
      <c r="A22" t="s">
        <v>22</v>
      </c>
      <c r="B22" t="s">
        <v>23</v>
      </c>
      <c r="D22" s="46"/>
    </row>
    <row r="23" spans="1:4" x14ac:dyDescent="0.25">
      <c r="A23" s="21" t="s">
        <v>165</v>
      </c>
      <c r="B23" s="2"/>
      <c r="D23" s="46"/>
    </row>
    <row r="24" spans="1:4" x14ac:dyDescent="0.25">
      <c r="A24" s="21" t="s">
        <v>65</v>
      </c>
      <c r="B24" s="15">
        <v>102400</v>
      </c>
      <c r="D24" s="46"/>
    </row>
    <row r="25" spans="1:4" x14ac:dyDescent="0.25">
      <c r="A25" s="21" t="s">
        <v>24</v>
      </c>
      <c r="B25" s="24">
        <v>0.4</v>
      </c>
      <c r="D25" s="46"/>
    </row>
    <row r="26" spans="1:4" x14ac:dyDescent="0.25">
      <c r="A26" s="21" t="s">
        <v>25</v>
      </c>
      <c r="B26" s="15">
        <v>128</v>
      </c>
      <c r="D26" s="46"/>
    </row>
    <row r="27" spans="1:4" x14ac:dyDescent="0.25">
      <c r="A27" s="21" t="s">
        <v>26</v>
      </c>
      <c r="B27" s="24">
        <v>0.3</v>
      </c>
      <c r="D27" s="46"/>
    </row>
    <row r="28" spans="1:4" x14ac:dyDescent="0.25">
      <c r="A28" s="21" t="s">
        <v>27</v>
      </c>
      <c r="B28" s="15">
        <v>64</v>
      </c>
      <c r="D28" s="46"/>
    </row>
    <row r="29" spans="1:4" x14ac:dyDescent="0.25">
      <c r="A29" s="21" t="s">
        <v>28</v>
      </c>
      <c r="B29" s="24">
        <v>0.15</v>
      </c>
      <c r="D29" s="46"/>
    </row>
    <row r="30" spans="1:4" x14ac:dyDescent="0.25">
      <c r="A30" s="21" t="s">
        <v>29</v>
      </c>
      <c r="B30" s="15">
        <v>16</v>
      </c>
      <c r="D30" s="46"/>
    </row>
    <row r="31" spans="1:4" x14ac:dyDescent="0.25">
      <c r="A31" s="21" t="s">
        <v>34</v>
      </c>
      <c r="B31" s="15">
        <v>4096</v>
      </c>
      <c r="D31" s="46"/>
    </row>
    <row r="32" spans="1:4" x14ac:dyDescent="0.25">
      <c r="A32" s="21" t="s">
        <v>0</v>
      </c>
      <c r="B32" s="15">
        <v>3600</v>
      </c>
      <c r="D32" s="46"/>
    </row>
    <row r="33" spans="1:4" x14ac:dyDescent="0.25">
      <c r="A33" s="21" t="s">
        <v>8</v>
      </c>
      <c r="B33" s="15">
        <v>12</v>
      </c>
      <c r="D33" s="46"/>
    </row>
    <row r="34" spans="1:4" x14ac:dyDescent="0.25">
      <c r="A34" s="21" t="s">
        <v>1</v>
      </c>
      <c r="B34" s="15">
        <v>52</v>
      </c>
    </row>
    <row r="35" spans="1:4" x14ac:dyDescent="0.25">
      <c r="A35" s="21" t="s">
        <v>9</v>
      </c>
      <c r="B35" s="24">
        <v>0.06</v>
      </c>
      <c r="C35" s="14"/>
    </row>
    <row r="36" spans="1:4" x14ac:dyDescent="0.25">
      <c r="A36" s="21" t="s">
        <v>11</v>
      </c>
      <c r="B36" s="25">
        <f>0.0015/10000</f>
        <v>1.4999999999999999E-7</v>
      </c>
    </row>
    <row r="37" spans="1:4" x14ac:dyDescent="0.25">
      <c r="A37" s="21" t="s">
        <v>10</v>
      </c>
      <c r="B37" s="24">
        <v>0.25</v>
      </c>
    </row>
    <row r="38" spans="1:4" x14ac:dyDescent="0.25">
      <c r="A38" s="21" t="s">
        <v>12</v>
      </c>
      <c r="B38" s="15">
        <v>10000</v>
      </c>
    </row>
    <row r="39" spans="1:4" x14ac:dyDescent="0.25">
      <c r="A39" s="21" t="s">
        <v>13</v>
      </c>
      <c r="B39" s="15">
        <v>300</v>
      </c>
    </row>
    <row r="40" spans="1:4" x14ac:dyDescent="0.25">
      <c r="A40" s="21" t="s">
        <v>14</v>
      </c>
      <c r="B40" s="15">
        <v>100000</v>
      </c>
    </row>
    <row r="41" spans="1:4" x14ac:dyDescent="0.25">
      <c r="A41" s="21" t="s">
        <v>104</v>
      </c>
      <c r="B41" s="15">
        <v>102400</v>
      </c>
    </row>
    <row r="42" spans="1:4" x14ac:dyDescent="0.25">
      <c r="A42" s="21" t="s">
        <v>105</v>
      </c>
      <c r="B42" s="15">
        <v>102400</v>
      </c>
    </row>
    <row r="43" spans="1:4" x14ac:dyDescent="0.25">
      <c r="A43" s="21" t="s">
        <v>152</v>
      </c>
      <c r="B43" s="15">
        <v>60</v>
      </c>
    </row>
    <row r="44" spans="1:4" x14ac:dyDescent="0.25">
      <c r="A44" s="21" t="s">
        <v>153</v>
      </c>
      <c r="B44" s="73">
        <v>0.06</v>
      </c>
    </row>
    <row r="45" spans="1:4" x14ac:dyDescent="0.25">
      <c r="A45" s="21" t="s">
        <v>154</v>
      </c>
      <c r="B45" s="15">
        <v>40</v>
      </c>
    </row>
    <row r="46" spans="1:4" x14ac:dyDescent="0.25">
      <c r="A46" s="21" t="s">
        <v>155</v>
      </c>
      <c r="B46" s="73">
        <v>0.04</v>
      </c>
    </row>
    <row r="47" spans="1:4" x14ac:dyDescent="0.25">
      <c r="A47" s="21" t="s">
        <v>109</v>
      </c>
      <c r="B47" s="26">
        <v>0.4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9B902-59E6-4153-97E0-22C91333C597}">
  <sheetPr codeName="Sheet5"/>
  <dimension ref="A1:AI12"/>
  <sheetViews>
    <sheetView topLeftCell="J1" workbookViewId="0">
      <selection activeCell="B50" sqref="B50"/>
    </sheetView>
  </sheetViews>
  <sheetFormatPr defaultRowHeight="15" x14ac:dyDescent="0.25"/>
  <cols>
    <col min="1" max="1" width="11.28515625" bestFit="1" customWidth="1"/>
    <col min="3" max="3" width="10.7109375" bestFit="1" customWidth="1"/>
    <col min="7" max="7" width="12.140625" bestFit="1" customWidth="1"/>
    <col min="14" max="14" width="18.28515625" bestFit="1" customWidth="1"/>
    <col min="18" max="18" width="12.140625" bestFit="1" customWidth="1"/>
    <col min="25" max="25" width="19.5703125" bestFit="1" customWidth="1"/>
  </cols>
  <sheetData>
    <row r="1" spans="1:35" x14ac:dyDescent="0.25">
      <c r="A1" t="s">
        <v>124</v>
      </c>
      <c r="B1" t="s">
        <v>125</v>
      </c>
      <c r="C1" t="s">
        <v>126</v>
      </c>
      <c r="D1" t="s">
        <v>127</v>
      </c>
      <c r="E1" t="s">
        <v>128</v>
      </c>
      <c r="F1" t="s">
        <v>129</v>
      </c>
      <c r="G1" t="s">
        <v>130</v>
      </c>
      <c r="H1" t="s">
        <v>131</v>
      </c>
      <c r="I1" t="s">
        <v>132</v>
      </c>
      <c r="J1" t="s">
        <v>133</v>
      </c>
      <c r="K1" t="s">
        <v>134</v>
      </c>
      <c r="L1" t="s">
        <v>135</v>
      </c>
      <c r="M1" t="s">
        <v>136</v>
      </c>
      <c r="N1" t="s">
        <v>126</v>
      </c>
      <c r="O1" t="s">
        <v>127</v>
      </c>
      <c r="P1" t="s">
        <v>128</v>
      </c>
      <c r="Q1" t="s">
        <v>129</v>
      </c>
      <c r="R1" t="s">
        <v>130</v>
      </c>
      <c r="S1" t="s">
        <v>131</v>
      </c>
      <c r="T1" t="s">
        <v>132</v>
      </c>
      <c r="U1" t="s">
        <v>133</v>
      </c>
      <c r="V1" t="s">
        <v>134</v>
      </c>
      <c r="W1" t="s">
        <v>135</v>
      </c>
      <c r="X1" t="s">
        <v>136</v>
      </c>
      <c r="Y1" t="s">
        <v>126</v>
      </c>
      <c r="Z1" t="s">
        <v>127</v>
      </c>
      <c r="AA1" t="s">
        <v>128</v>
      </c>
      <c r="AB1" t="s">
        <v>129</v>
      </c>
      <c r="AC1" t="s">
        <v>130</v>
      </c>
      <c r="AD1" t="s">
        <v>131</v>
      </c>
      <c r="AE1" t="s">
        <v>132</v>
      </c>
      <c r="AF1" t="s">
        <v>133</v>
      </c>
      <c r="AG1" t="s">
        <v>134</v>
      </c>
      <c r="AH1" t="s">
        <v>135</v>
      </c>
      <c r="AI1" t="s">
        <v>136</v>
      </c>
    </row>
    <row r="2" spans="1:35" x14ac:dyDescent="0.25">
      <c r="A2" t="s">
        <v>110</v>
      </c>
      <c r="B2" t="s">
        <v>111</v>
      </c>
      <c r="C2" t="s">
        <v>112</v>
      </c>
      <c r="D2">
        <v>9027</v>
      </c>
      <c r="E2">
        <v>564</v>
      </c>
      <c r="F2">
        <v>65536</v>
      </c>
      <c r="G2" s="46">
        <v>1</v>
      </c>
      <c r="H2">
        <v>13.820666666699999</v>
      </c>
      <c r="I2">
        <v>13.820666666699999</v>
      </c>
      <c r="J2">
        <v>0</v>
      </c>
      <c r="K2">
        <v>1653</v>
      </c>
      <c r="L2">
        <v>27</v>
      </c>
      <c r="M2">
        <v>124</v>
      </c>
      <c r="N2" t="s">
        <v>81</v>
      </c>
      <c r="O2">
        <v>60267</v>
      </c>
      <c r="P2">
        <v>3766</v>
      </c>
      <c r="Q2">
        <v>65536</v>
      </c>
      <c r="R2" t="s">
        <v>113</v>
      </c>
      <c r="S2">
        <v>2.1063333333299998</v>
      </c>
      <c r="T2">
        <v>2.1063333333299998</v>
      </c>
      <c r="U2">
        <v>0</v>
      </c>
      <c r="V2">
        <v>350</v>
      </c>
      <c r="W2">
        <v>4</v>
      </c>
      <c r="X2">
        <v>126</v>
      </c>
      <c r="Y2" t="s">
        <v>83</v>
      </c>
      <c r="Z2">
        <v>17027</v>
      </c>
      <c r="AA2">
        <v>1064</v>
      </c>
      <c r="AB2">
        <v>65536</v>
      </c>
      <c r="AC2" t="s">
        <v>113</v>
      </c>
      <c r="AD2">
        <v>7.4829999999999997</v>
      </c>
      <c r="AE2">
        <v>7.4829999999999997</v>
      </c>
      <c r="AF2">
        <v>0</v>
      </c>
      <c r="AG2">
        <v>149</v>
      </c>
      <c r="AH2">
        <v>2</v>
      </c>
      <c r="AI2">
        <v>127</v>
      </c>
    </row>
    <row r="3" spans="1:35" x14ac:dyDescent="0.25">
      <c r="A3" t="s">
        <v>110</v>
      </c>
      <c r="B3" t="s">
        <v>111</v>
      </c>
      <c r="C3" t="s">
        <v>112</v>
      </c>
      <c r="D3">
        <v>8997</v>
      </c>
      <c r="E3">
        <v>562</v>
      </c>
      <c r="F3">
        <v>65536</v>
      </c>
      <c r="G3" s="46">
        <v>0.9</v>
      </c>
      <c r="H3">
        <v>13.823</v>
      </c>
      <c r="I3">
        <v>14.4533333333</v>
      </c>
      <c r="J3">
        <v>8.1669999999999998</v>
      </c>
      <c r="K3">
        <v>5302</v>
      </c>
      <c r="L3">
        <v>61</v>
      </c>
      <c r="M3">
        <v>125</v>
      </c>
      <c r="N3" t="s">
        <v>81</v>
      </c>
      <c r="O3">
        <v>57317</v>
      </c>
      <c r="P3">
        <v>3582</v>
      </c>
      <c r="Q3">
        <v>65536</v>
      </c>
      <c r="R3" t="s">
        <v>114</v>
      </c>
      <c r="S3">
        <v>2.2126666666700001</v>
      </c>
      <c r="T3">
        <v>2.1746666666699999</v>
      </c>
      <c r="U3">
        <v>2.5529999999999999</v>
      </c>
      <c r="V3">
        <v>1394</v>
      </c>
      <c r="W3">
        <v>3</v>
      </c>
      <c r="X3">
        <v>126</v>
      </c>
      <c r="Y3" t="s">
        <v>83</v>
      </c>
      <c r="Z3">
        <v>18481</v>
      </c>
      <c r="AA3">
        <v>1155</v>
      </c>
      <c r="AB3">
        <v>65536</v>
      </c>
      <c r="AC3" t="s">
        <v>114</v>
      </c>
      <c r="AD3">
        <v>6.8860000000000001</v>
      </c>
      <c r="AE3">
        <v>7.0279999999999996</v>
      </c>
      <c r="AF3">
        <v>5.6070000000000002</v>
      </c>
      <c r="AG3">
        <v>61</v>
      </c>
      <c r="AH3">
        <v>1</v>
      </c>
      <c r="AI3">
        <v>127</v>
      </c>
    </row>
    <row r="4" spans="1:35" x14ac:dyDescent="0.25">
      <c r="A4" t="s">
        <v>110</v>
      </c>
      <c r="B4" t="s">
        <v>111</v>
      </c>
      <c r="C4" t="s">
        <v>112</v>
      </c>
      <c r="D4">
        <v>8570</v>
      </c>
      <c r="E4">
        <v>535</v>
      </c>
      <c r="F4">
        <v>65536</v>
      </c>
      <c r="G4" s="46">
        <v>0.8</v>
      </c>
      <c r="H4">
        <v>14.6566666667</v>
      </c>
      <c r="I4">
        <v>15.990333333300001</v>
      </c>
      <c r="J4">
        <v>9.3230000000000004</v>
      </c>
      <c r="K4">
        <v>5188</v>
      </c>
      <c r="L4">
        <v>42</v>
      </c>
      <c r="M4">
        <v>125</v>
      </c>
      <c r="N4" t="s">
        <v>81</v>
      </c>
      <c r="O4">
        <v>52732</v>
      </c>
      <c r="P4">
        <v>3295</v>
      </c>
      <c r="Q4">
        <v>65536</v>
      </c>
      <c r="R4" t="s">
        <v>115</v>
      </c>
      <c r="S4">
        <v>2.4056666666700002</v>
      </c>
      <c r="T4">
        <v>2.2806666666700002</v>
      </c>
      <c r="U4">
        <v>2.9056666666700002</v>
      </c>
      <c r="V4">
        <v>989</v>
      </c>
      <c r="W4">
        <v>4</v>
      </c>
      <c r="X4">
        <v>126</v>
      </c>
      <c r="Y4" t="s">
        <v>83</v>
      </c>
      <c r="Z4">
        <v>19153</v>
      </c>
      <c r="AA4">
        <v>1197</v>
      </c>
      <c r="AB4">
        <v>65536</v>
      </c>
      <c r="AC4" t="s">
        <v>115</v>
      </c>
      <c r="AD4">
        <v>6.6449999999999996</v>
      </c>
      <c r="AE4">
        <v>6.8520000000000003</v>
      </c>
      <c r="AF4">
        <v>5.8150000000000004</v>
      </c>
      <c r="AG4">
        <v>67</v>
      </c>
      <c r="AH4">
        <v>1</v>
      </c>
      <c r="AI4">
        <v>127</v>
      </c>
    </row>
    <row r="5" spans="1:35" x14ac:dyDescent="0.25">
      <c r="A5" t="s">
        <v>110</v>
      </c>
      <c r="B5" t="s">
        <v>111</v>
      </c>
      <c r="C5" t="s">
        <v>112</v>
      </c>
      <c r="D5">
        <v>7871</v>
      </c>
      <c r="E5">
        <v>491</v>
      </c>
      <c r="F5">
        <v>65536</v>
      </c>
      <c r="G5" s="46">
        <v>0.7</v>
      </c>
      <c r="H5">
        <v>15.9073333333</v>
      </c>
      <c r="I5">
        <v>19.006333333299999</v>
      </c>
      <c r="J5">
        <v>8.6850000000000005</v>
      </c>
      <c r="K5">
        <v>2980</v>
      </c>
      <c r="L5">
        <v>46</v>
      </c>
      <c r="M5">
        <v>125</v>
      </c>
      <c r="N5" t="s">
        <v>81</v>
      </c>
      <c r="O5">
        <v>51478</v>
      </c>
      <c r="P5">
        <v>3217</v>
      </c>
      <c r="Q5">
        <v>65536</v>
      </c>
      <c r="R5" t="s">
        <v>116</v>
      </c>
      <c r="S5">
        <v>2.4623333333300002</v>
      </c>
      <c r="T5">
        <v>2.33433333333</v>
      </c>
      <c r="U5">
        <v>2.7613333333300001</v>
      </c>
      <c r="V5">
        <v>765</v>
      </c>
      <c r="W5">
        <v>3</v>
      </c>
      <c r="X5">
        <v>126</v>
      </c>
      <c r="Y5" t="s">
        <v>83</v>
      </c>
      <c r="Z5">
        <v>19764</v>
      </c>
      <c r="AA5">
        <v>1235</v>
      </c>
      <c r="AB5">
        <v>65536</v>
      </c>
      <c r="AC5" t="s">
        <v>116</v>
      </c>
      <c r="AD5">
        <v>6.4393333333299996</v>
      </c>
      <c r="AE5">
        <v>6.6256666666699999</v>
      </c>
      <c r="AF5">
        <v>6.0049999999999999</v>
      </c>
      <c r="AG5">
        <v>58</v>
      </c>
      <c r="AH5">
        <v>1</v>
      </c>
      <c r="AI5">
        <v>127</v>
      </c>
    </row>
    <row r="6" spans="1:35" x14ac:dyDescent="0.25">
      <c r="A6" t="s">
        <v>110</v>
      </c>
      <c r="B6" t="s">
        <v>111</v>
      </c>
      <c r="C6" t="s">
        <v>112</v>
      </c>
      <c r="D6">
        <v>6853</v>
      </c>
      <c r="E6">
        <v>428</v>
      </c>
      <c r="F6">
        <v>65536</v>
      </c>
      <c r="G6" s="46">
        <v>0.6</v>
      </c>
      <c r="H6">
        <v>18.195666666699999</v>
      </c>
      <c r="I6">
        <v>24.0566666667</v>
      </c>
      <c r="J6">
        <v>9.41933333333</v>
      </c>
      <c r="K6">
        <v>2698</v>
      </c>
      <c r="L6">
        <v>38</v>
      </c>
      <c r="M6">
        <v>124</v>
      </c>
      <c r="N6" t="s">
        <v>81</v>
      </c>
      <c r="O6">
        <v>48993</v>
      </c>
      <c r="P6">
        <v>3062</v>
      </c>
      <c r="Q6">
        <v>65536</v>
      </c>
      <c r="R6" t="s">
        <v>117</v>
      </c>
      <c r="S6">
        <v>2.5903333333299998</v>
      </c>
      <c r="T6">
        <v>2.38333333333</v>
      </c>
      <c r="U6">
        <v>2.9009999999999998</v>
      </c>
      <c r="V6">
        <v>708</v>
      </c>
      <c r="W6">
        <v>4</v>
      </c>
      <c r="X6">
        <v>126</v>
      </c>
      <c r="Y6" t="s">
        <v>83</v>
      </c>
      <c r="Z6">
        <v>19712</v>
      </c>
      <c r="AA6">
        <v>1232</v>
      </c>
      <c r="AB6">
        <v>65536</v>
      </c>
      <c r="AC6" t="s">
        <v>117</v>
      </c>
      <c r="AD6">
        <v>6.4546666666699997</v>
      </c>
      <c r="AE6">
        <v>6.5516666666700001</v>
      </c>
      <c r="AF6">
        <v>6.3090000000000002</v>
      </c>
      <c r="AG6">
        <v>147</v>
      </c>
      <c r="AH6">
        <v>1</v>
      </c>
      <c r="AI6">
        <v>127</v>
      </c>
    </row>
    <row r="7" spans="1:35" x14ac:dyDescent="0.25">
      <c r="A7" t="s">
        <v>110</v>
      </c>
      <c r="B7" t="s">
        <v>111</v>
      </c>
      <c r="C7" t="s">
        <v>112</v>
      </c>
      <c r="D7">
        <v>9303</v>
      </c>
      <c r="E7">
        <v>581</v>
      </c>
      <c r="F7">
        <v>65536</v>
      </c>
      <c r="G7" s="46">
        <v>0.5</v>
      </c>
      <c r="H7">
        <v>13.262666666699999</v>
      </c>
      <c r="I7">
        <v>18.146333333299999</v>
      </c>
      <c r="J7">
        <v>8.3849999999999998</v>
      </c>
      <c r="K7">
        <v>4418</v>
      </c>
      <c r="L7">
        <v>51</v>
      </c>
      <c r="M7">
        <v>123</v>
      </c>
      <c r="N7" t="s">
        <v>81</v>
      </c>
      <c r="O7">
        <v>47054</v>
      </c>
      <c r="P7">
        <v>2940</v>
      </c>
      <c r="Q7">
        <v>65536</v>
      </c>
      <c r="R7" t="s">
        <v>118</v>
      </c>
      <c r="S7">
        <v>2.6956666666700002</v>
      </c>
      <c r="T7">
        <v>2.375</v>
      </c>
      <c r="U7">
        <v>3.0166666666699999</v>
      </c>
      <c r="V7">
        <v>616</v>
      </c>
      <c r="W7">
        <v>8</v>
      </c>
      <c r="X7">
        <v>126</v>
      </c>
      <c r="Y7" t="s">
        <v>83</v>
      </c>
      <c r="Z7">
        <v>19788</v>
      </c>
      <c r="AA7">
        <v>1236</v>
      </c>
      <c r="AB7">
        <v>65536</v>
      </c>
      <c r="AC7" t="s">
        <v>118</v>
      </c>
      <c r="AD7">
        <v>6.4283333333300003</v>
      </c>
      <c r="AE7">
        <v>6.3940000000000001</v>
      </c>
      <c r="AF7">
        <v>6.4633333333299996</v>
      </c>
      <c r="AG7">
        <v>84</v>
      </c>
      <c r="AH7">
        <v>1</v>
      </c>
      <c r="AI7">
        <v>127</v>
      </c>
    </row>
    <row r="8" spans="1:35" x14ac:dyDescent="0.25">
      <c r="A8" t="s">
        <v>110</v>
      </c>
      <c r="B8" t="s">
        <v>111</v>
      </c>
      <c r="C8" t="s">
        <v>112</v>
      </c>
      <c r="D8">
        <v>7216</v>
      </c>
      <c r="E8">
        <v>451</v>
      </c>
      <c r="F8">
        <v>65536</v>
      </c>
      <c r="G8" s="46">
        <v>0.4</v>
      </c>
      <c r="H8">
        <v>17.063666666700001</v>
      </c>
      <c r="I8">
        <v>29.507999999999999</v>
      </c>
      <c r="J8">
        <v>8.7690000000000001</v>
      </c>
      <c r="K8">
        <v>5179</v>
      </c>
      <c r="L8">
        <v>59</v>
      </c>
      <c r="M8">
        <v>125</v>
      </c>
      <c r="N8" t="s">
        <v>81</v>
      </c>
      <c r="O8">
        <v>42934</v>
      </c>
      <c r="P8">
        <v>2683</v>
      </c>
      <c r="Q8">
        <v>65536</v>
      </c>
      <c r="R8" t="s">
        <v>119</v>
      </c>
      <c r="S8">
        <v>2.9540000000000002</v>
      </c>
      <c r="T8">
        <v>2.4329999999999998</v>
      </c>
      <c r="U8">
        <v>3.3013333333300001</v>
      </c>
      <c r="V8">
        <v>757</v>
      </c>
      <c r="W8">
        <v>9</v>
      </c>
      <c r="X8">
        <v>126</v>
      </c>
      <c r="Y8" t="s">
        <v>83</v>
      </c>
      <c r="Z8">
        <v>18790</v>
      </c>
      <c r="AA8">
        <v>1174</v>
      </c>
      <c r="AB8">
        <v>65536</v>
      </c>
      <c r="AC8" t="s">
        <v>119</v>
      </c>
      <c r="AD8">
        <v>6.7686666666699997</v>
      </c>
      <c r="AE8">
        <v>6.5753333333299997</v>
      </c>
      <c r="AF8">
        <v>6.8973333333299998</v>
      </c>
      <c r="AG8">
        <v>68</v>
      </c>
      <c r="AH8">
        <v>1</v>
      </c>
      <c r="AI8">
        <v>127</v>
      </c>
    </row>
    <row r="9" spans="1:35" x14ac:dyDescent="0.25">
      <c r="A9" t="s">
        <v>110</v>
      </c>
      <c r="B9" t="s">
        <v>111</v>
      </c>
      <c r="C9" t="s">
        <v>112</v>
      </c>
      <c r="D9">
        <v>8643</v>
      </c>
      <c r="E9">
        <v>540</v>
      </c>
      <c r="F9">
        <v>65536</v>
      </c>
      <c r="G9" s="46">
        <v>0.3</v>
      </c>
      <c r="H9">
        <v>14.683999999999999</v>
      </c>
      <c r="I9">
        <v>25.979666666699998</v>
      </c>
      <c r="J9">
        <v>9.8463333333299996</v>
      </c>
      <c r="K9">
        <v>12790</v>
      </c>
      <c r="L9">
        <v>139</v>
      </c>
      <c r="M9">
        <v>125</v>
      </c>
      <c r="N9" t="s">
        <v>81</v>
      </c>
      <c r="O9">
        <v>38865</v>
      </c>
      <c r="P9">
        <v>2429</v>
      </c>
      <c r="Q9">
        <v>65536</v>
      </c>
      <c r="R9" t="s">
        <v>120</v>
      </c>
      <c r="S9">
        <v>3.26633333333</v>
      </c>
      <c r="T9">
        <v>2.5893333333299999</v>
      </c>
      <c r="U9">
        <v>3.55666666667</v>
      </c>
      <c r="V9">
        <v>876</v>
      </c>
      <c r="W9">
        <v>10</v>
      </c>
      <c r="X9">
        <v>126</v>
      </c>
      <c r="Y9" t="s">
        <v>83</v>
      </c>
      <c r="Z9">
        <v>17559</v>
      </c>
      <c r="AA9">
        <v>1097</v>
      </c>
      <c r="AB9">
        <v>65536</v>
      </c>
      <c r="AC9" t="s">
        <v>120</v>
      </c>
      <c r="AD9">
        <v>7.2423333333300004</v>
      </c>
      <c r="AE9">
        <v>6.9853333333299998</v>
      </c>
      <c r="AF9">
        <v>7.3523333333299998</v>
      </c>
      <c r="AG9">
        <v>75</v>
      </c>
      <c r="AH9">
        <v>1</v>
      </c>
      <c r="AI9">
        <v>127</v>
      </c>
    </row>
    <row r="10" spans="1:35" x14ac:dyDescent="0.25">
      <c r="A10" t="s">
        <v>110</v>
      </c>
      <c r="B10" t="s">
        <v>111</v>
      </c>
      <c r="C10" t="s">
        <v>112</v>
      </c>
      <c r="D10">
        <v>8431</v>
      </c>
      <c r="E10">
        <v>526</v>
      </c>
      <c r="F10">
        <v>65536</v>
      </c>
      <c r="G10" s="46">
        <v>0.2</v>
      </c>
      <c r="H10">
        <v>15.0756666667</v>
      </c>
      <c r="I10">
        <v>29.792000000000002</v>
      </c>
      <c r="J10">
        <v>11.391999999999999</v>
      </c>
      <c r="K10">
        <v>6047</v>
      </c>
      <c r="L10">
        <v>91</v>
      </c>
      <c r="M10">
        <v>126</v>
      </c>
      <c r="N10" t="s">
        <v>81</v>
      </c>
      <c r="O10">
        <v>35170</v>
      </c>
      <c r="P10">
        <v>2198</v>
      </c>
      <c r="Q10">
        <v>65536</v>
      </c>
      <c r="R10" t="s">
        <v>121</v>
      </c>
      <c r="S10">
        <v>3.6153333333300002</v>
      </c>
      <c r="T10">
        <v>2.9486666666699999</v>
      </c>
      <c r="U10">
        <v>3.78233333333</v>
      </c>
      <c r="V10">
        <v>1104</v>
      </c>
      <c r="W10">
        <v>13</v>
      </c>
      <c r="X10">
        <v>126</v>
      </c>
      <c r="Y10" t="s">
        <v>83</v>
      </c>
      <c r="Z10">
        <v>16162</v>
      </c>
      <c r="AA10">
        <v>1010</v>
      </c>
      <c r="AB10">
        <v>65536</v>
      </c>
      <c r="AC10" t="s">
        <v>121</v>
      </c>
      <c r="AD10">
        <v>7.8673333333300004</v>
      </c>
      <c r="AE10">
        <v>7.569</v>
      </c>
      <c r="AF10">
        <v>7.9416666666699998</v>
      </c>
      <c r="AG10">
        <v>70</v>
      </c>
      <c r="AH10">
        <v>1</v>
      </c>
      <c r="AI10">
        <v>127</v>
      </c>
    </row>
    <row r="11" spans="1:35" x14ac:dyDescent="0.25">
      <c r="A11" t="s">
        <v>110</v>
      </c>
      <c r="B11" t="s">
        <v>111</v>
      </c>
      <c r="C11" t="s">
        <v>112</v>
      </c>
      <c r="D11">
        <v>10134</v>
      </c>
      <c r="E11">
        <v>633</v>
      </c>
      <c r="F11">
        <v>65536</v>
      </c>
      <c r="G11" s="46">
        <v>0.1</v>
      </c>
      <c r="H11">
        <v>12.279666666700001</v>
      </c>
      <c r="I11">
        <v>25.6233333333</v>
      </c>
      <c r="J11">
        <v>10.798999999999999</v>
      </c>
      <c r="K11">
        <v>6023</v>
      </c>
      <c r="L11">
        <v>53</v>
      </c>
      <c r="M11">
        <v>125</v>
      </c>
      <c r="N11" t="s">
        <v>81</v>
      </c>
      <c r="O11">
        <v>31849</v>
      </c>
      <c r="P11">
        <v>1990</v>
      </c>
      <c r="Q11">
        <v>65536</v>
      </c>
      <c r="R11" t="s">
        <v>122</v>
      </c>
      <c r="S11">
        <v>3.99633333333</v>
      </c>
      <c r="T11">
        <v>3.31866666667</v>
      </c>
      <c r="U11">
        <v>4.0720000000000001</v>
      </c>
      <c r="V11">
        <v>986</v>
      </c>
      <c r="W11">
        <v>14</v>
      </c>
      <c r="X11">
        <v>126</v>
      </c>
      <c r="Y11" t="s">
        <v>83</v>
      </c>
      <c r="Z11">
        <v>15215</v>
      </c>
      <c r="AA11">
        <v>950</v>
      </c>
      <c r="AB11">
        <v>65536</v>
      </c>
      <c r="AC11" t="s">
        <v>122</v>
      </c>
      <c r="AD11">
        <v>8.3573333333300006</v>
      </c>
      <c r="AE11">
        <v>8.1163333333299992</v>
      </c>
      <c r="AF11">
        <v>8.3840000000000003</v>
      </c>
      <c r="AG11">
        <v>120</v>
      </c>
      <c r="AH11">
        <v>0</v>
      </c>
      <c r="AI11">
        <v>127</v>
      </c>
    </row>
    <row r="12" spans="1:35" x14ac:dyDescent="0.25">
      <c r="A12" t="s">
        <v>110</v>
      </c>
      <c r="B12" t="s">
        <v>111</v>
      </c>
      <c r="C12" t="s">
        <v>112</v>
      </c>
      <c r="D12">
        <v>9700</v>
      </c>
      <c r="E12">
        <v>606</v>
      </c>
      <c r="F12">
        <v>65536</v>
      </c>
      <c r="G12" s="46">
        <v>0</v>
      </c>
      <c r="H12">
        <v>13.119666666700001</v>
      </c>
      <c r="I12">
        <v>0</v>
      </c>
      <c r="J12">
        <v>13.119666666700001</v>
      </c>
      <c r="K12">
        <v>5390</v>
      </c>
      <c r="L12">
        <v>55</v>
      </c>
      <c r="M12">
        <v>127</v>
      </c>
      <c r="N12" t="s">
        <v>81</v>
      </c>
      <c r="O12">
        <v>29482</v>
      </c>
      <c r="P12">
        <v>1842</v>
      </c>
      <c r="Q12">
        <v>65536</v>
      </c>
      <c r="R12" t="s">
        <v>123</v>
      </c>
      <c r="S12">
        <v>4.3016666666700001</v>
      </c>
      <c r="T12">
        <v>0</v>
      </c>
      <c r="U12">
        <v>4.3016666666700001</v>
      </c>
      <c r="V12">
        <v>693</v>
      </c>
      <c r="W12">
        <v>13</v>
      </c>
      <c r="X12">
        <v>126</v>
      </c>
      <c r="Y12" t="s">
        <v>83</v>
      </c>
      <c r="Z12">
        <v>14265</v>
      </c>
      <c r="AA12">
        <v>891</v>
      </c>
      <c r="AB12">
        <v>65536</v>
      </c>
      <c r="AC12" t="s">
        <v>123</v>
      </c>
      <c r="AD12">
        <v>8.9133333333299998</v>
      </c>
      <c r="AE12">
        <v>0</v>
      </c>
      <c r="AF12">
        <v>8.9133333333299998</v>
      </c>
      <c r="AG12">
        <v>50</v>
      </c>
      <c r="AH12">
        <v>0</v>
      </c>
      <c r="AI12">
        <v>127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0FBA8A9F0AFB4BB2D0148D6A234C38" ma:contentTypeVersion="13" ma:contentTypeDescription="Create a new document." ma:contentTypeScope="" ma:versionID="74183e733b66e5e9a3cd5553bd4bd9ac">
  <xsd:schema xmlns:xsd="http://www.w3.org/2001/XMLSchema" xmlns:xs="http://www.w3.org/2001/XMLSchema" xmlns:p="http://schemas.microsoft.com/office/2006/metadata/properties" xmlns:ns3="4a052287-e6d5-446a-afc6-58987b850d5f" xmlns:ns4="943a090e-7b96-4eb7-abc0-264fa36c6c5d" targetNamespace="http://schemas.microsoft.com/office/2006/metadata/properties" ma:root="true" ma:fieldsID="6b903754823e47922d1d3c75b6236d24" ns3:_="" ns4:_="">
    <xsd:import namespace="4a052287-e6d5-446a-afc6-58987b850d5f"/>
    <xsd:import namespace="943a090e-7b96-4eb7-abc0-264fa36c6c5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052287-e6d5-446a-afc6-58987b850d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3a090e-7b96-4eb7-abc0-264fa36c6c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69B51B-49EA-4054-A0C2-A13FF67FB754}">
  <ds:schemaRefs>
    <ds:schemaRef ds:uri="http://purl.org/dc/terms/"/>
    <ds:schemaRef ds:uri="4a052287-e6d5-446a-afc6-58987b850d5f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943a090e-7b96-4eb7-abc0-264fa36c6c5d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97D0541-97F4-46BE-8711-51CFA8DE59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052287-e6d5-446a-afc6-58987b850d5f"/>
    <ds:schemaRef ds:uri="943a090e-7b96-4eb7-abc0-264fa36c6c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EC18BF-42E1-4B07-B0F9-328B1505E1A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FSLogix Calculator</vt:lpstr>
      <vt:lpstr>Azure NetApp Files Calcuations</vt:lpstr>
      <vt:lpstr>Azure Files Calculations</vt:lpstr>
      <vt:lpstr>definitions</vt:lpstr>
      <vt:lpstr>Throughput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Morgenstern, Chad</dc:creator>
  <cp:lastModifiedBy>Morgenstern, Chad</cp:lastModifiedBy>
  <dcterms:created xsi:type="dcterms:W3CDTF">2020-04-29T16:37:33Z</dcterms:created>
  <dcterms:modified xsi:type="dcterms:W3CDTF">2020-10-01T17:39:14Z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0x010100050FBA8A9F0AFB4BB2D0148D6A234C38</vt:lpwstr>
  </property>
</Properties>
</file>